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886" firstSheet="16" activeTab="25"/>
  </bookViews>
  <sheets>
    <sheet name="-------" sheetId="138" state="hidden" r:id="rId1"/>
    <sheet name="全市指标1" sheetId="212" r:id="rId2"/>
    <sheet name="全市指标2" sheetId="209" r:id="rId3"/>
    <sheet name="全市指标3" sheetId="213" r:id="rId4"/>
    <sheet name="全市指标4" sheetId="214" r:id="rId5"/>
    <sheet name="全市指标5" sheetId="230" r:id="rId6"/>
    <sheet name="全市指标6" sheetId="234" r:id="rId7"/>
    <sheet name="全市指标7" sheetId="231" r:id="rId8"/>
    <sheet name="GDP" sheetId="139" r:id="rId9"/>
    <sheet name="农业" sheetId="145" r:id="rId10"/>
    <sheet name="工业1" sheetId="125" r:id="rId11"/>
    <sheet name="工业2" sheetId="173" r:id="rId12"/>
    <sheet name="工业经济效益" sheetId="9" r:id="rId13"/>
    <sheet name="分行业工业总产值1" sheetId="162" r:id="rId14"/>
    <sheet name="分行业工业总产值2" sheetId="163" r:id="rId15"/>
    <sheet name="主要工业产品产量1" sheetId="160" r:id="rId16"/>
    <sheet name="主要工业产品产量2 " sheetId="161" r:id="rId17"/>
    <sheet name="主要工业产品产量3" sheetId="177" r:id="rId18"/>
    <sheet name="工业综合能源消费量" sheetId="174" r:id="rId19"/>
    <sheet name="交通 " sheetId="98" r:id="rId20"/>
    <sheet name="投资" sheetId="68" r:id="rId21"/>
    <sheet name="国内贸易" sheetId="11" r:id="rId22"/>
    <sheet name="财税" sheetId="23" r:id="rId23"/>
    <sheet name="金融" sheetId="146" r:id="rId24"/>
    <sheet name="进出口" sheetId="124" r:id="rId25"/>
    <sheet name="居民收支" sheetId="99" r:id="rId26"/>
    <sheet name="消价" sheetId="42" r:id="rId27"/>
    <sheet name="分县1" sheetId="100" r:id="rId28"/>
    <sheet name="分县2" sheetId="149" r:id="rId29"/>
    <sheet name="分县3" sheetId="181" r:id="rId30"/>
    <sheet name="分县4" sheetId="167" r:id="rId31"/>
    <sheet name="分县5" sheetId="101" r:id="rId32"/>
    <sheet name="分县6" sheetId="183" r:id="rId33"/>
    <sheet name="分县7" sheetId="166" r:id="rId34"/>
    <sheet name="分县8" sheetId="165" r:id="rId35"/>
    <sheet name="分县9" sheetId="171" r:id="rId36"/>
    <sheet name="分县10" sheetId="184" r:id="rId37"/>
    <sheet name="分县11" sheetId="170" r:id="rId38"/>
    <sheet name="分县12" sheetId="193" r:id="rId39"/>
    <sheet name="分县13" sheetId="185" r:id="rId40"/>
    <sheet name="分县14" sheetId="172" r:id="rId41"/>
    <sheet name="分县15" sheetId="210" r:id="rId42"/>
    <sheet name="分县16" sheetId="127" r:id="rId43"/>
    <sheet name="分县17" sheetId="211" r:id="rId44"/>
    <sheet name="分县18" sheetId="147" r:id="rId45"/>
    <sheet name="分县19" sheetId="186" r:id="rId46"/>
    <sheet name="分县20" sheetId="215" r:id="rId47"/>
    <sheet name="分县21（1）" sheetId="227" r:id="rId48"/>
    <sheet name="分县21（2）" sheetId="217" r:id="rId49"/>
    <sheet name="分县21（3）" sheetId="228" r:id="rId50"/>
    <sheet name="分县21（4）" sheetId="232" r:id="rId51"/>
    <sheet name="分县21（5）" sheetId="224" r:id="rId52"/>
    <sheet name="分县21（6）" sheetId="235" r:id="rId53"/>
    <sheet name="分县22（1）" sheetId="220" r:id="rId54"/>
    <sheet name="分县22（2）" sheetId="218" r:id="rId55"/>
    <sheet name="分县22（3）" sheetId="229" r:id="rId56"/>
    <sheet name="分县22（4）" sheetId="233" r:id="rId57"/>
    <sheet name="分县22（5）" sheetId="221" r:id="rId58"/>
    <sheet name="分县22（6）" sheetId="236" r:id="rId59"/>
    <sheet name="分市5（旧）" sheetId="194" state="hidden" r:id="rId60"/>
    <sheet name="工业序列（原）" sheetId="158" state="hidden" r:id="rId61"/>
    <sheet name="工业序列" sheetId="199" r:id="rId62"/>
    <sheet name="投资序列" sheetId="200" r:id="rId63"/>
    <sheet name="消费序列" sheetId="201" r:id="rId64"/>
    <sheet name="进出口序列" sheetId="202" r:id="rId65"/>
    <sheet name="预算收入序列" sheetId="204" r:id="rId66"/>
    <sheet name="价格指数序列" sheetId="208" r:id="rId67"/>
    <sheet name="用电量序列" sheetId="205" r:id="rId68"/>
    <sheet name="投资序列(原)" sheetId="157" state="hidden" r:id="rId69"/>
    <sheet name="消费序列（原）" sheetId="156" state="hidden" r:id="rId70"/>
    <sheet name="出口序列（原）" sheetId="155" state="hidden" r:id="rId71"/>
    <sheet name="地方预算收入序列（原）" sheetId="154" state="hidden" r:id="rId72"/>
    <sheet name="工业用电量序列 （原）" sheetId="198" state="hidden" r:id="rId73"/>
    <sheet name="价格序列（原）" sheetId="153" state="hidden" r:id="rId74"/>
  </sheets>
  <externalReferences>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s>
  <definedNames>
    <definedName name="_21114" localSheetId="72">#REF!</definedName>
    <definedName name="_21114">#REF!</definedName>
    <definedName name="_Fill" localSheetId="72" hidden="1">[1]eqpmad2!#REF!</definedName>
    <definedName name="_Fill" hidden="1">[1]eqpmad2!#REF!</definedName>
    <definedName name="_xlnm._FilterDatabase" localSheetId="72" hidden="1">#REF!</definedName>
    <definedName name="_xlnm._FilterDatabase" hidden="1">#REF!</definedName>
    <definedName name="_Order1" hidden="1">255</definedName>
    <definedName name="_Order2" hidden="1">255</definedName>
    <definedName name="A" localSheetId="72">#REF!</definedName>
    <definedName name="A">#REF!</definedName>
    <definedName name="aa" localSheetId="72">#REF!</definedName>
    <definedName name="aa">#REF!</definedName>
    <definedName name="as">#N/A</definedName>
    <definedName name="data" localSheetId="72">#REF!</definedName>
    <definedName name="data">#REF!</definedName>
    <definedName name="Database" localSheetId="72" hidden="1">#REF!</definedName>
    <definedName name="Database" hidden="1">#REF!</definedName>
    <definedName name="database2" localSheetId="72">#REF!</definedName>
    <definedName name="database2">#REF!</definedName>
    <definedName name="database3" localSheetId="72">#REF!</definedName>
    <definedName name="database3">#REF!</definedName>
    <definedName name="dss" localSheetId="72" hidden="1">#REF!</definedName>
    <definedName name="dss" hidden="1">#REF!</definedName>
    <definedName name="E206." localSheetId="72">#REF!</definedName>
    <definedName name="E206.">#REF!</definedName>
    <definedName name="eee" localSheetId="72">#REF!</definedName>
    <definedName name="eee">#REF!</definedName>
    <definedName name="fff" localSheetId="72">#REF!</definedName>
    <definedName name="fff">#REF!</definedName>
    <definedName name="gxxe2003">'[2]P1012001'!$A$6:$E$117</definedName>
    <definedName name="gxxe20032">'[2]P1012001'!$A$6:$E$117</definedName>
    <definedName name="hhhh" localSheetId="72">#REF!</definedName>
    <definedName name="hhhh">#REF!</definedName>
    <definedName name="HWSheet">1</definedName>
    <definedName name="kkkk" localSheetId="72">#REF!</definedName>
    <definedName name="kkkk">#REF!</definedName>
    <definedName name="Module.Prix_SMC" localSheetId="36">Module.Prix_SMC</definedName>
    <definedName name="Module.Prix_SMC" localSheetId="39">分县10!Module.Prix_SMC</definedName>
    <definedName name="Module.Prix_SMC" localSheetId="41">分县15!Module.Prix_SMC</definedName>
    <definedName name="Module.Prix_SMC" localSheetId="42">分县16!Module.Prix_SMC</definedName>
    <definedName name="Module.Prix_SMC" localSheetId="43">分县17!Module.Prix_SMC</definedName>
    <definedName name="Module.Prix_SMC" localSheetId="45">分县10!Module.Prix_SMC</definedName>
    <definedName name="Module.Prix_SMC" localSheetId="47">分县10!Module.Prix_SMC</definedName>
    <definedName name="Module.Prix_SMC" localSheetId="48">分县10!Module.Prix_SMC</definedName>
    <definedName name="Module.Prix_SMC" localSheetId="49">分县10!Module.Prix_SMC</definedName>
    <definedName name="Module.Prix_SMC" localSheetId="50">分县10!Module.Prix_SMC</definedName>
    <definedName name="Module.Prix_SMC" localSheetId="51">分县10!Module.Prix_SMC</definedName>
    <definedName name="Module.Prix_SMC" localSheetId="52">分县10!Module.Prix_SMC</definedName>
    <definedName name="Module.Prix_SMC" localSheetId="53">分县10!Module.Prix_SMC</definedName>
    <definedName name="Module.Prix_SMC" localSheetId="54">分县10!Module.Prix_SMC</definedName>
    <definedName name="Module.Prix_SMC" localSheetId="55">分县10!Module.Prix_SMC</definedName>
    <definedName name="Module.Prix_SMC" localSheetId="56">分县10!Module.Prix_SMC</definedName>
    <definedName name="Module.Prix_SMC" localSheetId="57">分县10!Module.Prix_SMC</definedName>
    <definedName name="Module.Prix_SMC" localSheetId="58">分县10!Module.Prix_SMC</definedName>
    <definedName name="Module.Prix_SMC" localSheetId="29">分县10!Module.Prix_SMC</definedName>
    <definedName name="Module.Prix_SMC" localSheetId="32">分县10!Module.Prix_SMC</definedName>
    <definedName name="Module.Prix_SMC" localSheetId="10">工业1!Module.Prix_SMC</definedName>
    <definedName name="Module.Prix_SMC" localSheetId="66">分县10!Module.Prix_SMC</definedName>
    <definedName name="Module.Prix_SMC" localSheetId="24">进出口!Module.Prix_SMC</definedName>
    <definedName name="Module.Prix_SMC" localSheetId="64">分县10!Module.Prix_SMC</definedName>
    <definedName name="Module.Prix_SMC" localSheetId="1">分县10!Module.Prix_SMC</definedName>
    <definedName name="Module.Prix_SMC" localSheetId="3">分县10!Module.Prix_SMC</definedName>
    <definedName name="Module.Prix_SMC" localSheetId="4">分县10!Module.Prix_SMC</definedName>
    <definedName name="Module.Prix_SMC" localSheetId="5">分县10!Module.Prix_SMC</definedName>
    <definedName name="Module.Prix_SMC" localSheetId="6">分县10!Module.Prix_SMC</definedName>
    <definedName name="Module.Prix_SMC" localSheetId="7">分县10!Module.Prix_SMC</definedName>
    <definedName name="Module.Prix_SMC" localSheetId="62">分县10!Module.Prix_SMC</definedName>
    <definedName name="Module.Prix_SMC" localSheetId="63">分县10!Module.Prix_SMC</definedName>
    <definedName name="Module.Prix_SMC" localSheetId="67">分县10!Module.Prix_SMC</definedName>
    <definedName name="Module.Prix_SMC" localSheetId="65">分县10!Module.Prix_SMC</definedName>
    <definedName name="Module.Prix_SMC">分县10!Module.Prix_SMC</definedName>
    <definedName name="panduan">OR([3]Sheet!$G1="日期有误",[3]Sheet!$G1="请检查身份证号码",[3]Sheet!$G1="识别码有误")</definedName>
    <definedName name="_xlnm.Print_Area" localSheetId="36">分县10!$A$1:$C$27</definedName>
    <definedName name="_xlnm.Print_Area" localSheetId="39">分县13!$A$1:$C$27</definedName>
    <definedName name="_xlnm.Print_Area" localSheetId="40">分县14!$A$1:$C$27</definedName>
    <definedName name="_xlnm.Print_Area" localSheetId="44">分县18!$A$1:$C$27</definedName>
    <definedName name="_xlnm.Print_Area" localSheetId="45">分县19!$A$1:$C$27</definedName>
    <definedName name="_xlnm.Print_Area" localSheetId="28">分县2!$A$1:$C$29</definedName>
    <definedName name="_xlnm.Print_Area" localSheetId="29">分县3!$A$1:$C$27</definedName>
    <definedName name="_xlnm.Print_Area" localSheetId="31">分县5!$A$1:$C$27</definedName>
    <definedName name="_xlnm.Print_Area" localSheetId="32">分县6!$A$1:$C$26</definedName>
    <definedName name="_xlnm.Print_Area" localSheetId="33">分县7!$A$1:$C$26</definedName>
    <definedName name="_xlnm.Print_Area" localSheetId="34">分县8!$A$1:$C$26</definedName>
    <definedName name="_xlnm.Print_Area" localSheetId="35">分县9!$A$1:$C$27</definedName>
    <definedName name="_xlnm.Print_Area" localSheetId="10">工业1!$A$1:$E$22</definedName>
    <definedName name="_xlnm.Print_Area" localSheetId="72" hidden="1">#REF!</definedName>
    <definedName name="_xlnm.Print_Area" localSheetId="21">国内贸易!$A$1:$C$29</definedName>
    <definedName name="_xlnm.Print_Area" localSheetId="25">居民收支!$A$1:$C$21</definedName>
    <definedName name="_xlnm.Print_Area" localSheetId="20">投资!$A$1:$D$24</definedName>
    <definedName name="_xlnm.Print_Area" localSheetId="26">消价!$A$1:$C$21</definedName>
    <definedName name="_xlnm.Print_Area" hidden="1">#REF!</definedName>
    <definedName name="Print_Area_MI" localSheetId="72">#REF!</definedName>
    <definedName name="Print_Area_MI">#REF!</definedName>
    <definedName name="_xlnm.Print_Titles" hidden="1">#N/A</definedName>
    <definedName name="rrrr" localSheetId="72">#REF!</definedName>
    <definedName name="rrrr">#REF!</definedName>
    <definedName name="s" localSheetId="72">#REF!</definedName>
    <definedName name="s">#REF!</definedName>
    <definedName name="sfeggsafasfas" localSheetId="72">#REF!</definedName>
    <definedName name="sfeggsafasfas">#REF!</definedName>
    <definedName name="Sheet1" localSheetId="72">#REF!</definedName>
    <definedName name="Sheet1">#REF!</definedName>
    <definedName name="Sheet10" localSheetId="72">#REF!</definedName>
    <definedName name="Sheet10">#REF!</definedName>
    <definedName name="Sheet11" localSheetId="72">#REF!</definedName>
    <definedName name="Sheet11">#REF!</definedName>
    <definedName name="Sheet12" localSheetId="72">#REF!</definedName>
    <definedName name="Sheet12">#REF!</definedName>
    <definedName name="Sheet3" localSheetId="72">#REF!</definedName>
    <definedName name="Sheet3">#REF!</definedName>
    <definedName name="Sheet4" localSheetId="72">#REF!</definedName>
    <definedName name="Sheet4">#REF!</definedName>
    <definedName name="Sheet5" localSheetId="72">#REF!</definedName>
    <definedName name="Sheet5">#REF!</definedName>
    <definedName name="Sheet6" localSheetId="72">#REF!</definedName>
    <definedName name="Sheet6">#REF!</definedName>
    <definedName name="Sheet7" localSheetId="72">#REF!</definedName>
    <definedName name="Sheet7">#REF!</definedName>
    <definedName name="Sheet8" localSheetId="72">#REF!</definedName>
    <definedName name="Sheet8">#REF!</definedName>
    <definedName name="Sheet9" localSheetId="72">#REF!</definedName>
    <definedName name="Sheet9">#REF!</definedName>
    <definedName name="ss" localSheetId="72">#REF!</definedName>
    <definedName name="ss">#REF!</definedName>
    <definedName name="ttt" localSheetId="72">#REF!</definedName>
    <definedName name="ttt">#REF!</definedName>
    <definedName name="tttt" localSheetId="72">#REF!</definedName>
    <definedName name="tttt">#REF!</definedName>
    <definedName name="UFPrn20010712083924" localSheetId="72">#REF!</definedName>
    <definedName name="UFPrn20010712083924">#REF!</definedName>
    <definedName name="UFPrn20020224093130" localSheetId="72">#REF!</definedName>
    <definedName name="UFPrn20020224093130">#REF!</definedName>
    <definedName name="UFPrn20020224094757" localSheetId="72">#REF!</definedName>
    <definedName name="UFPrn20020224094757">#REF!</definedName>
    <definedName name="UFPrn20020224101302" localSheetId="72">#REF!</definedName>
    <definedName name="UFPrn20020224101302">#REF!</definedName>
    <definedName name="UFPrn20020224101600" localSheetId="72">#REF!</definedName>
    <definedName name="UFPrn20020224101600">#REF!</definedName>
    <definedName name="UFPrn20020228143318" localSheetId="72">#REF!</definedName>
    <definedName name="UFPrn20020228143318">#REF!</definedName>
    <definedName name="UFPrn20020303094007" localSheetId="72">#REF!</definedName>
    <definedName name="UFPrn20020303094007">#REF!</definedName>
    <definedName name="www" localSheetId="72">#REF!</definedName>
    <definedName name="www">#REF!</definedName>
    <definedName name="yyyy" localSheetId="72">#REF!</definedName>
    <definedName name="yyyy">#REF!</definedName>
    <definedName name="备___注" localSheetId="72">#REF!</definedName>
    <definedName name="备___注">#REF!</definedName>
    <definedName name="本级标准收入2004年">[4]本年收入合计!$E$4:$E$184</definedName>
    <definedName name="拨款汇总_合计" localSheetId="72">SUM([5]汇总!#REF!)</definedName>
    <definedName name="拨款汇总_合计">SUM([5]汇总!#REF!)</definedName>
    <definedName name="财力" localSheetId="72">#REF!</definedName>
    <definedName name="财力">#REF!</definedName>
    <definedName name="财政供养人员增幅2004年">[6]财政供养人员增幅!$E$6</definedName>
    <definedName name="财政供养人员增幅2004年分县">[6]财政供养人员增幅!$E$4:$E$184</definedName>
    <definedName name="村级标准支出">[7]村级支出!$E$4:$E$184</definedName>
    <definedName name="存货合计" localSheetId="72">#REF!</definedName>
    <definedName name="存货合计">#REF!</definedName>
    <definedName name="存货明细" localSheetId="72">#REF!</definedName>
    <definedName name="存货明细">#REF!</definedName>
    <definedName name="大多数">'[8]13 铁路配件'!$A$15</definedName>
    <definedName name="大幅度" localSheetId="72">#REF!</definedName>
    <definedName name="大幅度">#REF!</definedName>
    <definedName name="地区名称" localSheetId="72">[9]封面!#REF!</definedName>
    <definedName name="地区名称">[9]封面!#REF!</definedName>
    <definedName name="第二产业分县2003年">[10]GDP!$G$4:$G$184</definedName>
    <definedName name="第二产业合计2003年">[10]GDP!$G$4</definedName>
    <definedName name="第三产业分县2003年">[10]GDP!$H$4:$H$184</definedName>
    <definedName name="第三产业合计2003年">[10]GDP!$H$4</definedName>
    <definedName name="耕地占用税分县2003年">[11]一般预算收入!$U$4:$U$184</definedName>
    <definedName name="耕地占用税合计2003年">[11]一般预算收入!$U$4</definedName>
    <definedName name="工商税收2004年">[12]工商税收!$S$4:$S$184</definedName>
    <definedName name="工商税收合计2004年">[12]工商税收!$S$4</definedName>
    <definedName name="公检法司部门编制数">[13]公检法司编制!$E$4:$E$184</definedName>
    <definedName name="公用标准支出">[14]合计!$E$4:$E$184</definedName>
    <definedName name="行政管理部门编制数">[13]行政编制!$E$4:$E$184</definedName>
    <definedName name="合___计" localSheetId="72">#REF!</definedName>
    <definedName name="合___计">#REF!</definedName>
    <definedName name="汇率" localSheetId="72">#REF!</definedName>
    <definedName name="汇率">#REF!</definedName>
    <definedName name="科目编码">[15]编码!$A$2:$A$145</definedName>
    <definedName name="农业人口2003年">[16]农业人口!$E$4:$E$184</definedName>
    <definedName name="农业税分县2003年">[11]一般预算收入!$S$4:$S$184</definedName>
    <definedName name="农业税合计2003年">[11]一般预算收入!$S$4</definedName>
    <definedName name="农业特产税分县2003年">[11]一般预算收入!$T$4:$T$184</definedName>
    <definedName name="农业特产税合计2003年">[11]一般预算收入!$T$4</definedName>
    <definedName name="农业用地面积">[17]农业用地!$E$4:$E$184</definedName>
    <definedName name="契税分县2003年">[11]一般预算收入!$V$4:$V$184</definedName>
    <definedName name="契税合计2003年">[11]一般预算收入!$V$4</definedName>
    <definedName name="全额差额比例" localSheetId="72">'[18]C01-1'!#REF!</definedName>
    <definedName name="全额差额比例">'[18]C01-1'!#REF!</definedName>
    <definedName name="人员标准支出">[19]人员支出!$E$4:$E$184</definedName>
    <definedName name="生产列1" localSheetId="72">#REF!</definedName>
    <definedName name="生产列1">#REF!</definedName>
    <definedName name="生产列11" localSheetId="72">#REF!</definedName>
    <definedName name="生产列11">#REF!</definedName>
    <definedName name="生产列15" localSheetId="72">#REF!</definedName>
    <definedName name="生产列15">#REF!</definedName>
    <definedName name="生产列16" localSheetId="72">#REF!</definedName>
    <definedName name="生产列16">#REF!</definedName>
    <definedName name="生产列17" localSheetId="72">#REF!</definedName>
    <definedName name="生产列17">#REF!</definedName>
    <definedName name="生产列19" localSheetId="72">#REF!</definedName>
    <definedName name="生产列19">#REF!</definedName>
    <definedName name="生产列2" localSheetId="72">#REF!</definedName>
    <definedName name="生产列2">#REF!</definedName>
    <definedName name="生产列20" localSheetId="72">#REF!</definedName>
    <definedName name="生产列20">#REF!</definedName>
    <definedName name="生产列3" localSheetId="72">#REF!</definedName>
    <definedName name="生产列3">#REF!</definedName>
    <definedName name="生产列4" localSheetId="72">#REF!</definedName>
    <definedName name="生产列4">#REF!</definedName>
    <definedName name="生产列5" localSheetId="72">#REF!</definedName>
    <definedName name="生产列5">#REF!</definedName>
    <definedName name="生产列6" localSheetId="72">#REF!</definedName>
    <definedName name="生产列6">#REF!</definedName>
    <definedName name="生产列7" localSheetId="72">#REF!</definedName>
    <definedName name="生产列7">#REF!</definedName>
    <definedName name="生产列8" localSheetId="72">#REF!</definedName>
    <definedName name="生产列8">#REF!</definedName>
    <definedName name="生产列9" localSheetId="72">#REF!</definedName>
    <definedName name="生产列9">#REF!</definedName>
    <definedName name="生产期" localSheetId="72">#REF!</definedName>
    <definedName name="生产期">#REF!</definedName>
    <definedName name="生产期1" localSheetId="72">#REF!</definedName>
    <definedName name="生产期1">#REF!</definedName>
    <definedName name="生产期11" localSheetId="72">#REF!</definedName>
    <definedName name="生产期11">#REF!</definedName>
    <definedName name="生产期123" localSheetId="72">#REF!</definedName>
    <definedName name="生产期123">#REF!</definedName>
    <definedName name="生产期15" localSheetId="72">#REF!</definedName>
    <definedName name="生产期15">#REF!</definedName>
    <definedName name="生产期16" localSheetId="72">#REF!</definedName>
    <definedName name="生产期16">#REF!</definedName>
    <definedName name="生产期17" localSheetId="72">#REF!</definedName>
    <definedName name="生产期17">#REF!</definedName>
    <definedName name="生产期19" localSheetId="72">#REF!</definedName>
    <definedName name="生产期19">#REF!</definedName>
    <definedName name="生产期2" localSheetId="72">#REF!</definedName>
    <definedName name="生产期2">#REF!</definedName>
    <definedName name="生产期20" localSheetId="72">#REF!</definedName>
    <definedName name="生产期20">#REF!</definedName>
    <definedName name="生产期3" localSheetId="72">#REF!</definedName>
    <definedName name="生产期3">#REF!</definedName>
    <definedName name="生产期4" localSheetId="72">#REF!</definedName>
    <definedName name="生产期4">#REF!</definedName>
    <definedName name="生产期5" localSheetId="72">#REF!</definedName>
    <definedName name="生产期5">#REF!</definedName>
    <definedName name="生产期6" localSheetId="72">#REF!</definedName>
    <definedName name="生产期6">#REF!</definedName>
    <definedName name="生产期7" localSheetId="72">#REF!</definedName>
    <definedName name="生产期7">#REF!</definedName>
    <definedName name="生产期8" localSheetId="72">#REF!</definedName>
    <definedName name="生产期8">#REF!</definedName>
    <definedName name="生产期9" localSheetId="72">#REF!</definedName>
    <definedName name="生产期9">#REF!</definedName>
    <definedName name="事业发展支出">[20]事业发展!$E$4:$E$184</definedName>
    <definedName name="是" localSheetId="72">#REF!</definedName>
    <definedName name="是">#REF!</definedName>
    <definedName name="手机">OR([3]Sheet!$AL1="未填手机号码",[3]Sheet!$AL1="请检查手机号码")</definedName>
    <definedName name="索引号" localSheetId="72">#REF!</definedName>
    <definedName name="索引号">#REF!</definedName>
    <definedName name="未审合计" localSheetId="72">#REF!</definedName>
    <definedName name="未审合计">#REF!</definedName>
    <definedName name="未审数" localSheetId="72">#REF!</definedName>
    <definedName name="未审数">#REF!</definedName>
    <definedName name="位次d" localSheetId="72">[21]四月份月报!#REF!</definedName>
    <definedName name="位次d">[21]四月份月报!#REF!</definedName>
    <definedName name="乡镇个数">[22]行政区划!$D$6:$D$184</definedName>
    <definedName name="性别">[3]Sheet!$D1="性别填写有误"</definedName>
    <definedName name="学历">[23]基础编码!$S$2:$S$9</definedName>
    <definedName name="一般预算收入2002年">'[24]2002年一般预算收入'!$AC$4:$AC$184</definedName>
    <definedName name="一般预算收入2003年">[11]一般预算收入!$AD$4:$AD$184</definedName>
    <definedName name="一般预算收入合计2003年">[11]一般预算收入!$AC$4</definedName>
    <definedName name="支出">'[25]P1012001'!$A$6:$E$117</definedName>
    <definedName name="中国" localSheetId="72">#REF!</definedName>
    <definedName name="中国">#REF!</definedName>
    <definedName name="中小学生人数2003年">[26]中小学生!$E$4:$E$184</definedName>
    <definedName name="总人口2003年">[27]总人口!$E$4:$E$184</definedName>
    <definedName name="전" localSheetId="72">#REF!</definedName>
    <definedName name="전">#REF!</definedName>
    <definedName name="주택사업본부" localSheetId="72">#REF!</definedName>
    <definedName name="주택사업본부">#REF!</definedName>
    <definedName name="철구사업본부" localSheetId="72">#REF!</definedName>
    <definedName name="철구사업본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<sst xmlns="http://schemas.openxmlformats.org/spreadsheetml/2006/main" count="2414" uniqueCount="619">
  <si>
    <t>主要经济指标完成情况（一）</t>
  </si>
  <si>
    <t>指   标</t>
  </si>
  <si>
    <t>单位</t>
  </si>
  <si>
    <t>2019年1-12月</t>
  </si>
  <si>
    <t>2019年1-11月</t>
  </si>
  <si>
    <t>绝对值</t>
  </si>
  <si>
    <t>增长%</t>
  </si>
  <si>
    <t>生产总值(GDP)</t>
  </si>
  <si>
    <t>亿元</t>
  </si>
  <si>
    <t>-</t>
  </si>
  <si>
    <t>规模以上工业总产值</t>
  </si>
  <si>
    <t>规模以上工业增加值</t>
  </si>
  <si>
    <t>固定资产投资</t>
  </si>
  <si>
    <t xml:space="preserve">    房地产开发投资</t>
  </si>
  <si>
    <t xml:space="preserve">    商品房销售面积</t>
  </si>
  <si>
    <t>万平方米</t>
  </si>
  <si>
    <t>社会消费品零售总额</t>
  </si>
  <si>
    <t>地方一般公共预算收入</t>
  </si>
  <si>
    <t>地方一般公共预算支出</t>
  </si>
  <si>
    <t>税收收入</t>
  </si>
  <si>
    <t>进出口总额</t>
  </si>
  <si>
    <t xml:space="preserve">    出口总额</t>
  </si>
  <si>
    <t xml:space="preserve">    进口总额</t>
  </si>
  <si>
    <t>实际使用外资</t>
  </si>
  <si>
    <t>万美元</t>
  </si>
  <si>
    <t>金融机构本外币存款余额</t>
  </si>
  <si>
    <t xml:space="preserve">    #住户存款余额</t>
  </si>
  <si>
    <t>金融机构本外币贷款余额</t>
  </si>
  <si>
    <t>居民消费价格指数</t>
  </si>
  <si>
    <t>%</t>
  </si>
  <si>
    <t>工业生产者出厂价格指数</t>
  </si>
  <si>
    <t>全社会用电量</t>
  </si>
  <si>
    <t>亿千瓦时</t>
  </si>
  <si>
    <t xml:space="preserve">    工业用电量</t>
  </si>
  <si>
    <t>注：生产总值按季度统计，税收收入按自然口径计算。</t>
  </si>
  <si>
    <t>主要经济指标完成情况（二）</t>
  </si>
  <si>
    <t>2019年1-10月</t>
  </si>
  <si>
    <t>2019年1-9月</t>
  </si>
  <si>
    <t>主要经济指标完成情况（三）</t>
  </si>
  <si>
    <t>2019年1-8月</t>
  </si>
  <si>
    <t>2019年1-7月</t>
  </si>
  <si>
    <t>主要经济指标完成情况（四）</t>
  </si>
  <si>
    <t>2019年1-6月</t>
  </si>
  <si>
    <t>2019年1-5月</t>
  </si>
  <si>
    <t>主要经济指标完成情况（五）</t>
  </si>
  <si>
    <t>2019年1-4月</t>
  </si>
  <si>
    <t>2019年1-3月</t>
  </si>
  <si>
    <t>主要经济指标完成情况（六）</t>
  </si>
  <si>
    <t>2019年1-2月</t>
  </si>
  <si>
    <t>主要经济指标完成情况（七）</t>
  </si>
  <si>
    <t>2018年</t>
  </si>
  <si>
    <t>全市生产总值（GDP）</t>
  </si>
  <si>
    <t>单位：亿元</t>
  </si>
  <si>
    <t>指  标</t>
  </si>
  <si>
    <t>1-12月</t>
  </si>
  <si>
    <t>生产总值</t>
  </si>
  <si>
    <t xml:space="preserve">    第一产业</t>
  </si>
  <si>
    <t xml:space="preserve">    第二产业</t>
  </si>
  <si>
    <t xml:space="preserve">        建筑业</t>
  </si>
  <si>
    <t xml:space="preserve">    第三产业</t>
  </si>
  <si>
    <t xml:space="preserve">        交运仓储邮电通信业</t>
  </si>
  <si>
    <t xml:space="preserve">        批发和零售业</t>
  </si>
  <si>
    <t xml:space="preserve">        住宿和餐饮业</t>
  </si>
  <si>
    <t xml:space="preserve">        金融业</t>
  </si>
  <si>
    <t xml:space="preserve">        房地产业</t>
  </si>
  <si>
    <t xml:space="preserve">        营利性服务业</t>
  </si>
  <si>
    <t xml:space="preserve">        非营利性服务业</t>
  </si>
  <si>
    <t xml:space="preserve">        农业</t>
  </si>
  <si>
    <t xml:space="preserve">        工业</t>
  </si>
  <si>
    <t xml:space="preserve">  三次产业结构（%）</t>
  </si>
  <si>
    <t>19.1:34.4:46.5</t>
  </si>
  <si>
    <t>注：湛江市及分县（市、区）第四季度生产总值数据采用第四次全国经济普查结果作为上年基数计算而得，而2019年一至三季度生产总值数据尚未运用普查结果进行修订。</t>
  </si>
  <si>
    <t>农业生产情况</t>
  </si>
  <si>
    <t>一、农林牧渔业总产值</t>
  </si>
  <si>
    <t xml:space="preserve">        农  业</t>
  </si>
  <si>
    <t xml:space="preserve">        林  业</t>
  </si>
  <si>
    <t xml:space="preserve">        畜牧业</t>
  </si>
  <si>
    <t xml:space="preserve">        渔  业</t>
  </si>
  <si>
    <t xml:space="preserve">        农林牧渔服务业</t>
  </si>
  <si>
    <t>二、农林牧渔业增加值</t>
  </si>
  <si>
    <t>三、主要农产品产量</t>
  </si>
  <si>
    <t xml:space="preserve">        粮  食 </t>
  </si>
  <si>
    <t>万吨</t>
  </si>
  <si>
    <t xml:space="preserve">            #稻  谷</t>
  </si>
  <si>
    <t xml:space="preserve">        蔬  菜 </t>
  </si>
  <si>
    <t xml:space="preserve">        园林水果 </t>
  </si>
  <si>
    <t xml:space="preserve">        生  猪（出栏量） </t>
  </si>
  <si>
    <t>万头</t>
  </si>
  <si>
    <t xml:space="preserve">        家  禽（出栏量）      </t>
  </si>
  <si>
    <t>万只</t>
  </si>
  <si>
    <t xml:space="preserve">        水产品 </t>
  </si>
  <si>
    <t>注：农业总产值和增加值按季度核算，增长速度按可比价格计算，以2017年农普修订的季度数据为基数。</t>
  </si>
  <si>
    <t>规模以上工业生产情况（一）</t>
  </si>
  <si>
    <t>12月</t>
  </si>
  <si>
    <t>增速（%）</t>
  </si>
  <si>
    <t>一、工业总产值</t>
  </si>
  <si>
    <t xml:space="preserve">  # 轻工业</t>
  </si>
  <si>
    <t xml:space="preserve">    重工业</t>
  </si>
  <si>
    <t xml:space="preserve">  # 国有企业</t>
  </si>
  <si>
    <t xml:space="preserve">    集体企业</t>
  </si>
  <si>
    <t xml:space="preserve">    股份合作制企业</t>
  </si>
  <si>
    <t xml:space="preserve">    股份制企业</t>
  </si>
  <si>
    <t xml:space="preserve">    外商及港澳台企业</t>
  </si>
  <si>
    <t xml:space="preserve">    其他经济类型企业</t>
  </si>
  <si>
    <t xml:space="preserve">  # 国有及国有控股企业</t>
  </si>
  <si>
    <t xml:space="preserve">    民营企业</t>
  </si>
  <si>
    <t xml:space="preserve">  # 大型企业</t>
  </si>
  <si>
    <t xml:space="preserve">    中型企业</t>
  </si>
  <si>
    <t xml:space="preserve">    小型企业</t>
  </si>
  <si>
    <t xml:space="preserve">    微型企业</t>
  </si>
  <si>
    <t>二、出口交货值</t>
  </si>
  <si>
    <t>现价销售产值         （亿元）</t>
  </si>
  <si>
    <t>产品销售率（%）</t>
  </si>
  <si>
    <t>产品销售率增速（%）</t>
  </si>
  <si>
    <t>三、销售产值及产销率</t>
  </si>
  <si>
    <t>注：2011年起，规模以上工业统计范围为主营业务收入2000万元及以上的工业法人企业。</t>
  </si>
  <si>
    <t>规模以上工业生产情况（二）</t>
  </si>
  <si>
    <t>一、工业增加值</t>
  </si>
  <si>
    <t>规模以上工业企业经济效益</t>
  </si>
  <si>
    <t>计量单位</t>
  </si>
  <si>
    <t>1-11月</t>
  </si>
  <si>
    <t>企业单位数</t>
  </si>
  <si>
    <t>个</t>
  </si>
  <si>
    <t xml:space="preserve">    #亏损企业</t>
  </si>
  <si>
    <t>亏损企业亏损额</t>
  </si>
  <si>
    <t>营业收入</t>
  </si>
  <si>
    <t>实现利税总额</t>
  </si>
  <si>
    <t xml:space="preserve">    #利润总额</t>
  </si>
  <si>
    <t>资产合计</t>
  </si>
  <si>
    <t>负债合计</t>
  </si>
  <si>
    <t>流动资产合计</t>
  </si>
  <si>
    <t>产成品</t>
  </si>
  <si>
    <t>财务费用</t>
  </si>
  <si>
    <t>全部从业人员平均人数</t>
  </si>
  <si>
    <t>万人</t>
  </si>
  <si>
    <t>经济效益综合指数</t>
  </si>
  <si>
    <t>资产贡献率</t>
  </si>
  <si>
    <t>资产增值率</t>
  </si>
  <si>
    <t>资产负债率</t>
  </si>
  <si>
    <t>流动资产周转率</t>
  </si>
  <si>
    <t>次</t>
  </si>
  <si>
    <t>成本利润率</t>
  </si>
  <si>
    <t>劳动生产率</t>
  </si>
  <si>
    <t>万元/人</t>
  </si>
  <si>
    <t>产品销售率</t>
  </si>
  <si>
    <t>分行业规模以上工业企业总产值(一）</t>
  </si>
  <si>
    <t>全市总计</t>
  </si>
  <si>
    <t>黑色金属矿采矿业</t>
  </si>
  <si>
    <t>有色金属矿采选业</t>
  </si>
  <si>
    <t>非金属矿采选业</t>
  </si>
  <si>
    <t>开采辅助活动</t>
  </si>
  <si>
    <t>其他采矿业</t>
  </si>
  <si>
    <t>农副食品加工业</t>
  </si>
  <si>
    <t xml:space="preserve">    其中：植物油加工    </t>
  </si>
  <si>
    <t xml:space="preserve">          制糖</t>
  </si>
  <si>
    <t xml:space="preserve">          水产品加工</t>
  </si>
  <si>
    <t>食品制造业</t>
  </si>
  <si>
    <t>酒.饮料和精制茶制造业</t>
  </si>
  <si>
    <t>烟草制品业</t>
  </si>
  <si>
    <t>纺织业</t>
  </si>
  <si>
    <t>纺织服装、服饰业</t>
  </si>
  <si>
    <t>皮革毛皮羽毛制品业</t>
  </si>
  <si>
    <t>木材.竹.藤.棕.草制品业</t>
  </si>
  <si>
    <t>家具制造业</t>
  </si>
  <si>
    <t>造纸及纸制品业</t>
  </si>
  <si>
    <t>印刷、记录媒介复制</t>
  </si>
  <si>
    <t>分行业规模以上工业企业总产值(二）</t>
  </si>
  <si>
    <t>文教体育娱乐用品制造业</t>
  </si>
  <si>
    <t>石油加工.炼焦业</t>
  </si>
  <si>
    <t>化学原料及化学制造业</t>
  </si>
  <si>
    <t>医药制造业</t>
  </si>
  <si>
    <t>橡胶和塑料制品业</t>
  </si>
  <si>
    <t>非金属矿制品业</t>
  </si>
  <si>
    <t>黑色金属冶炼压延加工业</t>
  </si>
  <si>
    <t>有色金属冶炼压延加工业</t>
  </si>
  <si>
    <t>金属制品业</t>
  </si>
  <si>
    <t>通用机械制造业</t>
  </si>
  <si>
    <t>专用设备制造业</t>
  </si>
  <si>
    <t>汽车制造业</t>
  </si>
  <si>
    <t>铁路船舶和其他运输设备制造</t>
  </si>
  <si>
    <t>电气机械及器材制造业</t>
  </si>
  <si>
    <t>通信设备.计算机制造业</t>
  </si>
  <si>
    <t>其他制造业</t>
  </si>
  <si>
    <t>废弃资源废旧材料回收业</t>
  </si>
  <si>
    <t>金属制品.机械和设备修理业</t>
  </si>
  <si>
    <t>电力.热力生产和供应业</t>
  </si>
  <si>
    <t>燃气生产和供应业</t>
  </si>
  <si>
    <t>自来水的生产和供应业</t>
  </si>
  <si>
    <t>规模以上工业企业主要产品产量(一）</t>
  </si>
  <si>
    <t>原  盐</t>
  </si>
  <si>
    <t>饲  料</t>
  </si>
  <si>
    <t>食用植物油</t>
  </si>
  <si>
    <t>小麦粉</t>
  </si>
  <si>
    <t>鲜冷藏冻肉</t>
  </si>
  <si>
    <t>成品糖</t>
  </si>
  <si>
    <t>罐头</t>
  </si>
  <si>
    <t>发酵酒精</t>
  </si>
  <si>
    <t>千升</t>
  </si>
  <si>
    <t>饮料酒</t>
  </si>
  <si>
    <t xml:space="preserve">  其中:白酒   </t>
  </si>
  <si>
    <t xml:space="preserve">       啤酒   </t>
  </si>
  <si>
    <t>乳制品</t>
  </si>
  <si>
    <t>饮料</t>
  </si>
  <si>
    <t>冷冻水产品</t>
  </si>
  <si>
    <t>卷  烟</t>
  </si>
  <si>
    <t>亿支</t>
  </si>
  <si>
    <t>纱</t>
  </si>
  <si>
    <t>鞋</t>
  </si>
  <si>
    <t>万双</t>
  </si>
  <si>
    <t>服装</t>
  </si>
  <si>
    <t>万件</t>
  </si>
  <si>
    <t>规模以上工业企业主要产品产量(二）</t>
  </si>
  <si>
    <t>纸浆</t>
  </si>
  <si>
    <t>人造板</t>
  </si>
  <si>
    <t>万立方米</t>
  </si>
  <si>
    <t>家具</t>
  </si>
  <si>
    <t>机制纸及纸板</t>
  </si>
  <si>
    <t>纸制品</t>
  </si>
  <si>
    <t>原油加工量</t>
  </si>
  <si>
    <t>汽油</t>
  </si>
  <si>
    <t>柴油</t>
  </si>
  <si>
    <t>燃料油</t>
  </si>
  <si>
    <t>石脑油</t>
  </si>
  <si>
    <t>石油沥青</t>
  </si>
  <si>
    <t>液化石油气</t>
  </si>
  <si>
    <t>硫酸(折100%)</t>
  </si>
  <si>
    <t>纯苯</t>
  </si>
  <si>
    <t>农用化学肥料</t>
  </si>
  <si>
    <t>磷酸二铵（实物量）</t>
  </si>
  <si>
    <t>初级形态的塑料</t>
  </si>
  <si>
    <t>化学药品原药</t>
  </si>
  <si>
    <t>涂料</t>
  </si>
  <si>
    <t>中成药</t>
  </si>
  <si>
    <t>规模以上工业企业主要产品产量(三）</t>
  </si>
  <si>
    <t>塑料制品</t>
  </si>
  <si>
    <t>塑料薄膜</t>
  </si>
  <si>
    <t>橡胶轮胎外胎</t>
  </si>
  <si>
    <t>万条</t>
  </si>
  <si>
    <t>水泥</t>
  </si>
  <si>
    <t>商品混凝土</t>
  </si>
  <si>
    <t>砖(折标准砖)</t>
  </si>
  <si>
    <t>亿块</t>
  </si>
  <si>
    <t>玻璃包装容器</t>
  </si>
  <si>
    <t>瓷砖</t>
  </si>
  <si>
    <t>生铁</t>
  </si>
  <si>
    <t>粗钢</t>
  </si>
  <si>
    <t>钢材</t>
  </si>
  <si>
    <t>金属门窗及类似制品</t>
  </si>
  <si>
    <t>铝  材</t>
  </si>
  <si>
    <t>金属紧固件</t>
  </si>
  <si>
    <t>农产品初加工机械</t>
  </si>
  <si>
    <t>台</t>
  </si>
  <si>
    <t>变压器</t>
  </si>
  <si>
    <t>万千伏安</t>
  </si>
  <si>
    <t>电饭锅</t>
  </si>
  <si>
    <t>万个</t>
  </si>
  <si>
    <t>灯具照明装置</t>
  </si>
  <si>
    <t>万台（套）</t>
  </si>
  <si>
    <t>发电量</t>
  </si>
  <si>
    <t>供电量</t>
  </si>
  <si>
    <t>工业综合能源消费量</t>
  </si>
  <si>
    <t>单位：万吨标准煤</t>
  </si>
  <si>
    <t>规模以上工业企业</t>
  </si>
  <si>
    <t xml:space="preserve">    采矿业</t>
  </si>
  <si>
    <t xml:space="preserve">    制造业</t>
  </si>
  <si>
    <t xml:space="preserve">    电力、热力、燃气及水生产和供应业</t>
  </si>
  <si>
    <t xml:space="preserve"> 高耗能行业</t>
  </si>
  <si>
    <t xml:space="preserve">  25.石油、煤炭及其他燃料加工业 </t>
  </si>
  <si>
    <t xml:space="preserve">  26.化学原料和化学制品制造业</t>
  </si>
  <si>
    <t xml:space="preserve">  30.非金属矿物制品业</t>
  </si>
  <si>
    <t xml:space="preserve">  31.黑色金属冶炼和压延加工业</t>
  </si>
  <si>
    <t xml:space="preserve">  32.有色金属冶炼和压延加工业 </t>
  </si>
  <si>
    <t xml:space="preserve">  44.电力、热力生产和供应业</t>
  </si>
  <si>
    <t>注：工业综合能源消费量(按当量值计算)为企业在工业生产活动中实际消费的各种能源的总和净值。</t>
  </si>
  <si>
    <t>交通运输完成情况</t>
  </si>
  <si>
    <t>一、港口货物吞吐量</t>
  </si>
  <si>
    <t>全市港口货物吞吐量</t>
  </si>
  <si>
    <t>全市港口集装箱吞吐量</t>
  </si>
  <si>
    <t>万TEU</t>
  </si>
  <si>
    <t>二、交通运输</t>
  </si>
  <si>
    <t>（一）公 路</t>
  </si>
  <si>
    <t xml:space="preserve">        货运量</t>
  </si>
  <si>
    <t>亿吨</t>
  </si>
  <si>
    <t xml:space="preserve">        货物周转量</t>
  </si>
  <si>
    <t>亿吨公里</t>
  </si>
  <si>
    <t xml:space="preserve">        客运量</t>
  </si>
  <si>
    <t xml:space="preserve">        旅客周转量</t>
  </si>
  <si>
    <t>亿人公里</t>
  </si>
  <si>
    <t>（二）水 路</t>
  </si>
  <si>
    <t>固定资产投资完成情况</t>
  </si>
  <si>
    <t>一、固定资产投资</t>
  </si>
  <si>
    <t xml:space="preserve">       基础设施 </t>
  </si>
  <si>
    <t xml:space="preserve">          #城市建设</t>
  </si>
  <si>
    <t xml:space="preserve">           交通运输基础设施投资</t>
  </si>
  <si>
    <t xml:space="preserve">       房地产开发</t>
  </si>
  <si>
    <t xml:space="preserve">       工业</t>
  </si>
  <si>
    <t xml:space="preserve">          #技术改造</t>
  </si>
  <si>
    <t xml:space="preserve">    按注册类型分：国有经济投资</t>
  </si>
  <si>
    <t xml:space="preserve">                  民间投资</t>
  </si>
  <si>
    <t xml:space="preserve">                  港澳台及外商投资</t>
  </si>
  <si>
    <t xml:space="preserve">    按产业分：第一产业</t>
  </si>
  <si>
    <t xml:space="preserve">              第二产业</t>
  </si>
  <si>
    <t xml:space="preserve">              第三产业</t>
  </si>
  <si>
    <t>二、施工项目个数</t>
  </si>
  <si>
    <t xml:space="preserve">      #亿元以上项目</t>
  </si>
  <si>
    <t xml:space="preserve">      #工业新增项目</t>
  </si>
  <si>
    <t>三、本年施工房屋面积</t>
  </si>
  <si>
    <t xml:space="preserve">       #住宅</t>
  </si>
  <si>
    <t>四、竣工面积</t>
  </si>
  <si>
    <t>五、商品房销售面积</t>
  </si>
  <si>
    <t>六、商品房销售额</t>
  </si>
  <si>
    <t>一、社会消费品零售总额</t>
  </si>
  <si>
    <t>（一）按销售单位所在地分</t>
  </si>
  <si>
    <t xml:space="preserve">       1.城镇</t>
  </si>
  <si>
    <t xml:space="preserve">       2.乡村</t>
  </si>
  <si>
    <t>（二）按行业分</t>
  </si>
  <si>
    <t xml:space="preserve">       1.批发零售贸易业</t>
  </si>
  <si>
    <t xml:space="preserve">       2.住宿和餐饮业</t>
  </si>
  <si>
    <t>（三）限额以上批发和零售业消费品零售额</t>
  </si>
  <si>
    <t xml:space="preserve">      粮油、食品、饮料、烟酒类</t>
  </si>
  <si>
    <t xml:space="preserve">      服装鞋帽针纺织品类</t>
  </si>
  <si>
    <t xml:space="preserve">      化妆品类</t>
  </si>
  <si>
    <t xml:space="preserve">      金银珠宝类</t>
  </si>
  <si>
    <t xml:space="preserve">      日用品类</t>
  </si>
  <si>
    <t xml:space="preserve">      五金电料类</t>
  </si>
  <si>
    <t xml:space="preserve">      体育娱乐用品类</t>
  </si>
  <si>
    <t xml:space="preserve">      书报杂志类</t>
  </si>
  <si>
    <t xml:space="preserve">      电子出版物及音像制品类</t>
  </si>
  <si>
    <t xml:space="preserve">      家用电器和音像器材类</t>
  </si>
  <si>
    <t xml:space="preserve">      中西药品类</t>
  </si>
  <si>
    <t xml:space="preserve">      文化办公用品类</t>
  </si>
  <si>
    <t xml:space="preserve">      家具类</t>
  </si>
  <si>
    <t xml:space="preserve">      通讯器材类</t>
  </si>
  <si>
    <t xml:space="preserve">      石油及制品类</t>
  </si>
  <si>
    <t xml:space="preserve">      建筑及装潢材料类</t>
  </si>
  <si>
    <t xml:space="preserve">      机电产品及设备类</t>
  </si>
  <si>
    <t xml:space="preserve">      汽车类</t>
  </si>
  <si>
    <t xml:space="preserve">      其他类</t>
  </si>
  <si>
    <t>财政收支情况</t>
  </si>
  <si>
    <t>单位:亿元</t>
  </si>
  <si>
    <t>增长％</t>
  </si>
  <si>
    <t xml:space="preserve">     地方一般公共预算收入</t>
  </si>
  <si>
    <t xml:space="preserve">       ＃税收收入</t>
  </si>
  <si>
    <t xml:space="preserve">            ＃增值税</t>
  </si>
  <si>
    <t xml:space="preserve">              企业所得税</t>
  </si>
  <si>
    <t xml:space="preserve">              个人所得税</t>
  </si>
  <si>
    <t xml:space="preserve">         非税收入</t>
  </si>
  <si>
    <t xml:space="preserve">    地方一般公共预算支出</t>
  </si>
  <si>
    <t xml:space="preserve">        ＃一般公共服务</t>
  </si>
  <si>
    <t xml:space="preserve">          科学技术</t>
  </si>
  <si>
    <t xml:space="preserve">          民生支出合计</t>
  </si>
  <si>
    <t xml:space="preserve">             ＃教育</t>
  </si>
  <si>
    <t xml:space="preserve">              文化体育与传媒</t>
  </si>
  <si>
    <t xml:space="preserve">              社会保障和就业</t>
  </si>
  <si>
    <t xml:space="preserve">              医疗卫生和计划生育</t>
  </si>
  <si>
    <t xml:space="preserve">              节能环保</t>
  </si>
  <si>
    <t xml:space="preserve">              城乡社区事务</t>
  </si>
  <si>
    <t xml:space="preserve">              农林水事务</t>
  </si>
  <si>
    <t xml:space="preserve">              交通运输</t>
  </si>
  <si>
    <t xml:space="preserve">              住房保障支出</t>
  </si>
  <si>
    <t xml:space="preserve">              粮油物资储备事务</t>
  </si>
  <si>
    <t>注：财政数据由湛江市财政局提供。</t>
  </si>
  <si>
    <t>金  融</t>
  </si>
  <si>
    <t>12月末余额</t>
  </si>
  <si>
    <t>金融机构本外币各项存款余额</t>
  </si>
  <si>
    <t>　　（一）境内存款</t>
  </si>
  <si>
    <t>　　　　1.住户存款</t>
  </si>
  <si>
    <t xml:space="preserve">        2.非金融企业存款</t>
  </si>
  <si>
    <t xml:space="preserve">        3.广义政府存款</t>
  </si>
  <si>
    <t xml:space="preserve">        4.非银行业金融机构存款</t>
  </si>
  <si>
    <t>　　（二）境外存款</t>
  </si>
  <si>
    <t>金融机构本外币各项贷款余额</t>
  </si>
  <si>
    <t>　　（一）境内贷款</t>
  </si>
  <si>
    <t>　　　　1.住户贷款</t>
  </si>
  <si>
    <t xml:space="preserve">        2.非金融企业及机关团体贷款</t>
  </si>
  <si>
    <t xml:space="preserve">        3.非银行业金融机构贷款</t>
  </si>
  <si>
    <t>　　（二）境外贷款</t>
  </si>
  <si>
    <t>金融机构人民币各项存款余额</t>
  </si>
  <si>
    <t>　　　　　　其中：活期存款</t>
  </si>
  <si>
    <t>　　　　　　其中：机关团体存款</t>
  </si>
  <si>
    <t>金融机构人民币各项贷款余额</t>
  </si>
  <si>
    <t>　　　　　　其中：中长期贷款</t>
  </si>
  <si>
    <t>　　　　　　其中：短期贷款</t>
  </si>
  <si>
    <t>　　　　　　      中长期贷款</t>
  </si>
  <si>
    <t>注：金融数据由中国人民银行湛江市中心支行提供。</t>
  </si>
  <si>
    <t>对  外  经  济</t>
  </si>
  <si>
    <t>一、外贸进出口总额</t>
  </si>
  <si>
    <t xml:space="preserve">   (一)出口总额</t>
  </si>
  <si>
    <t xml:space="preserve">   1.按主要贸易方式分</t>
  </si>
  <si>
    <t xml:space="preserve">       一般贸易</t>
  </si>
  <si>
    <t xml:space="preserve">       来料加工</t>
  </si>
  <si>
    <t xml:space="preserve">       进料加工</t>
  </si>
  <si>
    <t xml:space="preserve">         保税仓进出境货物</t>
  </si>
  <si>
    <t xml:space="preserve">   2.按主要经济类型分</t>
  </si>
  <si>
    <t xml:space="preserve">       国有企业</t>
  </si>
  <si>
    <t xml:space="preserve">      “三”资企业</t>
  </si>
  <si>
    <t xml:space="preserve">       集体企业</t>
  </si>
  <si>
    <t xml:space="preserve">       私营企业</t>
  </si>
  <si>
    <t xml:space="preserve">   4.按主要国家（地区）分</t>
  </si>
  <si>
    <t>东     盟</t>
  </si>
  <si>
    <t>欧     盟</t>
  </si>
  <si>
    <t>美     国</t>
  </si>
  <si>
    <t>日     本</t>
  </si>
  <si>
    <t>印     度</t>
  </si>
  <si>
    <t xml:space="preserve">  (二)进口总额</t>
  </si>
  <si>
    <t xml:space="preserve">  按主要贸易方式分</t>
  </si>
  <si>
    <t xml:space="preserve">    一般贸易</t>
  </si>
  <si>
    <t xml:space="preserve">    来料加工</t>
  </si>
  <si>
    <t xml:space="preserve">    进料加工</t>
  </si>
  <si>
    <t xml:space="preserve">      保税仓进出境货物</t>
  </si>
  <si>
    <t>二、使用外资金额 （1-12月）</t>
  </si>
  <si>
    <t xml:space="preserve">      外商直接投资项目个数 </t>
  </si>
  <si>
    <t xml:space="preserve">      合同利用外商直接投资</t>
  </si>
  <si>
    <t xml:space="preserve">      实际利用外商直接投资</t>
  </si>
  <si>
    <t>注:对外经济数据由湛江市商务局提供。</t>
  </si>
  <si>
    <t>人 民 生 活</t>
  </si>
  <si>
    <t>单位：元</t>
  </si>
  <si>
    <t>一、居民人均可支配收入</t>
  </si>
  <si>
    <t xml:space="preserve">    1、工资性收入</t>
  </si>
  <si>
    <t xml:space="preserve">    2、经营净收入</t>
  </si>
  <si>
    <t xml:space="preserve">    3、财产净收入</t>
  </si>
  <si>
    <t xml:space="preserve">    4、转移净收入</t>
  </si>
  <si>
    <t>其中：城镇常住居民人均可支配收入</t>
  </si>
  <si>
    <t xml:space="preserve">      农村常住居民人均可支配收入</t>
  </si>
  <si>
    <t>二、居民人均消费支出</t>
  </si>
  <si>
    <t xml:space="preserve">    1、食品烟酒</t>
  </si>
  <si>
    <t xml:space="preserve">    2、衣着</t>
  </si>
  <si>
    <t xml:space="preserve">    3、居住</t>
  </si>
  <si>
    <t xml:space="preserve">    4、生活用品及服务</t>
  </si>
  <si>
    <t xml:space="preserve">    5、交通通信</t>
  </si>
  <si>
    <t xml:space="preserve">    6、教育文化娱乐</t>
  </si>
  <si>
    <t xml:space="preserve">    7、医疗保健</t>
  </si>
  <si>
    <t xml:space="preserve">    8、其他用品和服务</t>
  </si>
  <si>
    <t>其中：城镇常住居民人均消费支出</t>
  </si>
  <si>
    <t xml:space="preserve">      农村常住居民人均消费支出</t>
  </si>
  <si>
    <t>注:居民收支数据由国家统计局湛江调查队提供。</t>
  </si>
  <si>
    <t>单位：%</t>
  </si>
  <si>
    <t>上年同月=100</t>
  </si>
  <si>
    <t>上年同期=100</t>
  </si>
  <si>
    <t>一、居民消费价格总指数</t>
  </si>
  <si>
    <t>（一）食品烟酒</t>
  </si>
  <si>
    <t xml:space="preserve">       #粮食</t>
  </si>
  <si>
    <t xml:space="preserve">        鲜菜</t>
  </si>
  <si>
    <t xml:space="preserve">        畜肉类</t>
  </si>
  <si>
    <t xml:space="preserve">        水产品</t>
  </si>
  <si>
    <t xml:space="preserve">        蛋类</t>
  </si>
  <si>
    <t xml:space="preserve">        在外餐饮</t>
  </si>
  <si>
    <t>（二）衣着</t>
  </si>
  <si>
    <t>（三）居住</t>
  </si>
  <si>
    <t>（四）生活用品及服务</t>
  </si>
  <si>
    <t>（五）交通和通信</t>
  </si>
  <si>
    <t>（六）教育文化和娱乐</t>
  </si>
  <si>
    <t xml:space="preserve">      #教育</t>
  </si>
  <si>
    <t>（七）医疗保健</t>
  </si>
  <si>
    <t>（八）其他用品和服务</t>
  </si>
  <si>
    <t>服务项目价格指数</t>
  </si>
  <si>
    <t>二、商品零售价格指数（%）</t>
  </si>
  <si>
    <t>注:价格指数数据由国家统计局湛江调查队提供。</t>
  </si>
  <si>
    <t>各县（市、 区）主要经济指标完成情况（一）</t>
  </si>
  <si>
    <t>市  别</t>
  </si>
  <si>
    <t>一、生产总值</t>
  </si>
  <si>
    <t xml:space="preserve">     全  市</t>
  </si>
  <si>
    <t xml:space="preserve">     赤坎区</t>
  </si>
  <si>
    <t xml:space="preserve">     霞山区</t>
  </si>
  <si>
    <t xml:space="preserve">     坡头区</t>
  </si>
  <si>
    <t xml:space="preserve">     麻章区（含东海岛）</t>
  </si>
  <si>
    <t xml:space="preserve">       其中：麻章区</t>
  </si>
  <si>
    <t xml:space="preserve">     开发区</t>
  </si>
  <si>
    <t xml:space="preserve">     吴川市</t>
  </si>
  <si>
    <t xml:space="preserve">     徐闻县</t>
  </si>
  <si>
    <t xml:space="preserve">     雷州市</t>
  </si>
  <si>
    <t xml:space="preserve">     遂溪县</t>
  </si>
  <si>
    <t xml:space="preserve">     廉江市</t>
  </si>
  <si>
    <t>二、第一产业增加值</t>
  </si>
  <si>
    <t>各县（市、 区）主要经济指标完成情况（二）</t>
  </si>
  <si>
    <t>三、第二产业增加值</t>
  </si>
  <si>
    <t>四、第三产业增加值</t>
  </si>
  <si>
    <t>各县（市、 区）主要经济指标完成情况（三）</t>
  </si>
  <si>
    <t>五：工业增加值</t>
  </si>
  <si>
    <t>六、规模以上工业产品销售产值</t>
  </si>
  <si>
    <t xml:space="preserve">     麻章区</t>
  </si>
  <si>
    <t xml:space="preserve">  总计中：开发区</t>
  </si>
  <si>
    <t>各县（市、 区）主要经济指标完成情况（四）</t>
  </si>
  <si>
    <t>七、规模以上工业增加值</t>
  </si>
  <si>
    <t>八、规模以上工业总产值</t>
  </si>
  <si>
    <t>各县（市、 区）主要经济指标完成情况（五）</t>
  </si>
  <si>
    <t>九、规模以上产品销售率(%)</t>
  </si>
  <si>
    <t>十、规模以上工业产品出口交货值（亿元）</t>
  </si>
  <si>
    <t>各县（市、 区）主要经济指标完成情况（六）</t>
  </si>
  <si>
    <t>十一、规模以上工业企业经济效益综合指数(%)</t>
  </si>
  <si>
    <t>十二、规模以上工业企业单位数（个）</t>
  </si>
  <si>
    <t>各县（市、 区）主要经济指标完成情况（七）</t>
  </si>
  <si>
    <t>十三、规模以上工业亏损企业数（个）</t>
  </si>
  <si>
    <t>十四、规模以上工业企业营业收入(亿元)</t>
  </si>
  <si>
    <t>各县（市、 区）主要经济指标完成情况（八）</t>
  </si>
  <si>
    <t>十五、规模以上工业企业利润总额</t>
  </si>
  <si>
    <t>十六、规模以上工业企业亏损额</t>
  </si>
  <si>
    <t>各县（市、 区）主要经济指标完成情况（九）</t>
  </si>
  <si>
    <t>十七、规模以上工业企业利税总额</t>
  </si>
  <si>
    <t>十八、规模以上工业企业资产合计</t>
  </si>
  <si>
    <t>各县（市、 区）主要经济指标完成情况（十）</t>
  </si>
  <si>
    <t>十九、规模以上工业企业负债合计</t>
  </si>
  <si>
    <t>二十、规模以上工业企业流动资产合计</t>
  </si>
  <si>
    <t>各县（市、 区）主要经济指标完成情况（十一）</t>
  </si>
  <si>
    <t>二十一、规模以上工业企业产成品</t>
  </si>
  <si>
    <t>二十二、规模以上工业企业财务费用</t>
  </si>
  <si>
    <t>各县（市、 区）主要经济指标完成情况（十二）</t>
  </si>
  <si>
    <t>二十三、规模以上工业企业全部平均人数(人）</t>
  </si>
  <si>
    <t>二十四、规模以上工业企业资产贡献率（%）</t>
  </si>
  <si>
    <t>各县（市、 区）主要经济指标完成情况（十三）</t>
  </si>
  <si>
    <t>二十五、规模以上工业企业资产增值率</t>
  </si>
  <si>
    <t>二十六、规模以上工业企业资产负债率</t>
  </si>
  <si>
    <t>各县（市、 区）主要经济指标完成情况（十四）</t>
  </si>
  <si>
    <t>二十七、规模以上工业企业流动资产周转率</t>
  </si>
  <si>
    <t>二十八、规模以上工业企业成本利润率</t>
  </si>
  <si>
    <t>各县（市、 区）主要经济指标完成情况（十五）</t>
  </si>
  <si>
    <t>二十九、社会消费品零售总额</t>
  </si>
  <si>
    <t>三十、固定资产投资</t>
  </si>
  <si>
    <t xml:space="preserve">       其中：奋勇新区</t>
  </si>
  <si>
    <t>各县（市、 区）主要经济指标完成情况（十六）</t>
  </si>
  <si>
    <t>其中：工业投资</t>
  </si>
  <si>
    <t xml:space="preserve">  其中：工业技改投资</t>
  </si>
  <si>
    <t>各县（市、 区）主要经济指标完成情况（十七）</t>
  </si>
  <si>
    <t>三十一、房地产开发投资</t>
  </si>
  <si>
    <t>三十二、商品房销售面积</t>
  </si>
  <si>
    <t>各县（市、 区）主要经济指标完成情况（十八）</t>
  </si>
  <si>
    <t>三十三、地方一般公共预算收入</t>
  </si>
  <si>
    <t>三十四、地方一般公共预算支出</t>
  </si>
  <si>
    <t>各县（市、 区）主要经济指标完成情况（十九）</t>
  </si>
  <si>
    <t>三十五、进出口总额（亿元）1-11月</t>
  </si>
  <si>
    <t>三十六、实际使用外资（万美元）</t>
  </si>
  <si>
    <t>注：实际使用外资按原口径统计。</t>
  </si>
  <si>
    <t>各县（市、区）生产总值</t>
  </si>
  <si>
    <t>市别</t>
  </si>
  <si>
    <t>各县（市、区）规上工业增加值及固定资产投资（一）</t>
  </si>
  <si>
    <t>各县（市、区）规上工业增加值及固定资产投资（二）</t>
  </si>
  <si>
    <t>各县（市、区）规上工业增加值及固定资产投资（三）</t>
  </si>
  <si>
    <t>各县（市、区）规上工业增加值及固定资产投资（四）</t>
  </si>
  <si>
    <t>各县（市、区）规上工业增加值及固定资产投资（五）</t>
  </si>
  <si>
    <t>各县（市、区）规上工业增加值及固定资产投资（六）</t>
  </si>
  <si>
    <t>各县（市、区）社会消费品零售总额及地方一般公共预算收入（一）</t>
  </si>
  <si>
    <t>各县（市、区）社会消费品零售总额及地方一般公共预算收入（二）</t>
  </si>
  <si>
    <t>各县（市、区）社会消费品零售总额及地方一般公共预算收入（三）</t>
  </si>
  <si>
    <t>各县（市、区）社会消费品零售总额及地方一般公共预算收入（四）</t>
  </si>
  <si>
    <t>各县（市、区）社会消费品零售总额及地方一般公共预算收入（五）</t>
  </si>
  <si>
    <t>各县（市、区）社会消费品零售总额及地方一般公共预算收入（六）</t>
  </si>
  <si>
    <t>全国及全省各市主要经济指标完成情况（五）</t>
  </si>
  <si>
    <t xml:space="preserve"> 市    别 </t>
  </si>
  <si>
    <t>地税收入</t>
  </si>
  <si>
    <t>国税收入</t>
  </si>
  <si>
    <t>1-5月</t>
  </si>
  <si>
    <t>增长（%）</t>
  </si>
  <si>
    <t>增速排位</t>
  </si>
  <si>
    <t>全  国</t>
  </si>
  <si>
    <t>全  省</t>
  </si>
  <si>
    <t>广州市</t>
  </si>
  <si>
    <t>深圳市</t>
  </si>
  <si>
    <t>珠海市</t>
  </si>
  <si>
    <t>汕头市</t>
  </si>
  <si>
    <t>佛山市</t>
  </si>
  <si>
    <t>韶关市</t>
  </si>
  <si>
    <t>河源市</t>
  </si>
  <si>
    <t>梅州市</t>
  </si>
  <si>
    <t>惠州市</t>
  </si>
  <si>
    <t>汕尾市</t>
  </si>
  <si>
    <t>东莞市</t>
  </si>
  <si>
    <t>中山市</t>
  </si>
  <si>
    <t>江门市</t>
  </si>
  <si>
    <t>阳江市</t>
  </si>
  <si>
    <t>湛江市</t>
  </si>
  <si>
    <t>茂名市</t>
  </si>
  <si>
    <t>肇庆市</t>
  </si>
  <si>
    <t>清远市</t>
  </si>
  <si>
    <t>潮州市</t>
  </si>
  <si>
    <t>揭阳市</t>
  </si>
  <si>
    <t>云浮市</t>
  </si>
  <si>
    <t>规模以上工业增加值序列</t>
  </si>
  <si>
    <t xml:space="preserve">  单位：万元</t>
  </si>
  <si>
    <t>时间</t>
  </si>
  <si>
    <t xml:space="preserve">  累计</t>
  </si>
  <si>
    <t>累计增长%</t>
  </si>
  <si>
    <t>月份</t>
  </si>
  <si>
    <t>2016年</t>
  </si>
  <si>
    <t>2017年</t>
  </si>
  <si>
    <t>累计数</t>
  </si>
  <si>
    <t>增速%</t>
  </si>
  <si>
    <t>1月</t>
  </si>
  <si>
    <t>2月</t>
  </si>
  <si>
    <t>3月</t>
  </si>
  <si>
    <t>4月</t>
  </si>
  <si>
    <t>5月</t>
  </si>
  <si>
    <t>6月</t>
  </si>
  <si>
    <t>7月</t>
  </si>
  <si>
    <t>8月</t>
  </si>
  <si>
    <t>9月</t>
  </si>
  <si>
    <t>10月</t>
  </si>
  <si>
    <t>11月</t>
  </si>
  <si>
    <t>2019年</t>
  </si>
  <si>
    <t>单位：亿元、亿美元</t>
  </si>
  <si>
    <t>注：2016年起，进出口总额数据以人民币计价。</t>
  </si>
  <si>
    <t>一般公共预算收入</t>
  </si>
  <si>
    <t>备注：地方一般公共预算收入增速为可比口径增长。</t>
  </si>
  <si>
    <t>同比增减
百分点</t>
  </si>
  <si>
    <t>累计指数</t>
  </si>
  <si>
    <t>工业用电量</t>
  </si>
  <si>
    <t>单位：亿千瓦时</t>
  </si>
  <si>
    <t>固定资产投资序列</t>
  </si>
  <si>
    <r>
      <rPr>
        <sz val="12"/>
        <rFont val="宋体"/>
        <charset val="134"/>
      </rPr>
      <t xml:space="preserve"> </t>
    </r>
    <r>
      <rPr>
        <sz val="12"/>
        <rFont val="宋体"/>
        <charset val="134"/>
      </rPr>
      <t xml:space="preserve"> </t>
    </r>
    <r>
      <rPr>
        <sz val="12"/>
        <rFont val="宋体"/>
        <charset val="134"/>
      </rPr>
      <t>单位：万元</t>
    </r>
  </si>
  <si>
    <t>社会消费品零售总额序列</t>
  </si>
  <si>
    <t>出口序列</t>
  </si>
  <si>
    <t xml:space="preserve">    单位：万元</t>
  </si>
  <si>
    <t>外贸出口总额</t>
  </si>
  <si>
    <t xml:space="preserve"> </t>
  </si>
  <si>
    <t>地方一般公共预算收入序列</t>
  </si>
  <si>
    <t>工业用电量序列</t>
  </si>
  <si>
    <t xml:space="preserve">  单位：亿千瓦时</t>
  </si>
  <si>
    <t>（上年同期＝100）单位：%</t>
  </si>
  <si>
    <t>当月</t>
  </si>
  <si>
    <t>累计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</si>
</sst>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3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quot;-&quot;"/>
    <numFmt numFmtId="177" formatCode="#,##0;\(#,##0\)"/>
    <numFmt numFmtId="178" formatCode="_-* #,##0.00_-;\-* #,##0.00_-;_-* &quot;-&quot;??_-;_-@_-"/>
    <numFmt numFmtId="179" formatCode="_-&quot;$&quot;* #,##0_-;\-&quot;$&quot;* #,##0_-;_-&quot;$&quot;* &quot;-&quot;_-;_-@_-"/>
    <numFmt numFmtId="180" formatCode="_-&quot;$&quot;\ * #,##0.00_-;_-&quot;$&quot;\ * #,##0.00\-;_-&quot;$&quot;\ * &quot;-&quot;??_-;_-@_-"/>
    <numFmt numFmtId="181" formatCode="\$#,##0.00;\(\$#,##0.00\)"/>
    <numFmt numFmtId="182" formatCode="\$#,##0;\(\$#,##0\)"/>
    <numFmt numFmtId="183" formatCode="#,##0.0_);\(#,##0.0\)"/>
    <numFmt numFmtId="184" formatCode="_-&quot;$&quot;\ * #,##0_-;_-&quot;$&quot;\ * #,##0\-;_-&quot;$&quot;\ * &quot;-&quot;_-;_-@_-"/>
    <numFmt numFmtId="185" formatCode="&quot;$&quot;#,##0_);[Red]\(&quot;$&quot;#,##0\)"/>
    <numFmt numFmtId="186" formatCode="&quot;$&quot;#,##0.00_);[Red]\(&quot;$&quot;#,##0.00\)"/>
    <numFmt numFmtId="187" formatCode="&quot;$&quot;\ #,##0.00_-;[Red]&quot;$&quot;\ #,##0.00\-"/>
    <numFmt numFmtId="188" formatCode="&quot;$&quot;\ #,##0_-;[Red]&quot;$&quot;\ #,##0\-"/>
    <numFmt numFmtId="189" formatCode="0.00_)"/>
    <numFmt numFmtId="190" formatCode="#\ ??/??"/>
    <numFmt numFmtId="191" formatCode="_(&quot;$&quot;* #,##0.00_);_(&quot;$&quot;* \(#,##0.00\);_(&quot;$&quot;* &quot;-&quot;??_);_(@_)"/>
    <numFmt numFmtId="192" formatCode="_(&quot;$&quot;* #,##0_);_(&quot;$&quot;* \(#,##0\);_(&quot;$&quot;* &quot;-&quot;_);_(@_)"/>
    <numFmt numFmtId="193" formatCode="_-* #,##0_$_-;\-* #,##0_$_-;_-* &quot;-&quot;_$_-;_-@_-"/>
    <numFmt numFmtId="194" formatCode="_-* #,##0.00_$_-;\-* #,##0.00_$_-;_-* &quot;-&quot;??_$_-;_-@_-"/>
    <numFmt numFmtId="195" formatCode="_-* #,##0&quot;$&quot;_-;\-* #,##0&quot;$&quot;_-;_-* &quot;-&quot;&quot;$&quot;_-;_-@_-"/>
    <numFmt numFmtId="196" formatCode="_-* #,##0.00&quot;$&quot;_-;\-* #,##0.00&quot;$&quot;_-;_-* &quot;-&quot;??&quot;$&quot;_-;_-@_-"/>
    <numFmt numFmtId="197" formatCode="0_);\(0\)"/>
    <numFmt numFmtId="198" formatCode="yy\.mm\.dd"/>
    <numFmt numFmtId="199" formatCode="0.0"/>
    <numFmt numFmtId="200" formatCode="0.0_);[Red]\(0.0\)"/>
    <numFmt numFmtId="201" formatCode="0.0_ "/>
    <numFmt numFmtId="202" formatCode="0_);[Red]\(0\)"/>
    <numFmt numFmtId="203" formatCode="0.00_ "/>
    <numFmt numFmtId="204" formatCode="0;_؄"/>
    <numFmt numFmtId="205" formatCode="0_ "/>
    <numFmt numFmtId="206" formatCode="0.00_);[Red]\(0.00\)"/>
    <numFmt numFmtId="207" formatCode="0.0%"/>
    <numFmt numFmtId="208" formatCode="0.0000_ "/>
  </numFmts>
  <fonts count="116">
    <font>
      <sz val="12"/>
      <name val="宋体"/>
      <charset val="134"/>
    </font>
    <font>
      <sz val="8"/>
      <name val="宋体"/>
      <charset val="134"/>
    </font>
    <font>
      <sz val="10"/>
      <name val="Arial"/>
      <charset val="134"/>
    </font>
    <font>
      <b/>
      <sz val="18"/>
      <name val="方正小标宋简体"/>
      <charset val="134"/>
    </font>
    <font>
      <sz val="10"/>
      <name val="宋体"/>
      <charset val="134"/>
    </font>
    <font>
      <sz val="12"/>
      <color indexed="10"/>
      <name val="宋体"/>
      <charset val="134"/>
    </font>
    <font>
      <b/>
      <sz val="14"/>
      <name val="宋体"/>
      <charset val="134"/>
    </font>
    <font>
      <sz val="14"/>
      <name val="宋体"/>
      <charset val="134"/>
    </font>
    <font>
      <sz val="12"/>
      <color indexed="10"/>
      <name val="黑体"/>
      <charset val="134"/>
    </font>
    <font>
      <sz val="16"/>
      <name val="黑体"/>
      <charset val="134"/>
    </font>
    <font>
      <sz val="11"/>
      <name val="宋体"/>
      <charset val="134"/>
      <scheme val="minor"/>
    </font>
    <font>
      <b/>
      <sz val="11"/>
      <name val="宋体"/>
      <charset val="134"/>
      <scheme val="minor"/>
    </font>
    <font>
      <b/>
      <sz val="12"/>
      <name val="宋体"/>
      <charset val="134"/>
    </font>
    <font>
      <b/>
      <sz val="9"/>
      <name val="Times New Roman"/>
      <charset val="134"/>
    </font>
    <font>
      <sz val="9"/>
      <name val="Times New Roman"/>
      <charset val="134"/>
    </font>
    <font>
      <sz val="10.5"/>
      <name val="Times New Roman"/>
      <charset val="134"/>
    </font>
    <font>
      <sz val="14"/>
      <name val="仿宋_GB2312"/>
      <charset val="134"/>
    </font>
    <font>
      <sz val="10"/>
      <name val="宋体"/>
      <charset val="134"/>
      <scheme val="minor"/>
    </font>
    <font>
      <sz val="11"/>
      <name val="宋体"/>
      <charset val="134"/>
    </font>
    <font>
      <sz val="12"/>
      <name val="宋体"/>
      <charset val="134"/>
      <scheme val="minor"/>
    </font>
    <font>
      <b/>
      <sz val="12"/>
      <name val="宋体"/>
      <charset val="134"/>
      <scheme val="minor"/>
    </font>
    <font>
      <b/>
      <sz val="11"/>
      <name val="宋体"/>
      <charset val="134"/>
      <scheme val="major"/>
    </font>
    <font>
      <sz val="11"/>
      <name val="宋体"/>
      <charset val="134"/>
      <scheme val="major"/>
    </font>
    <font>
      <b/>
      <sz val="11"/>
      <name val="宋体"/>
      <charset val="134"/>
    </font>
    <font>
      <sz val="12"/>
      <name val="Times New Roman"/>
      <charset val="134"/>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
      <charset val="134"/>
    </font>
    <font>
      <sz val="10"/>
      <name val="Helv"/>
      <charset val="134"/>
    </font>
    <font>
      <sz val="10"/>
      <name val="Geneva"/>
      <charset val="134"/>
    </font>
    <font>
      <sz val="11"/>
      <color indexed="8"/>
      <name val="宋体"/>
      <charset val="134"/>
    </font>
    <font>
      <sz val="12"/>
      <color indexed="8"/>
      <name val="楷体_GB2312"/>
      <charset val="134"/>
    </font>
    <font>
      <sz val="11"/>
      <color indexed="9"/>
      <name val="宋体"/>
      <charset val="134"/>
    </font>
    <font>
      <sz val="12"/>
      <color indexed="9"/>
      <name val="楷体_GB2312"/>
      <charset val="134"/>
    </font>
    <font>
      <sz val="12"/>
      <color indexed="9"/>
      <name val="宋体"/>
      <charset val="134"/>
    </font>
    <font>
      <sz val="12"/>
      <color indexed="8"/>
      <name val="宋体"/>
      <charset val="134"/>
    </font>
    <font>
      <sz val="8"/>
      <name val="Times New Roman"/>
      <charset val="134"/>
    </font>
    <font>
      <sz val="11"/>
      <color indexed="20"/>
      <name val="宋体"/>
      <charset val="134"/>
    </font>
    <font>
      <sz val="10"/>
      <color indexed="8"/>
      <name val="Arial"/>
      <charset val="134"/>
    </font>
    <font>
      <b/>
      <sz val="11"/>
      <color indexed="52"/>
      <name val="宋体"/>
      <charset val="134"/>
    </font>
    <font>
      <b/>
      <sz val="11"/>
      <color indexed="9"/>
      <name val="宋体"/>
      <charset val="134"/>
    </font>
    <font>
      <sz val="10"/>
      <name val="Times New Roman"/>
      <charset val="134"/>
    </font>
    <font>
      <sz val="12"/>
      <name val="Arial"/>
      <charset val="134"/>
    </font>
    <font>
      <i/>
      <sz val="11"/>
      <color indexed="23"/>
      <name val="宋体"/>
      <charset val="134"/>
    </font>
    <font>
      <sz val="11"/>
      <color indexed="17"/>
      <name val="宋体"/>
      <charset val="134"/>
    </font>
    <font>
      <sz val="8"/>
      <name val="Arial"/>
      <charset val="134"/>
    </font>
    <font>
      <b/>
      <sz val="12"/>
      <name val="Arial"/>
      <charset val="134"/>
    </font>
    <font>
      <b/>
      <sz val="15"/>
      <color indexed="56"/>
      <name val="宋体"/>
      <charset val="134"/>
    </font>
    <font>
      <b/>
      <sz val="13"/>
      <color indexed="56"/>
      <name val="宋体"/>
      <charset val="134"/>
    </font>
    <font>
      <b/>
      <sz val="11"/>
      <color indexed="56"/>
      <name val="宋体"/>
      <charset val="134"/>
    </font>
    <font>
      <b/>
      <sz val="18"/>
      <name val="Arial"/>
      <charset val="134"/>
    </font>
    <font>
      <sz val="11"/>
      <color indexed="62"/>
      <name val="宋体"/>
      <charset val="134"/>
    </font>
    <font>
      <sz val="12"/>
      <name val="Helv"/>
      <charset val="134"/>
    </font>
    <font>
      <sz val="11"/>
      <color indexed="52"/>
      <name val="宋体"/>
      <charset val="134"/>
    </font>
    <font>
      <sz val="12"/>
      <color indexed="9"/>
      <name val="Helv"/>
      <charset val="134"/>
    </font>
    <font>
      <sz val="11"/>
      <color indexed="60"/>
      <name val="宋体"/>
      <charset val="134"/>
    </font>
    <font>
      <sz val="7"/>
      <name val="Small Fonts"/>
      <charset val="134"/>
    </font>
    <font>
      <sz val="10"/>
      <name val="Courier"/>
      <charset val="134"/>
    </font>
    <font>
      <b/>
      <sz val="11"/>
      <color indexed="63"/>
      <name val="宋体"/>
      <charset val="134"/>
    </font>
    <font>
      <b/>
      <sz val="10"/>
      <name val="MS Sans Serif"/>
      <charset val="134"/>
    </font>
    <font>
      <b/>
      <sz val="10"/>
      <name val="Arial"/>
      <charset val="134"/>
    </font>
    <font>
      <b/>
      <sz val="10"/>
      <name val="Tms Rmn"/>
      <charset val="134"/>
    </font>
    <font>
      <sz val="10"/>
      <color indexed="8"/>
      <name val="MS Sans Serif"/>
      <charset val="134"/>
    </font>
    <font>
      <b/>
      <sz val="18"/>
      <color indexed="56"/>
      <name val="宋体"/>
      <charset val="134"/>
    </font>
    <font>
      <sz val="11"/>
      <color indexed="10"/>
      <name val="宋体"/>
      <charset val="134"/>
    </font>
    <font>
      <b/>
      <sz val="15"/>
      <color indexed="56"/>
      <name val="楷体_GB2312"/>
      <charset val="134"/>
    </font>
    <font>
      <b/>
      <sz val="13"/>
      <color indexed="56"/>
      <name val="楷体_GB2312"/>
      <charset val="134"/>
    </font>
    <font>
      <b/>
      <sz val="11"/>
      <color indexed="56"/>
      <name val="楷体_GB2312"/>
      <charset val="134"/>
    </font>
    <font>
      <b/>
      <sz val="14"/>
      <name val="楷体"/>
      <charset val="134"/>
    </font>
    <font>
      <b/>
      <sz val="18"/>
      <color indexed="62"/>
      <name val="宋体"/>
      <charset val="134"/>
    </font>
    <font>
      <sz val="10"/>
      <name val="楷体"/>
      <charset val="134"/>
    </font>
    <font>
      <sz val="12"/>
      <color indexed="20"/>
      <name val="楷体_GB2312"/>
      <charset val="134"/>
    </font>
    <font>
      <sz val="12"/>
      <color indexed="20"/>
      <name val="宋体"/>
      <charset val="134"/>
    </font>
    <font>
      <sz val="10.5"/>
      <color indexed="20"/>
      <name val="宋体"/>
      <charset val="134"/>
    </font>
    <font>
      <sz val="12"/>
      <color indexed="16"/>
      <name val="宋体"/>
      <charset val="134"/>
    </font>
    <font>
      <sz val="10"/>
      <color indexed="20"/>
      <name val="宋体"/>
      <charset val="134"/>
    </font>
    <font>
      <b/>
      <sz val="9"/>
      <name val="Arial"/>
      <charset val="134"/>
    </font>
    <font>
      <sz val="12"/>
      <color indexed="17"/>
      <name val="楷体_GB2312"/>
      <charset val="134"/>
    </font>
    <font>
      <sz val="12"/>
      <color indexed="17"/>
      <name val="宋体"/>
      <charset val="134"/>
    </font>
    <font>
      <sz val="10.5"/>
      <color indexed="17"/>
      <name val="宋体"/>
      <charset val="134"/>
    </font>
    <font>
      <sz val="10"/>
      <color indexed="17"/>
      <name val="宋体"/>
      <charset val="134"/>
    </font>
    <font>
      <u/>
      <sz val="12"/>
      <color indexed="36"/>
      <name val="宋体"/>
      <charset val="134"/>
    </font>
    <font>
      <b/>
      <sz val="11"/>
      <color indexed="8"/>
      <name val="宋体"/>
      <charset val="134"/>
    </font>
    <font>
      <b/>
      <sz val="12"/>
      <color indexed="8"/>
      <name val="楷体_GB2312"/>
      <charset val="134"/>
    </font>
    <font>
      <b/>
      <sz val="12"/>
      <color indexed="52"/>
      <name val="楷体_GB2312"/>
      <charset val="134"/>
    </font>
    <font>
      <b/>
      <sz val="12"/>
      <color indexed="9"/>
      <name val="楷体_GB2312"/>
      <charset val="134"/>
    </font>
    <font>
      <i/>
      <sz val="12"/>
      <color indexed="23"/>
      <name val="楷体_GB2312"/>
      <charset val="134"/>
    </font>
    <font>
      <sz val="12"/>
      <color indexed="10"/>
      <name val="楷体_GB2312"/>
      <charset val="134"/>
    </font>
    <font>
      <sz val="12"/>
      <color indexed="52"/>
      <name val="楷体_GB2312"/>
      <charset val="134"/>
    </font>
    <font>
      <sz val="12"/>
      <name val="官帕眉"/>
      <charset val="134"/>
    </font>
    <font>
      <b/>
      <sz val="12"/>
      <color indexed="8"/>
      <name val="宋体"/>
      <charset val="134"/>
    </font>
    <font>
      <sz val="12"/>
      <color indexed="60"/>
      <name val="楷体_GB2312"/>
      <charset val="134"/>
    </font>
    <font>
      <b/>
      <sz val="12"/>
      <color indexed="63"/>
      <name val="楷体_GB2312"/>
      <charset val="134"/>
    </font>
    <font>
      <sz val="12"/>
      <color indexed="62"/>
      <name val="楷体_GB2312"/>
      <charset val="134"/>
    </font>
    <font>
      <sz val="12"/>
      <name val="Courier"/>
      <charset val="134"/>
    </font>
    <font>
      <sz val="10"/>
      <name val="MS Sans Serif"/>
      <charset val="134"/>
    </font>
    <font>
      <sz val="12"/>
      <name val="바탕체"/>
      <charset val="134"/>
    </font>
  </fonts>
  <fills count="65">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4"/>
        <bgColor indexed="64"/>
      </patternFill>
    </fill>
    <fill>
      <patternFill patternType="solid">
        <fgColor indexed="62"/>
        <bgColor indexed="64"/>
      </patternFill>
    </fill>
    <fill>
      <patternFill patternType="solid">
        <fgColor indexed="25"/>
        <bgColor indexed="64"/>
      </patternFill>
    </fill>
    <fill>
      <patternFill patternType="solid">
        <fgColor indexed="26"/>
        <bgColor indexed="64"/>
      </patternFill>
    </fill>
    <fill>
      <patternFill patternType="solid">
        <fgColor indexed="22"/>
        <bgColor indexed="64"/>
      </patternFill>
    </fill>
    <fill>
      <patternFill patternType="solid">
        <fgColor indexed="55"/>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15"/>
        <bgColor indexed="64"/>
      </patternFill>
    </fill>
    <fill>
      <patternFill patternType="solid">
        <fgColor indexed="12"/>
        <bgColor indexed="64"/>
      </patternFill>
    </fill>
    <fill>
      <patternFill patternType="solid">
        <fgColor indexed="43"/>
        <bgColor indexed="64"/>
      </patternFill>
    </fill>
    <fill>
      <patternFill patternType="mediumGray">
        <fgColor indexed="22"/>
      </patternFill>
    </fill>
    <fill>
      <patternFill patternType="gray0625"/>
    </fill>
    <fill>
      <patternFill patternType="lightUp">
        <fgColor indexed="9"/>
        <bgColor indexed="55"/>
      </patternFill>
    </fill>
    <fill>
      <patternFill patternType="lightUp">
        <fgColor indexed="9"/>
        <bgColor indexed="29"/>
      </patternFill>
    </fill>
    <fill>
      <patternFill patternType="lightUp">
        <fgColor indexed="9"/>
        <bgColor indexed="22"/>
      </patternFill>
    </fill>
  </fills>
  <borders count="84">
    <border>
      <left/>
      <right/>
      <top/>
      <bottom/>
      <diagonal/>
    </border>
    <border>
      <left/>
      <right/>
      <top/>
      <bottom style="medium">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thin">
        <color auto="1"/>
      </right>
      <top/>
      <bottom style="thin">
        <color indexed="8"/>
      </bottom>
      <diagonal/>
    </border>
    <border>
      <left/>
      <right/>
      <top/>
      <bottom style="thin">
        <color indexed="8"/>
      </bottom>
      <diagonal/>
    </border>
    <border>
      <left style="thin">
        <color auto="1"/>
      </left>
      <right/>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style="medium">
        <color auto="1"/>
      </bottom>
      <diagonal/>
    </border>
    <border>
      <left style="thin">
        <color indexed="8"/>
      </left>
      <right/>
      <top/>
      <bottom style="medium">
        <color auto="1"/>
      </bottom>
      <diagonal/>
    </border>
    <border>
      <left/>
      <right/>
      <top style="medium">
        <color auto="1"/>
      </top>
      <bottom/>
      <diagonal/>
    </border>
    <border>
      <left/>
      <right/>
      <top style="medium">
        <color rgb="FF000000"/>
      </top>
      <bottom/>
      <diagonal/>
    </border>
    <border>
      <left style="medium">
        <color auto="1"/>
      </left>
      <right/>
      <top style="thin">
        <color auto="1"/>
      </top>
      <bottom style="medium">
        <color auto="1"/>
      </bottom>
      <diagonal/>
    </border>
    <border>
      <left/>
      <right/>
      <top style="thin">
        <color auto="1"/>
      </top>
      <bottom style="thin">
        <color auto="1"/>
      </bottom>
      <diagonal/>
    </border>
    <border>
      <left/>
      <right style="medium">
        <color auto="1"/>
      </right>
      <top/>
      <bottom/>
      <diagonal/>
    </border>
    <border>
      <left style="thin">
        <color auto="1"/>
      </left>
      <right style="thin">
        <color auto="1"/>
      </right>
      <top style="thin">
        <color auto="1"/>
      </top>
      <bottom/>
      <diagonal/>
    </border>
    <border>
      <left style="medium">
        <color auto="1"/>
      </left>
      <right/>
      <top/>
      <bottom/>
      <diagonal/>
    </border>
    <border>
      <left style="thin">
        <color auto="1"/>
      </left>
      <right style="medium">
        <color auto="1"/>
      </right>
      <top/>
      <bottom/>
      <diagonal/>
    </border>
    <border>
      <left/>
      <right style="medium">
        <color auto="1"/>
      </right>
      <top/>
      <bottom style="medium">
        <color auto="1"/>
      </bottom>
      <diagonal/>
    </border>
    <border>
      <left style="medium">
        <color auto="1"/>
      </left>
      <right/>
      <top/>
      <bottom style="medium">
        <color auto="1"/>
      </bottom>
      <diagonal/>
    </border>
    <border>
      <left style="thin">
        <color auto="1"/>
      </left>
      <right style="medium">
        <color auto="1"/>
      </right>
      <top/>
      <bottom style="medium">
        <color auto="1"/>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top style="medium">
        <color indexed="8"/>
      </top>
      <bottom/>
      <diagonal/>
    </border>
    <border>
      <left style="thin">
        <color indexed="8"/>
      </left>
      <right style="thin">
        <color indexed="8"/>
      </right>
      <top/>
      <bottom style="medium">
        <color indexed="8"/>
      </bottom>
      <diagonal/>
    </border>
    <border>
      <left style="thin">
        <color auto="1"/>
      </left>
      <right style="thin">
        <color indexed="8"/>
      </right>
      <top/>
      <bottom/>
      <diagonal/>
    </border>
    <border>
      <left/>
      <right style="thin">
        <color indexed="8"/>
      </right>
      <top/>
      <bottom/>
      <diagonal/>
    </border>
    <border>
      <left/>
      <right/>
      <top/>
      <bottom style="medium">
        <color indexed="8"/>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style="medium">
        <color auto="1"/>
      </top>
      <bottom style="thin">
        <color auto="1"/>
      </bottom>
      <diagonal/>
    </border>
    <border>
      <left style="thin">
        <color indexed="8"/>
      </left>
      <right/>
      <top/>
      <bottom style="medium">
        <color indexed="8"/>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indexed="8"/>
      </right>
      <top/>
      <bottom style="medium">
        <color indexed="8"/>
      </bottom>
      <diagonal/>
    </border>
    <border>
      <left/>
      <right style="thin">
        <color auto="1"/>
      </right>
      <top/>
      <bottom style="medium">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bottom style="medium">
        <color auto="1"/>
      </bottom>
      <diagonal/>
    </border>
    <border>
      <left/>
      <right style="thin">
        <color indexed="8"/>
      </right>
      <top/>
      <bottom style="thin">
        <color indexed="8"/>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medium">
        <color auto="1"/>
      </bottom>
      <diagonal/>
    </border>
    <border>
      <left/>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auto="1"/>
      </top>
      <bottom style="medium">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auto="1"/>
      </top>
      <bottom style="double">
        <color auto="1"/>
      </bottom>
      <diagonal/>
    </border>
    <border>
      <left/>
      <right/>
      <top style="thin">
        <color indexed="62"/>
      </top>
      <bottom style="double">
        <color indexed="62"/>
      </bottom>
      <diagonal/>
    </border>
  </borders>
  <cellStyleXfs count="3159">
    <xf numFmtId="0" fontId="0" fillId="0" borderId="0"/>
    <xf numFmtId="43" fontId="0" fillId="0" borderId="0" applyFont="0" applyFill="0" applyBorder="0" applyAlignment="0" applyProtection="0"/>
    <xf numFmtId="44" fontId="26" fillId="0" borderId="0" applyFont="0" applyFill="0" applyBorder="0" applyAlignment="0" applyProtection="0">
      <alignment vertical="center"/>
    </xf>
    <xf numFmtId="9" fontId="0" fillId="0" borderId="0" applyFont="0" applyFill="0" applyBorder="0" applyAlignment="0" applyProtection="0"/>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3" borderId="65"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66" applyNumberFormat="0" applyFill="0" applyAlignment="0" applyProtection="0">
      <alignment vertical="center"/>
    </xf>
    <xf numFmtId="0" fontId="33" fillId="0" borderId="66" applyNumberFormat="0" applyFill="0" applyAlignment="0" applyProtection="0">
      <alignment vertical="center"/>
    </xf>
    <xf numFmtId="0" fontId="34" fillId="0" borderId="67" applyNumberFormat="0" applyFill="0" applyAlignment="0" applyProtection="0">
      <alignment vertical="center"/>
    </xf>
    <xf numFmtId="0" fontId="34" fillId="0" borderId="0" applyNumberFormat="0" applyFill="0" applyBorder="0" applyAlignment="0" applyProtection="0">
      <alignment vertical="center"/>
    </xf>
    <xf numFmtId="0" fontId="35" fillId="4" borderId="68" applyNumberFormat="0" applyAlignment="0" applyProtection="0">
      <alignment vertical="center"/>
    </xf>
    <xf numFmtId="0" fontId="36" fillId="5" borderId="69" applyNumberFormat="0" applyAlignment="0" applyProtection="0">
      <alignment vertical="center"/>
    </xf>
    <xf numFmtId="0" fontId="37" fillId="5" borderId="68" applyNumberFormat="0" applyAlignment="0" applyProtection="0">
      <alignment vertical="center"/>
    </xf>
    <xf numFmtId="0" fontId="38" fillId="6" borderId="70" applyNumberFormat="0" applyAlignment="0" applyProtection="0">
      <alignment vertical="center"/>
    </xf>
    <xf numFmtId="0" fontId="39" fillId="0" borderId="71" applyNumberFormat="0" applyFill="0" applyAlignment="0" applyProtection="0">
      <alignment vertical="center"/>
    </xf>
    <xf numFmtId="0" fontId="40" fillId="0" borderId="72"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4" fillId="33" borderId="0" applyNumberFormat="0" applyBorder="0" applyAlignment="0" applyProtection="0">
      <alignment vertical="center"/>
    </xf>
    <xf numFmtId="0" fontId="2" fillId="0" borderId="0"/>
    <xf numFmtId="0" fontId="46" fillId="0" borderId="0"/>
    <xf numFmtId="0" fontId="24" fillId="0" borderId="0"/>
    <xf numFmtId="0" fontId="24" fillId="0" borderId="0"/>
    <xf numFmtId="0" fontId="47" fillId="0" borderId="0"/>
    <xf numFmtId="0" fontId="48" fillId="0" borderId="0"/>
    <xf numFmtId="49" fontId="0" fillId="0" borderId="0" applyFont="0" applyFill="0" applyBorder="0" applyAlignment="0" applyProtection="0"/>
    <xf numFmtId="0" fontId="47" fillId="0" borderId="0"/>
    <xf numFmtId="0" fontId="24" fillId="0" borderId="0"/>
    <xf numFmtId="0" fontId="48" fillId="0" borderId="0"/>
    <xf numFmtId="0" fontId="24" fillId="0" borderId="0"/>
    <xf numFmtId="0" fontId="24" fillId="0" borderId="0"/>
    <xf numFmtId="0" fontId="24" fillId="0" borderId="0"/>
    <xf numFmtId="0" fontId="24" fillId="0" borderId="0">
      <protection locked="0"/>
    </xf>
    <xf numFmtId="0" fontId="47" fillId="0" borderId="0"/>
    <xf numFmtId="0" fontId="24" fillId="0" borderId="0"/>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4" borderId="0" applyNumberFormat="0" applyBorder="0" applyAlignment="0" applyProtection="0">
      <alignment vertical="center"/>
    </xf>
    <xf numFmtId="0" fontId="50"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5" borderId="0" applyNumberFormat="0" applyBorder="0" applyAlignment="0" applyProtection="0">
      <alignment vertical="center"/>
    </xf>
    <xf numFmtId="0" fontId="50"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5" borderId="0" applyNumberFormat="0" applyBorder="0" applyAlignment="0" applyProtection="0">
      <alignment vertical="center"/>
    </xf>
    <xf numFmtId="0" fontId="49" fillId="36" borderId="0" applyNumberFormat="0" applyBorder="0" applyAlignment="0" applyProtection="0">
      <alignment vertical="center"/>
    </xf>
    <xf numFmtId="0" fontId="50"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49" fillId="37" borderId="0" applyNumberFormat="0" applyBorder="0" applyAlignment="0" applyProtection="0">
      <alignment vertical="center"/>
    </xf>
    <xf numFmtId="0" fontId="50"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8" borderId="0" applyNumberFormat="0" applyBorder="0" applyAlignment="0" applyProtection="0">
      <alignment vertical="center"/>
    </xf>
    <xf numFmtId="0" fontId="50"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9" borderId="0" applyNumberFormat="0" applyBorder="0" applyAlignment="0" applyProtection="0">
      <alignment vertical="center"/>
    </xf>
    <xf numFmtId="0" fontId="50"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39"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0" borderId="0" applyNumberFormat="0" applyBorder="0" applyAlignment="0" applyProtection="0">
      <alignment vertical="center"/>
    </xf>
    <xf numFmtId="0" fontId="50"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1" borderId="0" applyNumberFormat="0" applyBorder="0" applyAlignment="0" applyProtection="0">
      <alignment vertical="center"/>
    </xf>
    <xf numFmtId="0" fontId="50"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2" borderId="0" applyNumberFormat="0" applyBorder="0" applyAlignment="0" applyProtection="0">
      <alignment vertical="center"/>
    </xf>
    <xf numFmtId="0" fontId="50"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37" borderId="0" applyNumberFormat="0" applyBorder="0" applyAlignment="0" applyProtection="0">
      <alignment vertical="center"/>
    </xf>
    <xf numFmtId="0" fontId="50"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37" borderId="0" applyNumberFormat="0" applyBorder="0" applyAlignment="0" applyProtection="0">
      <alignment vertical="center"/>
    </xf>
    <xf numFmtId="0" fontId="49" fillId="40" borderId="0" applyNumberFormat="0" applyBorder="0" applyAlignment="0" applyProtection="0">
      <alignment vertical="center"/>
    </xf>
    <xf numFmtId="0" fontId="50"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0" borderId="0" applyNumberFormat="0" applyBorder="0" applyAlignment="0" applyProtection="0">
      <alignment vertical="center"/>
    </xf>
    <xf numFmtId="0" fontId="49" fillId="43" borderId="0" applyNumberFormat="0" applyBorder="0" applyAlignment="0" applyProtection="0">
      <alignment vertical="center"/>
    </xf>
    <xf numFmtId="0" fontId="50"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49" fillId="43"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4" borderId="0" applyNumberFormat="0" applyBorder="0" applyAlignment="0" applyProtection="0">
      <alignment vertical="center"/>
    </xf>
    <xf numFmtId="0" fontId="52"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4" borderId="0" applyNumberFormat="0" applyBorder="0" applyAlignment="0" applyProtection="0">
      <alignment vertical="center"/>
    </xf>
    <xf numFmtId="0" fontId="51" fillId="41" borderId="0" applyNumberFormat="0" applyBorder="0" applyAlignment="0" applyProtection="0">
      <alignment vertical="center"/>
    </xf>
    <xf numFmtId="0" fontId="52"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2" borderId="0" applyNumberFormat="0" applyBorder="0" applyAlignment="0" applyProtection="0">
      <alignment vertical="center"/>
    </xf>
    <xf numFmtId="0" fontId="52"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5" borderId="0" applyNumberFormat="0" applyBorder="0" applyAlignment="0" applyProtection="0">
      <alignment vertical="center"/>
    </xf>
    <xf numFmtId="0" fontId="52"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6" borderId="0" applyNumberFormat="0" applyBorder="0" applyAlignment="0" applyProtection="0">
      <alignment vertical="center"/>
    </xf>
    <xf numFmtId="0" fontId="52"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7" borderId="0" applyNumberFormat="0" applyBorder="0" applyAlignment="0" applyProtection="0">
      <alignment vertical="center"/>
    </xf>
    <xf numFmtId="0" fontId="52"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51" fillId="47" borderId="0" applyNumberFormat="0" applyBorder="0" applyAlignment="0" applyProtection="0">
      <alignment vertical="center"/>
    </xf>
    <xf numFmtId="0" fontId="47" fillId="0" borderId="0">
      <protection locked="0"/>
    </xf>
    <xf numFmtId="0" fontId="53" fillId="48"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1" fillId="49" borderId="0" applyNumberFormat="0" applyBorder="0" applyAlignment="0" applyProtection="0">
      <alignment vertical="center"/>
    </xf>
    <xf numFmtId="0" fontId="53" fillId="50"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1" fillId="54" borderId="0" applyNumberFormat="0" applyBorder="0" applyAlignment="0" applyProtection="0">
      <alignment vertical="center"/>
    </xf>
    <xf numFmtId="0" fontId="53" fillId="53"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1" fillId="55" borderId="0" applyNumberFormat="0" applyBorder="0" applyAlignment="0" applyProtection="0">
      <alignment vertical="center"/>
    </xf>
    <xf numFmtId="0" fontId="53" fillId="48"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1" fillId="45" borderId="0" applyNumberFormat="0" applyBorder="0" applyAlignment="0" applyProtection="0">
      <alignment vertical="center"/>
    </xf>
    <xf numFmtId="0" fontId="53" fillId="46"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1" fillId="46" borderId="0" applyNumberFormat="0" applyBorder="0" applyAlignment="0" applyProtection="0">
      <alignment vertical="center"/>
    </xf>
    <xf numFmtId="0" fontId="53" fillId="47"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1" fillId="56" borderId="0" applyNumberFormat="0" applyBorder="0" applyAlignment="0" applyProtection="0">
      <alignment vertical="center"/>
    </xf>
    <xf numFmtId="0" fontId="55" fillId="0" borderId="0">
      <alignment horizontal="center" wrapText="1"/>
      <protection locked="0"/>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176" fontId="57" fillId="0" borderId="0" applyFill="0" applyBorder="0" applyAlignment="0"/>
    <xf numFmtId="0" fontId="58"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7" fillId="0" borderId="0" applyNumberFormat="0" applyFill="0" applyBorder="0" applyAlignment="0" applyProtection="0">
      <alignment vertical="top"/>
    </xf>
    <xf numFmtId="41" fontId="0" fillId="0" borderId="0" applyFont="0" applyFill="0" applyBorder="0" applyAlignment="0" applyProtection="0"/>
    <xf numFmtId="177" fontId="60" fillId="0" borderId="0"/>
    <xf numFmtId="178" fontId="0" fillId="0" borderId="0" applyFont="0" applyFill="0" applyBorder="0" applyAlignment="0" applyProtection="0"/>
    <xf numFmtId="179" fontId="0" fillId="0" borderId="0" applyFont="0" applyFill="0" applyBorder="0" applyAlignment="0" applyProtection="0"/>
    <xf numFmtId="180" fontId="0" fillId="0" borderId="0" applyFont="0" applyFill="0" applyBorder="0" applyAlignment="0" applyProtection="0"/>
    <xf numFmtId="181" fontId="60" fillId="0" borderId="0"/>
    <xf numFmtId="0" fontId="61" fillId="0" borderId="0" applyProtection="0"/>
    <xf numFmtId="182" fontId="60" fillId="0" borderId="0"/>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2" fontId="61" fillId="0" borderId="0" applyProtection="0"/>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4" fillId="52" borderId="0" applyNumberFormat="0" applyBorder="0" applyAlignment="0" applyProtection="0"/>
    <xf numFmtId="0" fontId="65" fillId="0" borderId="75" applyNumberFormat="0" applyAlignment="0" applyProtection="0">
      <alignment horizontal="left" vertical="center"/>
    </xf>
    <xf numFmtId="0" fontId="65" fillId="0" borderId="27">
      <alignment horizontal="lef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9" fillId="0" borderId="0" applyProtection="0"/>
    <xf numFmtId="0" fontId="65" fillId="0" borderId="0" applyProtection="0"/>
    <xf numFmtId="0" fontId="70" fillId="39" borderId="73" applyNumberFormat="0" applyAlignment="0" applyProtection="0">
      <alignment vertical="center"/>
    </xf>
    <xf numFmtId="0" fontId="64" fillId="51" borderId="18" applyNumberFormat="0" applyBorder="0" applyAlignment="0" applyProtection="0"/>
    <xf numFmtId="0" fontId="70" fillId="39" borderId="73" applyNumberFormat="0" applyAlignment="0" applyProtection="0">
      <alignment vertical="center"/>
    </xf>
    <xf numFmtId="0" fontId="70" fillId="39" borderId="73" applyNumberFormat="0" applyAlignment="0" applyProtection="0">
      <alignment vertical="center"/>
    </xf>
    <xf numFmtId="0" fontId="70" fillId="39" borderId="73" applyNumberFormat="0" applyAlignment="0" applyProtection="0">
      <alignment vertical="center"/>
    </xf>
    <xf numFmtId="0" fontId="70" fillId="39" borderId="73" applyNumberFormat="0" applyAlignment="0" applyProtection="0">
      <alignment vertical="center"/>
    </xf>
    <xf numFmtId="0" fontId="70" fillId="39" borderId="73" applyNumberFormat="0" applyAlignment="0" applyProtection="0">
      <alignment vertical="center"/>
    </xf>
    <xf numFmtId="0" fontId="70" fillId="39" borderId="73" applyNumberFormat="0" applyAlignment="0" applyProtection="0">
      <alignment vertical="center"/>
    </xf>
    <xf numFmtId="0" fontId="70" fillId="39" borderId="73" applyNumberFormat="0" applyAlignment="0" applyProtection="0">
      <alignment vertical="center"/>
    </xf>
    <xf numFmtId="0" fontId="70" fillId="39" borderId="73" applyNumberFormat="0" applyAlignment="0" applyProtection="0">
      <alignment vertical="center"/>
    </xf>
    <xf numFmtId="183" fontId="71" fillId="57" borderId="0"/>
    <xf numFmtId="0" fontId="72"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183" fontId="73" fillId="58" borderId="0"/>
    <xf numFmtId="38" fontId="0" fillId="0" borderId="0" applyFont="0" applyFill="0" applyBorder="0" applyAlignment="0" applyProtection="0"/>
    <xf numFmtId="40" fontId="0" fillId="0" borderId="0" applyFont="0" applyFill="0" applyBorder="0" applyAlignment="0" applyProtection="0"/>
    <xf numFmtId="184" fontId="0" fillId="0" borderId="0" applyFont="0" applyFill="0" applyBorder="0" applyAlignment="0" applyProtection="0"/>
    <xf numFmtId="0" fontId="0" fillId="0" borderId="0" applyFont="0" applyFill="0" applyBorder="0" applyAlignment="0" applyProtection="0"/>
    <xf numFmtId="185" fontId="0" fillId="0" borderId="0" applyFont="0" applyFill="0" applyBorder="0" applyAlignment="0" applyProtection="0"/>
    <xf numFmtId="186" fontId="0" fillId="0" borderId="0" applyFont="0" applyFill="0" applyBorder="0" applyAlignment="0" applyProtection="0"/>
    <xf numFmtId="187" fontId="0" fillId="0" borderId="0" applyFont="0" applyFill="0" applyBorder="0" applyAlignment="0" applyProtection="0"/>
    <xf numFmtId="184" fontId="0" fillId="0" borderId="0" applyFont="0" applyFill="0" applyBorder="0" applyAlignment="0" applyProtection="0"/>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60" fillId="0" borderId="0"/>
    <xf numFmtId="37" fontId="75" fillId="0" borderId="0"/>
    <xf numFmtId="0" fontId="71" fillId="0" borderId="0"/>
    <xf numFmtId="188" fontId="2" fillId="0" borderId="0"/>
    <xf numFmtId="0" fontId="47" fillId="0" borderId="0"/>
    <xf numFmtId="189" fontId="76" fillId="0" borderId="0"/>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14" fontId="55" fillId="0" borderId="0">
      <alignment horizontal="center" wrapText="1"/>
      <protection locked="0"/>
    </xf>
    <xf numFmtId="10" fontId="0" fillId="0" borderId="0" applyFont="0" applyFill="0" applyBorder="0" applyAlignment="0" applyProtection="0"/>
    <xf numFmtId="9" fontId="0" fillId="0" borderId="0" applyFont="0" applyFill="0" applyBorder="0" applyAlignment="0" applyProtection="0"/>
    <xf numFmtId="190" fontId="0" fillId="0" borderId="0" applyFont="0" applyFill="0" applyProtection="0"/>
    <xf numFmtId="0" fontId="0" fillId="0" borderId="0" applyNumberFormat="0" applyFont="0" applyFill="0" applyBorder="0" applyAlignment="0" applyProtection="0">
      <alignment horizontal="left"/>
    </xf>
    <xf numFmtId="15" fontId="0" fillId="0" borderId="0" applyFont="0" applyFill="0" applyBorder="0" applyAlignment="0" applyProtection="0"/>
    <xf numFmtId="4" fontId="0" fillId="0" borderId="0" applyFont="0" applyFill="0" applyBorder="0" applyAlignment="0" applyProtection="0"/>
    <xf numFmtId="0" fontId="78" fillId="0" borderId="1">
      <alignment horizontal="center"/>
    </xf>
    <xf numFmtId="3" fontId="0" fillId="0" borderId="0" applyFont="0" applyFill="0" applyBorder="0" applyAlignment="0" applyProtection="0"/>
    <xf numFmtId="0" fontId="0" fillId="60" borderId="0" applyNumberFormat="0" applyFont="0" applyBorder="0" applyAlignment="0" applyProtection="0"/>
    <xf numFmtId="0" fontId="79" fillId="0" borderId="0" applyNumberFormat="0" applyFill="0" applyBorder="0" applyAlignment="0" applyProtection="0"/>
    <xf numFmtId="0" fontId="80" fillId="61" borderId="5">
      <protection locked="0"/>
    </xf>
    <xf numFmtId="0" fontId="81" fillId="0" borderId="0"/>
    <xf numFmtId="0" fontId="80" fillId="61" borderId="5">
      <protection locked="0"/>
    </xf>
    <xf numFmtId="0" fontId="80" fillId="61" borderId="5">
      <protection locked="0"/>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61" fillId="0" borderId="82" applyProtection="0"/>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191" fontId="0" fillId="0" borderId="0" applyFont="0" applyFill="0" applyBorder="0" applyAlignment="0" applyProtection="0"/>
    <xf numFmtId="192" fontId="0" fillId="0" borderId="0" applyFont="0" applyFill="0" applyBorder="0" applyAlignment="0" applyProtection="0"/>
    <xf numFmtId="0" fontId="2" fillId="0" borderId="7" applyNumberFormat="0" applyFill="0" applyProtection="0">
      <alignment horizontal="right"/>
    </xf>
    <xf numFmtId="0" fontId="66" fillId="0" borderId="76" applyNumberFormat="0" applyFill="0" applyAlignment="0" applyProtection="0">
      <alignment vertical="center"/>
    </xf>
    <xf numFmtId="0" fontId="84"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66" fillId="0" borderId="76" applyNumberFormat="0" applyFill="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67" fillId="0" borderId="77" applyNumberFormat="0" applyFill="0" applyAlignment="0" applyProtection="0">
      <alignment vertical="center"/>
    </xf>
    <xf numFmtId="0" fontId="85"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7" fillId="0" borderId="77" applyNumberFormat="0" applyFill="0" applyAlignment="0" applyProtection="0">
      <alignment vertical="center"/>
    </xf>
    <xf numFmtId="0" fontId="68" fillId="0" borderId="78" applyNumberFormat="0" applyFill="0" applyAlignment="0" applyProtection="0">
      <alignment vertical="center"/>
    </xf>
    <xf numFmtId="0" fontId="86"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78" applyNumberFormat="0" applyFill="0" applyAlignment="0" applyProtection="0">
      <alignment vertical="center"/>
    </xf>
    <xf numFmtId="0" fontId="68"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7" fillId="0" borderId="7" applyNumberFormat="0" applyFill="0" applyProtection="0">
      <alignment horizontal="center"/>
    </xf>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9" fillId="0" borderId="2" applyNumberFormat="0" applyFill="0" applyProtection="0">
      <alignment horizontal="center"/>
    </xf>
    <xf numFmtId="0" fontId="56" fillId="35" borderId="0" applyNumberFormat="0" applyBorder="0" applyAlignment="0" applyProtection="0">
      <alignment vertical="center"/>
    </xf>
    <xf numFmtId="0" fontId="90"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90" fillId="35"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90"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90"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2" fillId="35" borderId="0" applyNumberFormat="0" applyBorder="0" applyAlignment="0" applyProtection="0">
      <alignment vertical="center"/>
    </xf>
    <xf numFmtId="0" fontId="92" fillId="35" borderId="0" applyNumberFormat="0" applyBorder="0" applyAlignment="0" applyProtection="0">
      <alignment vertical="center"/>
    </xf>
    <xf numFmtId="0" fontId="92" fillId="35" borderId="0" applyNumberFormat="0" applyBorder="0" applyAlignment="0" applyProtection="0">
      <alignment vertical="center"/>
    </xf>
    <xf numFmtId="0" fontId="92" fillId="35" borderId="0" applyNumberFormat="0" applyBorder="0" applyAlignment="0" applyProtection="0">
      <alignment vertical="center"/>
    </xf>
    <xf numFmtId="0" fontId="92" fillId="35" borderId="0" applyNumberFormat="0" applyBorder="0" applyAlignment="0" applyProtection="0">
      <alignment vertical="center"/>
    </xf>
    <xf numFmtId="0" fontId="92" fillId="35" borderId="0" applyNumberFormat="0" applyBorder="0" applyAlignment="0" applyProtection="0">
      <alignment vertical="center"/>
    </xf>
    <xf numFmtId="0" fontId="92" fillId="35" borderId="0" applyNumberFormat="0" applyBorder="0" applyAlignment="0" applyProtection="0">
      <alignment vertical="center"/>
    </xf>
    <xf numFmtId="0" fontId="92" fillId="35" borderId="0" applyNumberFormat="0" applyBorder="0" applyAlignment="0" applyProtection="0">
      <alignment vertical="center"/>
    </xf>
    <xf numFmtId="0" fontId="92" fillId="35" borderId="0" applyNumberFormat="0" applyBorder="0" applyAlignment="0" applyProtection="0">
      <alignment vertical="center"/>
    </xf>
    <xf numFmtId="0" fontId="91" fillId="35" borderId="0" applyNumberFormat="0" applyBorder="0" applyAlignment="0" applyProtection="0">
      <alignment vertical="center"/>
    </xf>
    <xf numFmtId="0" fontId="91" fillId="35" borderId="0" applyNumberFormat="0" applyBorder="0" applyAlignment="0" applyProtection="0">
      <alignment vertical="center"/>
    </xf>
    <xf numFmtId="0" fontId="91" fillId="35" borderId="0" applyNumberFormat="0" applyBorder="0" applyAlignment="0" applyProtection="0">
      <alignment vertical="center"/>
    </xf>
    <xf numFmtId="0" fontId="91" fillId="35" borderId="0" applyNumberFormat="0" applyBorder="0" applyAlignment="0" applyProtection="0">
      <alignment vertical="center"/>
    </xf>
    <xf numFmtId="0" fontId="91" fillId="35" borderId="0" applyNumberFormat="0" applyBorder="0" applyAlignment="0" applyProtection="0">
      <alignment vertical="center"/>
    </xf>
    <xf numFmtId="0" fontId="91" fillId="35" borderId="0" applyNumberFormat="0" applyBorder="0" applyAlignment="0" applyProtection="0">
      <alignment vertical="center"/>
    </xf>
    <xf numFmtId="0" fontId="91" fillId="35" borderId="0" applyNumberFormat="0" applyBorder="0" applyAlignment="0" applyProtection="0">
      <alignment vertical="center"/>
    </xf>
    <xf numFmtId="0" fontId="91" fillId="35" borderId="0" applyNumberFormat="0" applyBorder="0" applyAlignment="0" applyProtection="0">
      <alignment vertical="center"/>
    </xf>
    <xf numFmtId="0" fontId="91" fillId="35" borderId="0" applyNumberFormat="0" applyBorder="0" applyAlignment="0" applyProtection="0">
      <alignment vertical="center"/>
    </xf>
    <xf numFmtId="0" fontId="94" fillId="37" borderId="0" applyNumberFormat="0" applyBorder="0" applyAlignment="0" applyProtection="0">
      <alignment vertical="center"/>
    </xf>
    <xf numFmtId="0" fontId="94" fillId="37" borderId="0" applyNumberFormat="0" applyBorder="0" applyAlignment="0" applyProtection="0">
      <alignment vertical="center"/>
    </xf>
    <xf numFmtId="0" fontId="94" fillId="37" borderId="0" applyNumberFormat="0" applyBorder="0" applyAlignment="0" applyProtection="0">
      <alignment vertical="center"/>
    </xf>
    <xf numFmtId="0" fontId="94" fillId="37" borderId="0" applyNumberFormat="0" applyBorder="0" applyAlignment="0" applyProtection="0">
      <alignment vertical="center"/>
    </xf>
    <xf numFmtId="0" fontId="94" fillId="37" borderId="0" applyNumberFormat="0" applyBorder="0" applyAlignment="0" applyProtection="0">
      <alignment vertical="center"/>
    </xf>
    <xf numFmtId="0" fontId="94" fillId="37" borderId="0" applyNumberFormat="0" applyBorder="0" applyAlignment="0" applyProtection="0">
      <alignment vertical="center"/>
    </xf>
    <xf numFmtId="0" fontId="94" fillId="37" borderId="0" applyNumberFormat="0" applyBorder="0" applyAlignment="0" applyProtection="0">
      <alignment vertical="center"/>
    </xf>
    <xf numFmtId="0" fontId="94" fillId="37" borderId="0" applyNumberFormat="0" applyBorder="0" applyAlignment="0" applyProtection="0">
      <alignment vertical="center"/>
    </xf>
    <xf numFmtId="0" fontId="94" fillId="37" borderId="0" applyNumberFormat="0" applyBorder="0" applyAlignment="0" applyProtection="0">
      <alignment vertical="center"/>
    </xf>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90" fillId="35" borderId="0" applyNumberFormat="0" applyBorder="0" applyAlignment="0" applyProtection="0">
      <alignment vertical="center"/>
    </xf>
    <xf numFmtId="0" fontId="90"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0"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90" fillId="35" borderId="0" applyNumberFormat="0" applyBorder="0" applyAlignment="0" applyProtection="0">
      <alignment vertical="center"/>
    </xf>
    <xf numFmtId="0" fontId="90"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90"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90" fillId="35" borderId="0" applyNumberFormat="0" applyBorder="0" applyAlignment="0" applyProtection="0">
      <alignment vertical="center"/>
    </xf>
    <xf numFmtId="0" fontId="90"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90" fillId="35" borderId="0" applyNumberFormat="0" applyBorder="0" applyAlignment="0" applyProtection="0">
      <alignment vertical="center"/>
    </xf>
    <xf numFmtId="0" fontId="90"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90"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90"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2" fillId="37" borderId="0" applyNumberFormat="0" applyBorder="0" applyAlignment="0" applyProtection="0">
      <alignment vertical="center"/>
    </xf>
    <xf numFmtId="0" fontId="90" fillId="3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24" fillId="0" borderId="0"/>
    <xf numFmtId="0" fontId="0" fillId="0" borderId="0">
      <alignment vertical="center"/>
    </xf>
    <xf numFmtId="0" fontId="0" fillId="0" borderId="0">
      <alignment vertical="center"/>
    </xf>
    <xf numFmtId="0" fontId="2" fillId="0" borderId="0"/>
    <xf numFmtId="0" fontId="0" fillId="0" borderId="0">
      <alignment vertical="center"/>
    </xf>
    <xf numFmtId="0" fontId="0" fillId="0" borderId="0">
      <alignment vertical="center"/>
    </xf>
    <xf numFmtId="0" fontId="0" fillId="0" borderId="0">
      <alignment vertical="center"/>
    </xf>
    <xf numFmtId="0" fontId="0" fillId="0" borderId="0" applyNumberFormat="0" applyFill="0" applyBorder="0" applyAlignment="0" applyProtection="0"/>
    <xf numFmtId="0" fontId="95" fillId="0" borderId="0" applyNumberFormat="0" applyFill="0" applyBorder="0" applyAlignment="0" applyProtection="0"/>
    <xf numFmtId="9" fontId="0" fillId="0" borderId="0" applyFont="0" applyFill="0" applyBorder="0" applyAlignment="0" applyProtection="0"/>
    <xf numFmtId="0" fontId="63" fillId="36" borderId="0" applyNumberFormat="0" applyBorder="0" applyAlignment="0" applyProtection="0">
      <alignment vertical="center"/>
    </xf>
    <xf numFmtId="0" fontId="96"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96" fillId="36"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96"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96"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97" fillId="36" borderId="0" applyNumberFormat="0" applyBorder="0" applyAlignment="0" applyProtection="0"/>
    <xf numFmtId="0" fontId="97" fillId="36" borderId="0" applyNumberFormat="0" applyBorder="0" applyAlignment="0" applyProtection="0"/>
    <xf numFmtId="0" fontId="97" fillId="36" borderId="0" applyNumberFormat="0" applyBorder="0" applyAlignment="0" applyProtection="0"/>
    <xf numFmtId="0" fontId="97" fillId="36" borderId="0" applyNumberFormat="0" applyBorder="0" applyAlignment="0" applyProtection="0"/>
    <xf numFmtId="0" fontId="97" fillId="36" borderId="0" applyNumberFormat="0" applyBorder="0" applyAlignment="0" applyProtection="0"/>
    <xf numFmtId="0" fontId="97" fillId="36" borderId="0" applyNumberFormat="0" applyBorder="0" applyAlignment="0" applyProtection="0"/>
    <xf numFmtId="0" fontId="97" fillId="36" borderId="0" applyNumberFormat="0" applyBorder="0" applyAlignment="0" applyProtection="0"/>
    <xf numFmtId="0" fontId="97" fillId="36" borderId="0" applyNumberFormat="0" applyBorder="0" applyAlignment="0" applyProtection="0"/>
    <xf numFmtId="0" fontId="97" fillId="36" borderId="0" applyNumberFormat="0" applyBorder="0" applyAlignment="0" applyProtection="0"/>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0" fontId="97" fillId="36" borderId="0" applyNumberFormat="0" applyBorder="0" applyAlignment="0" applyProtection="0">
      <alignment vertical="center"/>
    </xf>
    <xf numFmtId="0" fontId="97" fillId="36" borderId="0" applyNumberFormat="0" applyBorder="0" applyAlignment="0" applyProtection="0">
      <alignment vertical="center"/>
    </xf>
    <xf numFmtId="0" fontId="97" fillId="36" borderId="0" applyNumberFormat="0" applyBorder="0" applyAlignment="0" applyProtection="0">
      <alignment vertical="center"/>
    </xf>
    <xf numFmtId="0" fontId="97" fillId="36" borderId="0" applyNumberFormat="0" applyBorder="0" applyAlignment="0" applyProtection="0">
      <alignment vertical="center"/>
    </xf>
    <xf numFmtId="0" fontId="97" fillId="36" borderId="0" applyNumberFormat="0" applyBorder="0" applyAlignment="0" applyProtection="0">
      <alignment vertical="center"/>
    </xf>
    <xf numFmtId="0" fontId="97" fillId="36" borderId="0" applyNumberFormat="0" applyBorder="0" applyAlignment="0" applyProtection="0">
      <alignment vertical="center"/>
    </xf>
    <xf numFmtId="0" fontId="97" fillId="36" borderId="0" applyNumberFormat="0" applyBorder="0" applyAlignment="0" applyProtection="0">
      <alignment vertical="center"/>
    </xf>
    <xf numFmtId="0" fontId="97" fillId="36" borderId="0" applyNumberFormat="0" applyBorder="0" applyAlignment="0" applyProtection="0">
      <alignment vertical="center"/>
    </xf>
    <xf numFmtId="0" fontId="97" fillId="36" borderId="0" applyNumberFormat="0" applyBorder="0" applyAlignment="0" applyProtection="0">
      <alignment vertical="center"/>
    </xf>
    <xf numFmtId="0" fontId="99" fillId="38" borderId="0" applyNumberFormat="0" applyBorder="0" applyAlignment="0" applyProtection="0">
      <alignment vertical="center"/>
    </xf>
    <xf numFmtId="0" fontId="99" fillId="38" borderId="0" applyNumberFormat="0" applyBorder="0" applyAlignment="0" applyProtection="0">
      <alignment vertical="center"/>
    </xf>
    <xf numFmtId="0" fontId="99" fillId="38" borderId="0" applyNumberFormat="0" applyBorder="0" applyAlignment="0" applyProtection="0">
      <alignment vertical="center"/>
    </xf>
    <xf numFmtId="0" fontId="99" fillId="38" borderId="0" applyNumberFormat="0" applyBorder="0" applyAlignment="0" applyProtection="0">
      <alignment vertical="center"/>
    </xf>
    <xf numFmtId="0" fontId="99" fillId="38" borderId="0" applyNumberFormat="0" applyBorder="0" applyAlignment="0" applyProtection="0">
      <alignment vertical="center"/>
    </xf>
    <xf numFmtId="0" fontId="99" fillId="38" borderId="0" applyNumberFormat="0" applyBorder="0" applyAlignment="0" applyProtection="0">
      <alignment vertical="center"/>
    </xf>
    <xf numFmtId="0" fontId="99" fillId="38" borderId="0" applyNumberFormat="0" applyBorder="0" applyAlignment="0" applyProtection="0">
      <alignment vertical="center"/>
    </xf>
    <xf numFmtId="0" fontId="99" fillId="38" borderId="0" applyNumberFormat="0" applyBorder="0" applyAlignment="0" applyProtection="0">
      <alignment vertical="center"/>
    </xf>
    <xf numFmtId="0" fontId="99" fillId="38" borderId="0" applyNumberFormat="0" applyBorder="0" applyAlignment="0" applyProtection="0">
      <alignment vertical="center"/>
    </xf>
    <xf numFmtId="0" fontId="97" fillId="36" borderId="0" applyNumberFormat="0" applyBorder="0" applyAlignment="0" applyProtection="0"/>
    <xf numFmtId="0" fontId="97" fillId="36" borderId="0" applyNumberFormat="0" applyBorder="0" applyAlignment="0" applyProtection="0"/>
    <xf numFmtId="0" fontId="97" fillId="36" borderId="0" applyNumberFormat="0" applyBorder="0" applyAlignment="0" applyProtection="0"/>
    <xf numFmtId="0" fontId="97" fillId="36" borderId="0" applyNumberFormat="0" applyBorder="0" applyAlignment="0" applyProtection="0"/>
    <xf numFmtId="0" fontId="97" fillId="36" borderId="0" applyNumberFormat="0" applyBorder="0" applyAlignment="0" applyProtection="0"/>
    <xf numFmtId="0" fontId="97" fillId="36" borderId="0" applyNumberFormat="0" applyBorder="0" applyAlignment="0" applyProtection="0"/>
    <xf numFmtId="0" fontId="97" fillId="36" borderId="0" applyNumberFormat="0" applyBorder="0" applyAlignment="0" applyProtection="0"/>
    <xf numFmtId="0" fontId="97" fillId="36" borderId="0" applyNumberFormat="0" applyBorder="0" applyAlignment="0" applyProtection="0"/>
    <xf numFmtId="0" fontId="97" fillId="36" borderId="0" applyNumberFormat="0" applyBorder="0" applyAlignment="0" applyProtection="0"/>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7"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96" fillId="36" borderId="0" applyNumberFormat="0" applyBorder="0" applyAlignment="0" applyProtection="0">
      <alignment vertical="center"/>
    </xf>
    <xf numFmtId="0" fontId="96"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6"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97" fillId="36" borderId="0" applyNumberFormat="0" applyBorder="0" applyAlignment="0" applyProtection="0"/>
    <xf numFmtId="0" fontId="97" fillId="36" borderId="0" applyNumberFormat="0" applyBorder="0" applyAlignment="0" applyProtection="0"/>
    <xf numFmtId="0" fontId="97" fillId="36" borderId="0" applyNumberFormat="0" applyBorder="0" applyAlignment="0" applyProtection="0"/>
    <xf numFmtId="0" fontId="97" fillId="36" borderId="0" applyNumberFormat="0" applyBorder="0" applyAlignment="0" applyProtection="0"/>
    <xf numFmtId="0" fontId="97" fillId="36" borderId="0" applyNumberFormat="0" applyBorder="0" applyAlignment="0" applyProtection="0"/>
    <xf numFmtId="0" fontId="97" fillId="36" borderId="0" applyNumberFormat="0" applyBorder="0" applyAlignment="0" applyProtection="0"/>
    <xf numFmtId="0" fontId="97" fillId="36" borderId="0" applyNumberFormat="0" applyBorder="0" applyAlignment="0" applyProtection="0"/>
    <xf numFmtId="0" fontId="97" fillId="36" borderId="0" applyNumberFormat="0" applyBorder="0" applyAlignment="0" applyProtection="0"/>
    <xf numFmtId="0" fontId="97" fillId="36" borderId="0" applyNumberFormat="0" applyBorder="0" applyAlignment="0" applyProtection="0"/>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96" fillId="36" borderId="0" applyNumberFormat="0" applyBorder="0" applyAlignment="0" applyProtection="0">
      <alignment vertical="center"/>
    </xf>
    <xf numFmtId="0" fontId="96"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96"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96" fillId="36" borderId="0" applyNumberFormat="0" applyBorder="0" applyAlignment="0" applyProtection="0">
      <alignment vertical="center"/>
    </xf>
    <xf numFmtId="0" fontId="96"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96" fillId="36" borderId="0" applyNumberFormat="0" applyBorder="0" applyAlignment="0" applyProtection="0">
      <alignment vertical="center"/>
    </xf>
    <xf numFmtId="0" fontId="96"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63" fillId="38" borderId="0" applyNumberFormat="0" applyBorder="0" applyAlignment="0" applyProtection="0">
      <alignment vertical="center"/>
    </xf>
    <xf numFmtId="0" fontId="96"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96"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8" fillId="38" borderId="0" applyNumberFormat="0" applyBorder="0" applyAlignment="0" applyProtection="0">
      <alignment vertical="center"/>
    </xf>
    <xf numFmtId="0" fontId="96" fillId="36" borderId="0" applyNumberFormat="0" applyBorder="0" applyAlignment="0" applyProtection="0">
      <alignment vertical="center"/>
    </xf>
    <xf numFmtId="0" fontId="100" fillId="0" borderId="0" applyNumberFormat="0" applyFill="0" applyBorder="0" applyAlignment="0" applyProtection="0">
      <alignment vertical="top"/>
      <protection locked="0"/>
    </xf>
    <xf numFmtId="0" fontId="100" fillId="0" borderId="0" applyNumberFormat="0" applyFill="0" applyBorder="0" applyAlignment="0" applyProtection="0">
      <alignment vertical="top"/>
      <protection locked="0"/>
    </xf>
    <xf numFmtId="0" fontId="100" fillId="0" borderId="0" applyNumberFormat="0" applyFill="0" applyBorder="0" applyAlignment="0" applyProtection="0">
      <alignment vertical="top"/>
      <protection locked="0"/>
    </xf>
    <xf numFmtId="0" fontId="100" fillId="0" borderId="0" applyNumberFormat="0" applyFill="0" applyBorder="0" applyAlignment="0" applyProtection="0">
      <alignment vertical="top"/>
      <protection locked="0"/>
    </xf>
    <xf numFmtId="0" fontId="100" fillId="0" borderId="0" applyNumberFormat="0" applyFill="0" applyBorder="0" applyAlignment="0" applyProtection="0">
      <alignment vertical="top"/>
      <protection locked="0"/>
    </xf>
    <xf numFmtId="0" fontId="100" fillId="0" borderId="0" applyNumberFormat="0" applyFill="0" applyBorder="0" applyAlignment="0" applyProtection="0">
      <alignment vertical="top"/>
      <protection locked="0"/>
    </xf>
    <xf numFmtId="0" fontId="100" fillId="0" borderId="0" applyNumberFormat="0" applyFill="0" applyBorder="0" applyAlignment="0" applyProtection="0">
      <alignment vertical="top"/>
      <protection locked="0"/>
    </xf>
    <xf numFmtId="0" fontId="100" fillId="0" borderId="0" applyNumberFormat="0" applyFill="0" applyBorder="0" applyAlignment="0" applyProtection="0">
      <alignment vertical="top"/>
      <protection locked="0"/>
    </xf>
    <xf numFmtId="0" fontId="100" fillId="0" borderId="0" applyNumberFormat="0" applyFill="0" applyBorder="0" applyAlignment="0" applyProtection="0">
      <alignment vertical="top"/>
      <protection locked="0"/>
    </xf>
    <xf numFmtId="0" fontId="101" fillId="0" borderId="83" applyNumberFormat="0" applyFill="0" applyAlignment="0" applyProtection="0">
      <alignment vertical="center"/>
    </xf>
    <xf numFmtId="0" fontId="102" fillId="0" borderId="83" applyNumberFormat="0" applyFill="0" applyAlignment="0" applyProtection="0">
      <alignment vertical="center"/>
    </xf>
    <xf numFmtId="0" fontId="101" fillId="0" borderId="83" applyNumberFormat="0" applyFill="0" applyAlignment="0" applyProtection="0">
      <alignment vertical="center"/>
    </xf>
    <xf numFmtId="0" fontId="101" fillId="0" borderId="83" applyNumberFormat="0" applyFill="0" applyAlignment="0" applyProtection="0">
      <alignment vertical="center"/>
    </xf>
    <xf numFmtId="0" fontId="101" fillId="0" borderId="83" applyNumberFormat="0" applyFill="0" applyAlignment="0" applyProtection="0">
      <alignment vertical="center"/>
    </xf>
    <xf numFmtId="0" fontId="101" fillId="0" borderId="83" applyNumberFormat="0" applyFill="0" applyAlignment="0" applyProtection="0">
      <alignment vertical="center"/>
    </xf>
    <xf numFmtId="0" fontId="101" fillId="0" borderId="83" applyNumberFormat="0" applyFill="0" applyAlignment="0" applyProtection="0">
      <alignment vertical="center"/>
    </xf>
    <xf numFmtId="0" fontId="101" fillId="0" borderId="83" applyNumberFormat="0" applyFill="0" applyAlignment="0" applyProtection="0">
      <alignment vertical="center"/>
    </xf>
    <xf numFmtId="0" fontId="101" fillId="0" borderId="83" applyNumberFormat="0" applyFill="0" applyAlignment="0" applyProtection="0">
      <alignment vertical="center"/>
    </xf>
    <xf numFmtId="0" fontId="101" fillId="0" borderId="83" applyNumberFormat="0" applyFill="0" applyAlignment="0" applyProtection="0">
      <alignment vertical="center"/>
    </xf>
    <xf numFmtId="0" fontId="101" fillId="0" borderId="83" applyNumberFormat="0" applyFill="0" applyAlignment="0" applyProtection="0">
      <alignment vertical="center"/>
    </xf>
    <xf numFmtId="0" fontId="101" fillId="0" borderId="83" applyNumberFormat="0" applyFill="0" applyAlignment="0" applyProtection="0">
      <alignment vertical="center"/>
    </xf>
    <xf numFmtId="0" fontId="101" fillId="0" borderId="83" applyNumberFormat="0" applyFill="0" applyAlignment="0" applyProtection="0">
      <alignment vertical="center"/>
    </xf>
    <xf numFmtId="0" fontId="101" fillId="0" borderId="83" applyNumberFormat="0" applyFill="0" applyAlignment="0" applyProtection="0">
      <alignment vertical="center"/>
    </xf>
    <xf numFmtId="0" fontId="101" fillId="0" borderId="83" applyNumberFormat="0" applyFill="0" applyAlignment="0" applyProtection="0">
      <alignment vertical="center"/>
    </xf>
    <xf numFmtId="0" fontId="101" fillId="0" borderId="83" applyNumberFormat="0" applyFill="0" applyAlignment="0" applyProtection="0">
      <alignment vertical="center"/>
    </xf>
    <xf numFmtId="0" fontId="101" fillId="0" borderId="83" applyNumberFormat="0" applyFill="0" applyAlignment="0" applyProtection="0">
      <alignment vertical="center"/>
    </xf>
    <xf numFmtId="0" fontId="101" fillId="0" borderId="83" applyNumberFormat="0" applyFill="0" applyAlignment="0" applyProtection="0">
      <alignment vertical="center"/>
    </xf>
    <xf numFmtId="0" fontId="101" fillId="0" borderId="83" applyNumberFormat="0" applyFill="0" applyAlignment="0" applyProtection="0">
      <alignment vertical="center"/>
    </xf>
    <xf numFmtId="0" fontId="101" fillId="0" borderId="83" applyNumberFormat="0" applyFill="0" applyAlignment="0" applyProtection="0">
      <alignment vertical="center"/>
    </xf>
    <xf numFmtId="0" fontId="101" fillId="0" borderId="83" applyNumberFormat="0" applyFill="0" applyAlignment="0" applyProtection="0">
      <alignment vertical="center"/>
    </xf>
    <xf numFmtId="0" fontId="58" fillId="52" borderId="73" applyNumberFormat="0" applyAlignment="0" applyProtection="0">
      <alignment vertical="center"/>
    </xf>
    <xf numFmtId="0" fontId="103"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8" fillId="52" borderId="73" applyNumberFormat="0" applyAlignment="0" applyProtection="0">
      <alignment vertical="center"/>
    </xf>
    <xf numFmtId="0" fontId="59" fillId="53" borderId="74" applyNumberFormat="0" applyAlignment="0" applyProtection="0">
      <alignment vertical="center"/>
    </xf>
    <xf numFmtId="0" fontId="104"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59" fillId="53" borderId="74" applyNumberFormat="0" applyAlignment="0" applyProtection="0">
      <alignment vertical="center"/>
    </xf>
    <xf numFmtId="0" fontId="62" fillId="0" borderId="0" applyNumberFormat="0" applyFill="0" applyBorder="0" applyAlignment="0" applyProtection="0">
      <alignment vertical="center"/>
    </xf>
    <xf numFmtId="0" fontId="10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89" fillId="0" borderId="2" applyNumberFormat="0" applyFill="0" applyProtection="0">
      <alignment horizontal="left"/>
    </xf>
    <xf numFmtId="0" fontId="83" fillId="0" borderId="0" applyNumberFormat="0" applyFill="0" applyBorder="0" applyAlignment="0" applyProtection="0">
      <alignment vertical="center"/>
    </xf>
    <xf numFmtId="0" fontId="106"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72" fillId="0" borderId="79" applyNumberFormat="0" applyFill="0" applyAlignment="0" applyProtection="0">
      <alignment vertical="center"/>
    </xf>
    <xf numFmtId="0" fontId="107"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0" fontId="72" fillId="0" borderId="79" applyNumberFormat="0" applyFill="0" applyAlignment="0" applyProtection="0">
      <alignment vertical="center"/>
    </xf>
    <xf numFmtId="193" fontId="0" fillId="0" borderId="0" applyFont="0" applyFill="0" applyBorder="0" applyAlignment="0" applyProtection="0"/>
    <xf numFmtId="194" fontId="0" fillId="0" borderId="0" applyFont="0" applyFill="0" applyBorder="0" applyAlignment="0" applyProtection="0"/>
    <xf numFmtId="195" fontId="0" fillId="0" borderId="0" applyFont="0" applyFill="0" applyBorder="0" applyAlignment="0" applyProtection="0"/>
    <xf numFmtId="196" fontId="0" fillId="0" borderId="0" applyFont="0" applyFill="0" applyBorder="0" applyAlignment="0" applyProtection="0"/>
    <xf numFmtId="0" fontId="60" fillId="0" borderId="0"/>
    <xf numFmtId="41"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197" fontId="0" fillId="0" borderId="0" applyFont="0" applyFill="0" applyBorder="0" applyAlignment="0" applyProtection="0">
      <alignment vertical="center"/>
    </xf>
    <xf numFmtId="197" fontId="0" fillId="0" borderId="0" applyFont="0" applyFill="0" applyBorder="0" applyAlignment="0" applyProtection="0">
      <alignment vertical="center"/>
    </xf>
    <xf numFmtId="197" fontId="0" fillId="0" borderId="0" applyFont="0" applyFill="0" applyBorder="0" applyAlignment="0" applyProtection="0">
      <alignment vertical="center"/>
    </xf>
    <xf numFmtId="197" fontId="0" fillId="0" borderId="0" applyFont="0" applyFill="0" applyBorder="0" applyAlignment="0" applyProtection="0">
      <alignment vertical="center"/>
    </xf>
    <xf numFmtId="197" fontId="0" fillId="0" borderId="0" applyFont="0" applyFill="0" applyBorder="0" applyAlignment="0" applyProtection="0">
      <alignment vertical="center"/>
    </xf>
    <xf numFmtId="197" fontId="0" fillId="0" borderId="0" applyFont="0" applyFill="0" applyBorder="0" applyAlignment="0" applyProtection="0">
      <alignment vertical="center"/>
    </xf>
    <xf numFmtId="197" fontId="0" fillId="0" borderId="0" applyFont="0" applyFill="0" applyBorder="0" applyAlignment="0" applyProtection="0">
      <alignment vertical="center"/>
    </xf>
    <xf numFmtId="197" fontId="0" fillId="0" borderId="0" applyFont="0" applyFill="0" applyBorder="0" applyAlignment="0" applyProtection="0">
      <alignment vertical="center"/>
    </xf>
    <xf numFmtId="197"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alignment vertical="center"/>
    </xf>
    <xf numFmtId="41" fontId="0" fillId="0" borderId="0" applyFont="0" applyFill="0" applyBorder="0" applyAlignment="0" applyProtection="0">
      <alignment vertical="center"/>
    </xf>
    <xf numFmtId="41" fontId="0" fillId="0" borderId="0" applyFont="0" applyFill="0" applyBorder="0" applyAlignment="0" applyProtection="0">
      <alignment vertical="center"/>
    </xf>
    <xf numFmtId="41" fontId="0" fillId="0" borderId="0" applyFont="0" applyFill="0" applyBorder="0" applyAlignment="0" applyProtection="0">
      <alignment vertical="center"/>
    </xf>
    <xf numFmtId="41" fontId="0" fillId="0" borderId="0" applyFont="0" applyFill="0" applyBorder="0" applyAlignment="0" applyProtection="0">
      <alignment vertical="center"/>
    </xf>
    <xf numFmtId="41" fontId="0" fillId="0" borderId="0" applyFont="0" applyFill="0" applyBorder="0" applyAlignment="0" applyProtection="0">
      <alignment vertical="center"/>
    </xf>
    <xf numFmtId="41" fontId="0" fillId="0" borderId="0" applyFont="0" applyFill="0" applyBorder="0" applyAlignment="0" applyProtection="0">
      <alignment vertical="center"/>
    </xf>
    <xf numFmtId="41"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8" fillId="0" borderId="0"/>
    <xf numFmtId="0" fontId="109" fillId="62" borderId="0" applyNumberFormat="0" applyBorder="0" applyAlignment="0" applyProtection="0"/>
    <xf numFmtId="0" fontId="109" fillId="63" borderId="0" applyNumberFormat="0" applyBorder="0" applyAlignment="0" applyProtection="0"/>
    <xf numFmtId="0" fontId="109" fillId="64" borderId="0" applyNumberFormat="0" applyBorder="0" applyAlignment="0" applyProtection="0"/>
    <xf numFmtId="0" fontId="51" fillId="49" borderId="0" applyNumberFormat="0" applyBorder="0" applyAlignment="0" applyProtection="0">
      <alignment vertical="center"/>
    </xf>
    <xf numFmtId="0" fontId="52" fillId="49" borderId="0" applyNumberFormat="0" applyBorder="0" applyAlignment="0" applyProtection="0">
      <alignment vertical="center"/>
    </xf>
    <xf numFmtId="0" fontId="51" fillId="49" borderId="0" applyNumberFormat="0" applyBorder="0" applyAlignment="0" applyProtection="0">
      <alignment vertical="center"/>
    </xf>
    <xf numFmtId="0" fontId="51" fillId="49" borderId="0" applyNumberFormat="0" applyBorder="0" applyAlignment="0" applyProtection="0">
      <alignment vertical="center"/>
    </xf>
    <xf numFmtId="0" fontId="51" fillId="49" borderId="0" applyNumberFormat="0" applyBorder="0" applyAlignment="0" applyProtection="0">
      <alignment vertical="center"/>
    </xf>
    <xf numFmtId="0" fontId="51" fillId="49" borderId="0" applyNumberFormat="0" applyBorder="0" applyAlignment="0" applyProtection="0">
      <alignment vertical="center"/>
    </xf>
    <xf numFmtId="0" fontId="51" fillId="49" borderId="0" applyNumberFormat="0" applyBorder="0" applyAlignment="0" applyProtection="0">
      <alignment vertical="center"/>
    </xf>
    <xf numFmtId="0" fontId="51" fillId="49" borderId="0" applyNumberFormat="0" applyBorder="0" applyAlignment="0" applyProtection="0">
      <alignment vertical="center"/>
    </xf>
    <xf numFmtId="0" fontId="51" fillId="49" borderId="0" applyNumberFormat="0" applyBorder="0" applyAlignment="0" applyProtection="0">
      <alignment vertical="center"/>
    </xf>
    <xf numFmtId="0" fontId="51" fillId="49" borderId="0" applyNumberFormat="0" applyBorder="0" applyAlignment="0" applyProtection="0">
      <alignment vertical="center"/>
    </xf>
    <xf numFmtId="0" fontId="51" fillId="49" borderId="0" applyNumberFormat="0" applyBorder="0" applyAlignment="0" applyProtection="0">
      <alignment vertical="center"/>
    </xf>
    <xf numFmtId="0" fontId="51" fillId="49" borderId="0" applyNumberFormat="0" applyBorder="0" applyAlignment="0" applyProtection="0">
      <alignment vertical="center"/>
    </xf>
    <xf numFmtId="0" fontId="51" fillId="49" borderId="0" applyNumberFormat="0" applyBorder="0" applyAlignment="0" applyProtection="0">
      <alignment vertical="center"/>
    </xf>
    <xf numFmtId="0" fontId="51" fillId="49" borderId="0" applyNumberFormat="0" applyBorder="0" applyAlignment="0" applyProtection="0">
      <alignment vertical="center"/>
    </xf>
    <xf numFmtId="0" fontId="51" fillId="49" borderId="0" applyNumberFormat="0" applyBorder="0" applyAlignment="0" applyProtection="0">
      <alignment vertical="center"/>
    </xf>
    <xf numFmtId="0" fontId="51" fillId="49" borderId="0" applyNumberFormat="0" applyBorder="0" applyAlignment="0" applyProtection="0">
      <alignment vertical="center"/>
    </xf>
    <xf numFmtId="0" fontId="51" fillId="49" borderId="0" applyNumberFormat="0" applyBorder="0" applyAlignment="0" applyProtection="0">
      <alignment vertical="center"/>
    </xf>
    <xf numFmtId="0" fontId="51" fillId="49" borderId="0" applyNumberFormat="0" applyBorder="0" applyAlignment="0" applyProtection="0">
      <alignment vertical="center"/>
    </xf>
    <xf numFmtId="0" fontId="51" fillId="49" borderId="0" applyNumberFormat="0" applyBorder="0" applyAlignment="0" applyProtection="0">
      <alignment vertical="center"/>
    </xf>
    <xf numFmtId="0" fontId="51" fillId="49" borderId="0" applyNumberFormat="0" applyBorder="0" applyAlignment="0" applyProtection="0">
      <alignment vertical="center"/>
    </xf>
    <xf numFmtId="0" fontId="51" fillId="49" borderId="0" applyNumberFormat="0" applyBorder="0" applyAlignment="0" applyProtection="0">
      <alignment vertical="center"/>
    </xf>
    <xf numFmtId="0" fontId="51" fillId="54" borderId="0" applyNumberFormat="0" applyBorder="0" applyAlignment="0" applyProtection="0">
      <alignment vertical="center"/>
    </xf>
    <xf numFmtId="0" fontId="52" fillId="54" borderId="0" applyNumberFormat="0" applyBorder="0" applyAlignment="0" applyProtection="0">
      <alignment vertical="center"/>
    </xf>
    <xf numFmtId="0" fontId="51" fillId="54" borderId="0" applyNumberFormat="0" applyBorder="0" applyAlignment="0" applyProtection="0">
      <alignment vertical="center"/>
    </xf>
    <xf numFmtId="0" fontId="51" fillId="54" borderId="0" applyNumberFormat="0" applyBorder="0" applyAlignment="0" applyProtection="0">
      <alignment vertical="center"/>
    </xf>
    <xf numFmtId="0" fontId="51" fillId="54" borderId="0" applyNumberFormat="0" applyBorder="0" applyAlignment="0" applyProtection="0">
      <alignment vertical="center"/>
    </xf>
    <xf numFmtId="0" fontId="51" fillId="54" borderId="0" applyNumberFormat="0" applyBorder="0" applyAlignment="0" applyProtection="0">
      <alignment vertical="center"/>
    </xf>
    <xf numFmtId="0" fontId="51" fillId="54" borderId="0" applyNumberFormat="0" applyBorder="0" applyAlignment="0" applyProtection="0">
      <alignment vertical="center"/>
    </xf>
    <xf numFmtId="0" fontId="51" fillId="54" borderId="0" applyNumberFormat="0" applyBorder="0" applyAlignment="0" applyProtection="0">
      <alignment vertical="center"/>
    </xf>
    <xf numFmtId="0" fontId="51" fillId="54" borderId="0" applyNumberFormat="0" applyBorder="0" applyAlignment="0" applyProtection="0">
      <alignment vertical="center"/>
    </xf>
    <xf numFmtId="0" fontId="51" fillId="54" borderId="0" applyNumberFormat="0" applyBorder="0" applyAlignment="0" applyProtection="0">
      <alignment vertical="center"/>
    </xf>
    <xf numFmtId="0" fontId="51" fillId="54" borderId="0" applyNumberFormat="0" applyBorder="0" applyAlignment="0" applyProtection="0">
      <alignment vertical="center"/>
    </xf>
    <xf numFmtId="0" fontId="51" fillId="54" borderId="0" applyNumberFormat="0" applyBorder="0" applyAlignment="0" applyProtection="0">
      <alignment vertical="center"/>
    </xf>
    <xf numFmtId="0" fontId="51" fillId="54" borderId="0" applyNumberFormat="0" applyBorder="0" applyAlignment="0" applyProtection="0">
      <alignment vertical="center"/>
    </xf>
    <xf numFmtId="0" fontId="51" fillId="54" borderId="0" applyNumberFormat="0" applyBorder="0" applyAlignment="0" applyProtection="0">
      <alignment vertical="center"/>
    </xf>
    <xf numFmtId="0" fontId="51" fillId="54" borderId="0" applyNumberFormat="0" applyBorder="0" applyAlignment="0" applyProtection="0">
      <alignment vertical="center"/>
    </xf>
    <xf numFmtId="0" fontId="51" fillId="54" borderId="0" applyNumberFormat="0" applyBorder="0" applyAlignment="0" applyProtection="0">
      <alignment vertical="center"/>
    </xf>
    <xf numFmtId="0" fontId="51" fillId="54" borderId="0" applyNumberFormat="0" applyBorder="0" applyAlignment="0" applyProtection="0">
      <alignment vertical="center"/>
    </xf>
    <xf numFmtId="0" fontId="51" fillId="54" borderId="0" applyNumberFormat="0" applyBorder="0" applyAlignment="0" applyProtection="0">
      <alignment vertical="center"/>
    </xf>
    <xf numFmtId="0" fontId="51" fillId="54" borderId="0" applyNumberFormat="0" applyBorder="0" applyAlignment="0" applyProtection="0">
      <alignment vertical="center"/>
    </xf>
    <xf numFmtId="0" fontId="51" fillId="54" borderId="0" applyNumberFormat="0" applyBorder="0" applyAlignment="0" applyProtection="0">
      <alignment vertical="center"/>
    </xf>
    <xf numFmtId="0" fontId="51" fillId="54" borderId="0" applyNumberFormat="0" applyBorder="0" applyAlignment="0" applyProtection="0">
      <alignment vertical="center"/>
    </xf>
    <xf numFmtId="0" fontId="51" fillId="55" borderId="0" applyNumberFormat="0" applyBorder="0" applyAlignment="0" applyProtection="0">
      <alignment vertical="center"/>
    </xf>
    <xf numFmtId="0" fontId="52"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45" borderId="0" applyNumberFormat="0" applyBorder="0" applyAlignment="0" applyProtection="0">
      <alignment vertical="center"/>
    </xf>
    <xf numFmtId="0" fontId="52"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6" borderId="0" applyNumberFormat="0" applyBorder="0" applyAlignment="0" applyProtection="0">
      <alignment vertical="center"/>
    </xf>
    <xf numFmtId="0" fontId="52"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51" fillId="56" borderId="0" applyNumberFormat="0" applyBorder="0" applyAlignment="0" applyProtection="0">
      <alignment vertical="center"/>
    </xf>
    <xf numFmtId="0" fontId="52" fillId="56" borderId="0" applyNumberFormat="0" applyBorder="0" applyAlignment="0" applyProtection="0">
      <alignment vertical="center"/>
    </xf>
    <xf numFmtId="0" fontId="51" fillId="56" borderId="0" applyNumberFormat="0" applyBorder="0" applyAlignment="0" applyProtection="0">
      <alignment vertical="center"/>
    </xf>
    <xf numFmtId="0" fontId="51" fillId="56" borderId="0" applyNumberFormat="0" applyBorder="0" applyAlignment="0" applyProtection="0">
      <alignment vertical="center"/>
    </xf>
    <xf numFmtId="0" fontId="51" fillId="56" borderId="0" applyNumberFormat="0" applyBorder="0" applyAlignment="0" applyProtection="0">
      <alignment vertical="center"/>
    </xf>
    <xf numFmtId="0" fontId="51" fillId="56" borderId="0" applyNumberFormat="0" applyBorder="0" applyAlignment="0" applyProtection="0">
      <alignment vertical="center"/>
    </xf>
    <xf numFmtId="0" fontId="51" fillId="56" borderId="0" applyNumberFormat="0" applyBorder="0" applyAlignment="0" applyProtection="0">
      <alignment vertical="center"/>
    </xf>
    <xf numFmtId="0" fontId="51" fillId="56" borderId="0" applyNumberFormat="0" applyBorder="0" applyAlignment="0" applyProtection="0">
      <alignment vertical="center"/>
    </xf>
    <xf numFmtId="0" fontId="51" fillId="56" borderId="0" applyNumberFormat="0" applyBorder="0" applyAlignment="0" applyProtection="0">
      <alignment vertical="center"/>
    </xf>
    <xf numFmtId="0" fontId="51" fillId="56" borderId="0" applyNumberFormat="0" applyBorder="0" applyAlignment="0" applyProtection="0">
      <alignment vertical="center"/>
    </xf>
    <xf numFmtId="0" fontId="51" fillId="56" borderId="0" applyNumberFormat="0" applyBorder="0" applyAlignment="0" applyProtection="0">
      <alignment vertical="center"/>
    </xf>
    <xf numFmtId="0" fontId="51" fillId="56" borderId="0" applyNumberFormat="0" applyBorder="0" applyAlignment="0" applyProtection="0">
      <alignment vertical="center"/>
    </xf>
    <xf numFmtId="0" fontId="51" fillId="56" borderId="0" applyNumberFormat="0" applyBorder="0" applyAlignment="0" applyProtection="0">
      <alignment vertical="center"/>
    </xf>
    <xf numFmtId="0" fontId="51" fillId="56" borderId="0" applyNumberFormat="0" applyBorder="0" applyAlignment="0" applyProtection="0">
      <alignment vertical="center"/>
    </xf>
    <xf numFmtId="0" fontId="51" fillId="56" borderId="0" applyNumberFormat="0" applyBorder="0" applyAlignment="0" applyProtection="0">
      <alignment vertical="center"/>
    </xf>
    <xf numFmtId="0" fontId="51" fillId="56" borderId="0" applyNumberFormat="0" applyBorder="0" applyAlignment="0" applyProtection="0">
      <alignment vertical="center"/>
    </xf>
    <xf numFmtId="0" fontId="51" fillId="56" borderId="0" applyNumberFormat="0" applyBorder="0" applyAlignment="0" applyProtection="0">
      <alignment vertical="center"/>
    </xf>
    <xf numFmtId="0" fontId="51" fillId="56" borderId="0" applyNumberFormat="0" applyBorder="0" applyAlignment="0" applyProtection="0">
      <alignment vertical="center"/>
    </xf>
    <xf numFmtId="0" fontId="51" fillId="56" borderId="0" applyNumberFormat="0" applyBorder="0" applyAlignment="0" applyProtection="0">
      <alignment vertical="center"/>
    </xf>
    <xf numFmtId="0" fontId="51" fillId="56" borderId="0" applyNumberFormat="0" applyBorder="0" applyAlignment="0" applyProtection="0">
      <alignment vertical="center"/>
    </xf>
    <xf numFmtId="0" fontId="51" fillId="56" borderId="0" applyNumberFormat="0" applyBorder="0" applyAlignment="0" applyProtection="0">
      <alignment vertical="center"/>
    </xf>
    <xf numFmtId="198" fontId="2" fillId="0" borderId="2" applyFill="0" applyProtection="0">
      <alignment horizontal="right"/>
    </xf>
    <xf numFmtId="0" fontId="2" fillId="0" borderId="7" applyNumberFormat="0" applyFill="0" applyProtection="0">
      <alignment horizontal="left"/>
    </xf>
    <xf numFmtId="0" fontId="74" fillId="59" borderId="0" applyNumberFormat="0" applyBorder="0" applyAlignment="0" applyProtection="0">
      <alignment vertical="center"/>
    </xf>
    <xf numFmtId="0" fontId="110"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7" fillId="52" borderId="81" applyNumberFormat="0" applyAlignment="0" applyProtection="0">
      <alignment vertical="center"/>
    </xf>
    <xf numFmtId="0" fontId="111"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7" fillId="52" borderId="81" applyNumberFormat="0" applyAlignment="0" applyProtection="0">
      <alignment vertical="center"/>
    </xf>
    <xf numFmtId="0" fontId="70" fillId="39" borderId="73" applyNumberFormat="0" applyAlignment="0" applyProtection="0">
      <alignment vertical="center"/>
    </xf>
    <xf numFmtId="0" fontId="112" fillId="39" borderId="73" applyNumberFormat="0" applyAlignment="0" applyProtection="0">
      <alignment vertical="center"/>
    </xf>
    <xf numFmtId="0" fontId="70" fillId="39" borderId="73" applyNumberFormat="0" applyAlignment="0" applyProtection="0">
      <alignment vertical="center"/>
    </xf>
    <xf numFmtId="0" fontId="70" fillId="39" borderId="73" applyNumberFormat="0" applyAlignment="0" applyProtection="0">
      <alignment vertical="center"/>
    </xf>
    <xf numFmtId="0" fontId="70" fillId="39" borderId="73" applyNumberFormat="0" applyAlignment="0" applyProtection="0">
      <alignment vertical="center"/>
    </xf>
    <xf numFmtId="0" fontId="70" fillId="39" borderId="73" applyNumberFormat="0" applyAlignment="0" applyProtection="0">
      <alignment vertical="center"/>
    </xf>
    <xf numFmtId="0" fontId="70" fillId="39" borderId="73" applyNumberFormat="0" applyAlignment="0" applyProtection="0">
      <alignment vertical="center"/>
    </xf>
    <xf numFmtId="0" fontId="70" fillId="39" borderId="73" applyNumberFormat="0" applyAlignment="0" applyProtection="0">
      <alignment vertical="center"/>
    </xf>
    <xf numFmtId="0" fontId="70" fillId="39" borderId="73" applyNumberFormat="0" applyAlignment="0" applyProtection="0">
      <alignment vertical="center"/>
    </xf>
    <xf numFmtId="0" fontId="70" fillId="39" borderId="73" applyNumberFormat="0" applyAlignment="0" applyProtection="0">
      <alignment vertical="center"/>
    </xf>
    <xf numFmtId="0" fontId="70" fillId="39" borderId="73" applyNumberFormat="0" applyAlignment="0" applyProtection="0">
      <alignment vertical="center"/>
    </xf>
    <xf numFmtId="0" fontId="70" fillId="39" borderId="73" applyNumberFormat="0" applyAlignment="0" applyProtection="0">
      <alignment vertical="center"/>
    </xf>
    <xf numFmtId="0" fontId="70" fillId="39" borderId="73" applyNumberFormat="0" applyAlignment="0" applyProtection="0">
      <alignment vertical="center"/>
    </xf>
    <xf numFmtId="0" fontId="70" fillId="39" borderId="73" applyNumberFormat="0" applyAlignment="0" applyProtection="0">
      <alignment vertical="center"/>
    </xf>
    <xf numFmtId="0" fontId="70" fillId="39" borderId="73" applyNumberFormat="0" applyAlignment="0" applyProtection="0">
      <alignment vertical="center"/>
    </xf>
    <xf numFmtId="0" fontId="70" fillId="39" borderId="73" applyNumberFormat="0" applyAlignment="0" applyProtection="0">
      <alignment vertical="center"/>
    </xf>
    <xf numFmtId="0" fontId="70" fillId="39" borderId="73" applyNumberFormat="0" applyAlignment="0" applyProtection="0">
      <alignment vertical="center"/>
    </xf>
    <xf numFmtId="0" fontId="70" fillId="39" borderId="73" applyNumberFormat="0" applyAlignment="0" applyProtection="0">
      <alignment vertical="center"/>
    </xf>
    <xf numFmtId="0" fontId="70" fillId="39" borderId="73" applyNumberFormat="0" applyAlignment="0" applyProtection="0">
      <alignment vertical="center"/>
    </xf>
    <xf numFmtId="0" fontId="70" fillId="39" borderId="73" applyNumberFormat="0" applyAlignment="0" applyProtection="0">
      <alignment vertical="center"/>
    </xf>
    <xf numFmtId="0" fontId="70" fillId="39" borderId="73" applyNumberFormat="0" applyAlignment="0" applyProtection="0">
      <alignment vertical="center"/>
    </xf>
    <xf numFmtId="1" fontId="2" fillId="0" borderId="2" applyFill="0" applyProtection="0">
      <alignment horizontal="center"/>
    </xf>
    <xf numFmtId="1" fontId="18" fillId="0" borderId="18">
      <alignment vertical="center"/>
      <protection locked="0"/>
    </xf>
    <xf numFmtId="1" fontId="18" fillId="0" borderId="18">
      <alignment vertical="center"/>
      <protection locked="0"/>
    </xf>
    <xf numFmtId="1" fontId="18" fillId="0" borderId="18">
      <alignment vertical="center"/>
      <protection locked="0"/>
    </xf>
    <xf numFmtId="1" fontId="18" fillId="0" borderId="18">
      <alignment vertical="center"/>
      <protection locked="0"/>
    </xf>
    <xf numFmtId="1" fontId="18" fillId="0" borderId="18">
      <alignment vertical="center"/>
      <protection locked="0"/>
    </xf>
    <xf numFmtId="1" fontId="18" fillId="0" borderId="18">
      <alignment vertical="center"/>
      <protection locked="0"/>
    </xf>
    <xf numFmtId="1" fontId="18" fillId="0" borderId="18">
      <alignment vertical="center"/>
      <protection locked="0"/>
    </xf>
    <xf numFmtId="1" fontId="18" fillId="0" borderId="18">
      <alignment vertical="center"/>
      <protection locked="0"/>
    </xf>
    <xf numFmtId="1" fontId="18" fillId="0" borderId="18">
      <alignment vertical="center"/>
      <protection locked="0"/>
    </xf>
    <xf numFmtId="0" fontId="113" fillId="0" borderId="0"/>
    <xf numFmtId="199" fontId="18" fillId="0" borderId="18">
      <alignment vertical="center"/>
      <protection locked="0"/>
    </xf>
    <xf numFmtId="199" fontId="18" fillId="0" borderId="18">
      <alignment vertical="center"/>
      <protection locked="0"/>
    </xf>
    <xf numFmtId="199" fontId="18" fillId="0" borderId="18">
      <alignment vertical="center"/>
      <protection locked="0"/>
    </xf>
    <xf numFmtId="199" fontId="18" fillId="0" borderId="18">
      <alignment vertical="center"/>
      <protection locked="0"/>
    </xf>
    <xf numFmtId="199" fontId="18" fillId="0" borderId="18">
      <alignment vertical="center"/>
      <protection locked="0"/>
    </xf>
    <xf numFmtId="199" fontId="18" fillId="0" borderId="18">
      <alignment vertical="center"/>
      <protection locked="0"/>
    </xf>
    <xf numFmtId="199" fontId="18" fillId="0" borderId="18">
      <alignment vertical="center"/>
      <protection locked="0"/>
    </xf>
    <xf numFmtId="199" fontId="18" fillId="0" borderId="18">
      <alignment vertical="center"/>
      <protection locked="0"/>
    </xf>
    <xf numFmtId="199" fontId="18" fillId="0" borderId="18">
      <alignment vertical="center"/>
      <protection locked="0"/>
    </xf>
    <xf numFmtId="0" fontId="2" fillId="0" borderId="0"/>
    <xf numFmtId="0" fontId="114" fillId="0" borderId="0"/>
    <xf numFmtId="43" fontId="0" fillId="0" borderId="0" applyFont="0" applyFill="0" applyBorder="0" applyAlignment="0" applyProtection="0"/>
    <xf numFmtId="41" fontId="0" fillId="0" borderId="0" applyFont="0" applyFill="0" applyBorder="0" applyAlignment="0" applyProtection="0"/>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0" fontId="0" fillId="51" borderId="80" applyNumberFormat="0" applyFont="0" applyAlignment="0" applyProtection="0">
      <alignment vertical="center"/>
    </xf>
    <xf numFmtId="38" fontId="0" fillId="0" borderId="0" applyFont="0" applyFill="0" applyBorder="0" applyAlignment="0" applyProtection="0"/>
    <xf numFmtId="40" fontId="0" fillId="0" borderId="0" applyFont="0" applyFill="0" applyBorder="0" applyAlignment="0" applyProtection="0"/>
    <xf numFmtId="0" fontId="0" fillId="0" borderId="0" applyFont="0" applyFill="0" applyBorder="0" applyAlignment="0" applyProtection="0"/>
    <xf numFmtId="0" fontId="0" fillId="0" borderId="0" applyFont="0" applyFill="0" applyBorder="0" applyAlignment="0" applyProtection="0"/>
    <xf numFmtId="0" fontId="115" fillId="0" borderId="0"/>
    <xf numFmtId="0" fontId="0" fillId="0" borderId="0"/>
    <xf numFmtId="0" fontId="0" fillId="0" borderId="0"/>
  </cellStyleXfs>
  <cellXfs count="663">
    <xf numFmtId="0" fontId="0" fillId="0" borderId="0" xfId="0"/>
    <xf numFmtId="0" fontId="1" fillId="0" borderId="0" xfId="0" applyFont="1"/>
    <xf numFmtId="0" fontId="2" fillId="0" borderId="0" xfId="0" applyFont="1"/>
    <xf numFmtId="0" fontId="3" fillId="0" borderId="0" xfId="0" applyFont="1" applyBorder="1" applyAlignment="1">
      <alignment horizontal="center" vertical="center"/>
    </xf>
    <xf numFmtId="0" fontId="4" fillId="0" borderId="1" xfId="0" applyFont="1" applyBorder="1"/>
    <xf numFmtId="0" fontId="2" fillId="0" borderId="1" xfId="0" applyFont="1" applyBorder="1"/>
    <xf numFmtId="0" fontId="4" fillId="0" borderId="1" xfId="0" applyFont="1" applyBorder="1" applyAlignment="1">
      <alignment horizontal="right"/>
    </xf>
    <xf numFmtId="189" fontId="0" fillId="0" borderId="2" xfId="969" applyFont="1" applyFill="1" applyBorder="1" applyAlignment="1">
      <alignment horizontal="center" vertical="center"/>
    </xf>
    <xf numFmtId="189" fontId="0" fillId="0" borderId="3" xfId="969" applyFont="1" applyFill="1" applyBorder="1" applyAlignment="1">
      <alignment horizontal="center" vertical="center"/>
    </xf>
    <xf numFmtId="0" fontId="5" fillId="0" borderId="4" xfId="0" applyFont="1" applyBorder="1" applyAlignment="1">
      <alignment horizontal="center" vertical="center"/>
    </xf>
    <xf numFmtId="200" fontId="0" fillId="0" borderId="5" xfId="0" applyNumberFormat="1" applyFont="1" applyFill="1" applyBorder="1" applyAlignment="1">
      <alignment horizontal="right" vertical="center"/>
    </xf>
    <xf numFmtId="201" fontId="0" fillId="0" borderId="6" xfId="969" applyNumberFormat="1" applyFont="1" applyFill="1" applyBorder="1" applyAlignment="1">
      <alignment horizontal="right" vertical="center"/>
    </xf>
    <xf numFmtId="0" fontId="5" fillId="0"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201" fontId="0" fillId="0" borderId="0" xfId="969" applyNumberFormat="1" applyFont="1" applyFill="1" applyBorder="1" applyAlignment="1">
      <alignment horizontal="right" vertical="center"/>
    </xf>
    <xf numFmtId="0" fontId="5" fillId="0" borderId="4" xfId="0" applyNumberFormat="1" applyFont="1" applyBorder="1" applyAlignment="1">
      <alignment horizontal="center"/>
    </xf>
    <xf numFmtId="0" fontId="0" fillId="0" borderId="4" xfId="0" applyNumberFormat="1" applyBorder="1"/>
    <xf numFmtId="0" fontId="0" fillId="0" borderId="0" xfId="0" applyNumberFormat="1" applyBorder="1"/>
    <xf numFmtId="200" fontId="0" fillId="0" borderId="4" xfId="0" applyNumberFormat="1" applyFont="1" applyFill="1" applyBorder="1" applyAlignment="1">
      <alignment horizontal="right" vertical="center"/>
    </xf>
    <xf numFmtId="200" fontId="0" fillId="0" borderId="0" xfId="0" applyNumberFormat="1" applyFont="1" applyFill="1" applyBorder="1" applyAlignment="1">
      <alignment horizontal="right" vertical="center"/>
    </xf>
    <xf numFmtId="201" fontId="0" fillId="0" borderId="5" xfId="0" applyNumberFormat="1" applyBorder="1"/>
    <xf numFmtId="201" fontId="0" fillId="0" borderId="0" xfId="0" applyNumberFormat="1" applyBorder="1"/>
    <xf numFmtId="0" fontId="5" fillId="0" borderId="2" xfId="0" applyNumberFormat="1" applyFont="1" applyBorder="1" applyAlignment="1">
      <alignment horizontal="center"/>
    </xf>
    <xf numFmtId="201" fontId="0" fillId="0" borderId="7" xfId="0" applyNumberFormat="1" applyBorder="1"/>
    <xf numFmtId="201" fontId="0" fillId="0" borderId="3" xfId="0" applyNumberFormat="1" applyBorder="1"/>
    <xf numFmtId="0" fontId="3" fillId="0" borderId="1" xfId="0" applyFont="1" applyFill="1" applyBorder="1" applyAlignment="1">
      <alignment horizontal="center" vertical="center"/>
    </xf>
    <xf numFmtId="0" fontId="0" fillId="0" borderId="1" xfId="0" applyFont="1" applyFill="1" applyBorder="1" applyAlignment="1">
      <alignment horizontal="center"/>
    </xf>
    <xf numFmtId="202" fontId="0" fillId="0" borderId="5" xfId="0" applyNumberFormat="1" applyFont="1" applyBorder="1" applyAlignment="1">
      <alignment horizontal="right" vertical="center"/>
    </xf>
    <xf numFmtId="203" fontId="0" fillId="0" borderId="5" xfId="0" applyNumberFormat="1" applyFont="1" applyBorder="1" applyAlignment="1">
      <alignment horizontal="right" vertical="center"/>
    </xf>
    <xf numFmtId="201" fontId="0" fillId="0" borderId="6" xfId="0" applyNumberFormat="1" applyFont="1" applyBorder="1" applyAlignment="1">
      <alignment horizontal="right" vertical="center"/>
    </xf>
    <xf numFmtId="201" fontId="0" fillId="0" borderId="6" xfId="0" applyNumberFormat="1" applyFont="1" applyFill="1" applyBorder="1" applyAlignment="1">
      <alignment horizontal="right" vertical="center"/>
    </xf>
    <xf numFmtId="0" fontId="5" fillId="0" borderId="0" xfId="0" applyFont="1" applyBorder="1" applyAlignment="1">
      <alignment horizontal="center" vertical="center"/>
    </xf>
    <xf numFmtId="201" fontId="0" fillId="0" borderId="0" xfId="0" applyNumberFormat="1" applyFont="1" applyFill="1" applyBorder="1" applyAlignment="1">
      <alignment horizontal="right" vertical="center"/>
    </xf>
    <xf numFmtId="203" fontId="0" fillId="0" borderId="4" xfId="0" applyNumberFormat="1" applyFont="1" applyBorder="1" applyAlignment="1">
      <alignment horizontal="right" vertical="center"/>
    </xf>
    <xf numFmtId="201" fontId="0" fillId="0" borderId="0" xfId="0" applyNumberFormat="1" applyBorder="1" applyAlignment="1">
      <alignment horizontal="right"/>
    </xf>
    <xf numFmtId="203" fontId="0" fillId="0" borderId="4" xfId="0" applyNumberFormat="1" applyBorder="1"/>
    <xf numFmtId="201" fontId="0" fillId="0" borderId="0" xfId="2055" applyNumberFormat="1" applyFont="1" applyFill="1" applyBorder="1" applyAlignment="1">
      <alignment horizontal="right" vertical="center"/>
    </xf>
    <xf numFmtId="203" fontId="0" fillId="0" borderId="7" xfId="0" applyNumberFormat="1" applyFont="1" applyBorder="1" applyAlignment="1">
      <alignment horizontal="right" vertical="center"/>
    </xf>
    <xf numFmtId="201" fontId="0" fillId="0" borderId="3" xfId="2055" applyNumberFormat="1" applyFont="1" applyFill="1" applyBorder="1" applyAlignment="1">
      <alignment horizontal="right" vertical="center"/>
    </xf>
    <xf numFmtId="0" fontId="3" fillId="0" borderId="0" xfId="0" applyFont="1" applyFill="1" applyBorder="1" applyAlignment="1">
      <alignment horizontal="center" vertical="center"/>
    </xf>
    <xf numFmtId="202" fontId="0" fillId="0" borderId="4" xfId="0" applyNumberFormat="1" applyFont="1" applyBorder="1" applyAlignment="1">
      <alignment horizontal="right" vertical="center"/>
    </xf>
    <xf numFmtId="0" fontId="0" fillId="0" borderId="5" xfId="0" applyNumberFormat="1" applyBorder="1"/>
    <xf numFmtId="0" fontId="0" fillId="0" borderId="7" xfId="0" applyNumberFormat="1" applyBorder="1"/>
    <xf numFmtId="0" fontId="0" fillId="0" borderId="0" xfId="0" applyFont="1"/>
    <xf numFmtId="0" fontId="4" fillId="0" borderId="0" xfId="0" applyFont="1"/>
    <xf numFmtId="0" fontId="0" fillId="0" borderId="0" xfId="0" applyBorder="1"/>
    <xf numFmtId="0" fontId="3" fillId="0" borderId="1" xfId="0" applyFont="1" applyBorder="1" applyAlignment="1">
      <alignment horizontal="center" vertical="center"/>
    </xf>
    <xf numFmtId="0" fontId="0" fillId="0" borderId="0" xfId="0" applyFont="1" applyFill="1" applyAlignment="1"/>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0" fillId="0" borderId="0" xfId="0" applyFont="1" applyBorder="1"/>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7" fillId="0" borderId="0" xfId="0" applyFont="1" applyBorder="1" applyAlignment="1">
      <alignment horizontal="right" vertical="center"/>
    </xf>
    <xf numFmtId="200" fontId="0" fillId="0" borderId="6" xfId="0" applyNumberFormat="1" applyFont="1" applyBorder="1" applyAlignment="1">
      <alignment horizontal="right" vertical="center"/>
    </xf>
    <xf numFmtId="0" fontId="8" fillId="0" borderId="4" xfId="0" applyFont="1" applyBorder="1" applyAlignment="1">
      <alignment horizontal="center" vertical="center" wrapText="1"/>
    </xf>
    <xf numFmtId="201" fontId="0" fillId="0" borderId="0" xfId="0" applyNumberFormat="1" applyBorder="1" applyAlignment="1">
      <alignment vertical="center"/>
    </xf>
    <xf numFmtId="202" fontId="0" fillId="0" borderId="2" xfId="0" applyNumberFormat="1" applyFont="1" applyBorder="1" applyAlignment="1">
      <alignment horizontal="right" vertical="center"/>
    </xf>
    <xf numFmtId="201" fontId="0" fillId="0" borderId="3" xfId="0" applyNumberFormat="1" applyBorder="1" applyAlignment="1">
      <alignment vertical="center"/>
    </xf>
    <xf numFmtId="202" fontId="0" fillId="0" borderId="5" xfId="3119" applyNumberFormat="1" applyFont="1" applyBorder="1" applyAlignment="1">
      <alignment horizontal="right" vertical="center"/>
    </xf>
    <xf numFmtId="202" fontId="0" fillId="0" borderId="5" xfId="3119" applyNumberFormat="1" applyFont="1" applyBorder="1" applyAlignment="1">
      <alignment horizontal="right" vertical="center" wrapText="1"/>
    </xf>
    <xf numFmtId="201" fontId="0" fillId="0" borderId="6" xfId="969" applyNumberFormat="1" applyFont="1" applyFill="1" applyBorder="1" applyAlignment="1">
      <alignment horizontal="right" vertical="center" wrapText="1"/>
    </xf>
    <xf numFmtId="204" fontId="0" fillId="0" borderId="5" xfId="0" applyNumberFormat="1" applyBorder="1" applyAlignment="1">
      <alignment wrapText="1"/>
    </xf>
    <xf numFmtId="0" fontId="0" fillId="0" borderId="5" xfId="0" applyBorder="1" applyAlignment="1">
      <alignment wrapText="1"/>
    </xf>
    <xf numFmtId="0" fontId="5" fillId="0" borderId="4" xfId="0" applyNumberFormat="1" applyFont="1" applyBorder="1" applyAlignment="1">
      <alignment horizontal="center" vertical="center"/>
    </xf>
    <xf numFmtId="0" fontId="0" fillId="0" borderId="5" xfId="0" applyNumberFormat="1" applyBorder="1" applyAlignment="1">
      <alignment wrapText="1"/>
    </xf>
    <xf numFmtId="0" fontId="0" fillId="0" borderId="6" xfId="0" applyNumberFormat="1" applyBorder="1" applyAlignment="1">
      <alignment wrapText="1"/>
    </xf>
    <xf numFmtId="201" fontId="0" fillId="0" borderId="6" xfId="0" applyNumberFormat="1" applyBorder="1" applyAlignment="1">
      <alignment wrapText="1"/>
    </xf>
    <xf numFmtId="0" fontId="5" fillId="0" borderId="6" xfId="0" applyNumberFormat="1" applyFont="1" applyBorder="1" applyAlignment="1">
      <alignment horizontal="center" vertical="center"/>
    </xf>
    <xf numFmtId="205" fontId="0" fillId="0" borderId="5" xfId="0" applyNumberFormat="1" applyBorder="1" applyAlignment="1">
      <alignment wrapText="1"/>
    </xf>
    <xf numFmtId="0" fontId="0" fillId="0" borderId="0" xfId="0" applyNumberFormat="1" applyBorder="1" applyAlignment="1">
      <alignment wrapText="1"/>
    </xf>
    <xf numFmtId="201" fontId="0" fillId="0" borderId="0" xfId="0" applyNumberFormat="1" applyBorder="1" applyAlignment="1">
      <alignment wrapText="1"/>
    </xf>
    <xf numFmtId="205" fontId="0" fillId="0" borderId="4" xfId="0" applyNumberFormat="1" applyBorder="1"/>
    <xf numFmtId="205" fontId="0" fillId="0" borderId="11" xfId="0" applyNumberFormat="1" applyBorder="1"/>
    <xf numFmtId="201" fontId="0" fillId="0" borderId="12" xfId="0" applyNumberFormat="1" applyBorder="1"/>
    <xf numFmtId="202" fontId="0" fillId="0" borderId="5" xfId="0" applyNumberFormat="1" applyFont="1" applyFill="1" applyBorder="1" applyAlignment="1">
      <alignment horizontal="right" vertical="center"/>
    </xf>
    <xf numFmtId="200" fontId="0" fillId="0" borderId="6" xfId="0" applyNumberFormat="1" applyFont="1" applyFill="1" applyBorder="1" applyAlignment="1">
      <alignment horizontal="right" vertical="center"/>
    </xf>
    <xf numFmtId="0" fontId="0" fillId="0" borderId="4" xfId="0" applyBorder="1"/>
    <xf numFmtId="0" fontId="0" fillId="0" borderId="6" xfId="0" applyBorder="1"/>
    <xf numFmtId="0" fontId="5" fillId="0" borderId="0" xfId="0" applyNumberFormat="1" applyFont="1" applyBorder="1" applyAlignment="1">
      <alignment horizontal="center" vertical="center"/>
    </xf>
    <xf numFmtId="0" fontId="0" fillId="2" borderId="7" xfId="0" applyFont="1" applyFill="1" applyBorder="1" applyAlignment="1">
      <alignment horizontal="right" vertical="center"/>
    </xf>
    <xf numFmtId="201" fontId="0" fillId="2" borderId="13" xfId="0" applyNumberFormat="1" applyFont="1" applyFill="1" applyBorder="1" applyAlignment="1">
      <alignment horizontal="right" vertical="center"/>
    </xf>
    <xf numFmtId="0" fontId="9" fillId="0" borderId="0" xfId="0" applyFont="1" applyFill="1" applyBorder="1" applyAlignment="1">
      <alignment horizontal="center" vertical="center"/>
    </xf>
    <xf numFmtId="201" fontId="9" fillId="0" borderId="0" xfId="0" applyNumberFormat="1" applyFont="1" applyFill="1" applyBorder="1" applyAlignment="1">
      <alignment horizontal="center" vertical="center"/>
    </xf>
    <xf numFmtId="0" fontId="10" fillId="0" borderId="0" xfId="0" applyFont="1" applyFill="1" applyBorder="1" applyAlignment="1">
      <alignment vertical="center"/>
    </xf>
    <xf numFmtId="201" fontId="10" fillId="0" borderId="0" xfId="0" applyNumberFormat="1" applyFont="1" applyFill="1" applyBorder="1" applyAlignment="1">
      <alignment vertical="center"/>
    </xf>
    <xf numFmtId="0" fontId="10" fillId="0" borderId="0" xfId="0" applyFont="1" applyFill="1" applyBorder="1" applyAlignment="1">
      <alignment horizontal="right" vertical="center"/>
    </xf>
    <xf numFmtId="0" fontId="11" fillId="0" borderId="14" xfId="0" applyFont="1" applyFill="1" applyBorder="1" applyAlignment="1">
      <alignment horizontal="center" vertical="center"/>
    </xf>
    <xf numFmtId="0" fontId="11" fillId="0" borderId="15" xfId="0" applyFont="1" applyFill="1" applyBorder="1" applyAlignment="1">
      <alignment horizontal="center" vertical="center"/>
    </xf>
    <xf numFmtId="201" fontId="11" fillId="0" borderId="15" xfId="0" applyNumberFormat="1" applyFont="1" applyFill="1" applyBorder="1" applyAlignment="1">
      <alignment horizontal="center" vertical="center"/>
    </xf>
    <xf numFmtId="201" fontId="11" fillId="0" borderId="16" xfId="0" applyNumberFormat="1" applyFont="1" applyFill="1" applyBorder="1" applyAlignment="1">
      <alignment horizontal="center" vertical="center"/>
    </xf>
    <xf numFmtId="0" fontId="11" fillId="0" borderId="17" xfId="0" applyFont="1" applyFill="1" applyBorder="1" applyAlignment="1">
      <alignment horizontal="center" vertical="center"/>
    </xf>
    <xf numFmtId="0" fontId="11" fillId="0" borderId="18" xfId="0" applyFont="1" applyFill="1" applyBorder="1" applyAlignment="1">
      <alignment horizontal="center" vertical="center"/>
    </xf>
    <xf numFmtId="201" fontId="11" fillId="0" borderId="18" xfId="0" applyNumberFormat="1" applyFont="1" applyFill="1" applyBorder="1" applyAlignment="1">
      <alignment horizontal="center" vertical="center" wrapText="1"/>
    </xf>
    <xf numFmtId="201" fontId="11" fillId="0" borderId="19" xfId="0" applyNumberFormat="1" applyFont="1" applyFill="1" applyBorder="1" applyAlignment="1">
      <alignment horizontal="center" vertical="center" wrapText="1"/>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wrapText="1"/>
    </xf>
    <xf numFmtId="201" fontId="10" fillId="0" borderId="5" xfId="0" applyNumberFormat="1" applyFont="1" applyFill="1" applyBorder="1" applyAlignment="1">
      <alignment horizontal="center" vertical="center" wrapText="1"/>
    </xf>
    <xf numFmtId="201" fontId="10" fillId="0" borderId="6" xfId="0" applyNumberFormat="1" applyFont="1" applyFill="1" applyBorder="1" applyAlignment="1">
      <alignment horizontal="center" vertical="center" wrapText="1"/>
    </xf>
    <xf numFmtId="203" fontId="10" fillId="0" borderId="0" xfId="0" applyNumberFormat="1" applyFont="1" applyFill="1" applyBorder="1" applyAlignment="1">
      <alignment vertical="center" wrapText="1"/>
    </xf>
    <xf numFmtId="201" fontId="10" fillId="0" borderId="5" xfId="0" applyNumberFormat="1" applyFont="1" applyFill="1" applyBorder="1" applyAlignment="1">
      <alignment horizontal="right" vertical="center" wrapText="1"/>
    </xf>
    <xf numFmtId="201" fontId="10" fillId="0" borderId="6" xfId="0" applyNumberFormat="1" applyFont="1" applyFill="1" applyBorder="1" applyAlignment="1">
      <alignment horizontal="right" vertical="center" wrapText="1"/>
    </xf>
    <xf numFmtId="203" fontId="10" fillId="0" borderId="4" xfId="0" applyNumberFormat="1" applyFont="1" applyFill="1" applyBorder="1" applyAlignment="1">
      <alignment vertical="center" wrapText="1"/>
    </xf>
    <xf numFmtId="203" fontId="10" fillId="0" borderId="5" xfId="0" applyNumberFormat="1" applyFont="1" applyFill="1" applyBorder="1" applyAlignment="1">
      <alignment vertical="center" wrapText="1"/>
    </xf>
    <xf numFmtId="201" fontId="10" fillId="0" borderId="6" xfId="0" applyNumberFormat="1" applyFont="1" applyFill="1" applyBorder="1" applyAlignment="1">
      <alignment vertical="center" wrapText="1"/>
    </xf>
    <xf numFmtId="201" fontId="10" fillId="0" borderId="5" xfId="0" applyNumberFormat="1" applyFont="1" applyFill="1" applyBorder="1" applyAlignment="1">
      <alignment vertical="center" wrapText="1"/>
    </xf>
    <xf numFmtId="201" fontId="11" fillId="0" borderId="18" xfId="0" applyNumberFormat="1" applyFont="1" applyFill="1" applyBorder="1" applyAlignment="1">
      <alignment horizontal="center" vertical="center"/>
    </xf>
    <xf numFmtId="201" fontId="11" fillId="0" borderId="19" xfId="0" applyNumberFormat="1" applyFont="1" applyFill="1" applyBorder="1" applyAlignment="1">
      <alignment horizontal="center" vertical="center"/>
    </xf>
    <xf numFmtId="0" fontId="10" fillId="0" borderId="0" xfId="0" applyFont="1" applyFill="1" applyBorder="1" applyAlignment="1">
      <alignment horizontal="center" vertical="center"/>
    </xf>
    <xf numFmtId="203" fontId="10" fillId="0" borderId="20" xfId="0" applyNumberFormat="1" applyFont="1" applyFill="1" applyBorder="1" applyAlignment="1">
      <alignment horizontal="right" vertical="center" wrapText="1"/>
    </xf>
    <xf numFmtId="201" fontId="10" fillId="0" borderId="20" xfId="0" applyNumberFormat="1" applyFont="1" applyFill="1" applyBorder="1" applyAlignment="1">
      <alignment horizontal="right" vertical="center" wrapText="1"/>
    </xf>
    <xf numFmtId="201" fontId="10" fillId="0" borderId="21" xfId="0" applyNumberFormat="1" applyFont="1" applyFill="1" applyBorder="1" applyAlignment="1">
      <alignment horizontal="right" vertical="center" wrapText="1"/>
    </xf>
    <xf numFmtId="203" fontId="10" fillId="0" borderId="20" xfId="0" applyNumberFormat="1" applyFont="1" applyFill="1" applyBorder="1" applyAlignment="1">
      <alignment vertical="center" wrapText="1"/>
    </xf>
    <xf numFmtId="201" fontId="10" fillId="0" borderId="20" xfId="0" applyNumberFormat="1" applyFont="1" applyFill="1" applyBorder="1" applyAlignment="1">
      <alignment vertical="center" wrapText="1"/>
    </xf>
    <xf numFmtId="203" fontId="0" fillId="0" borderId="0" xfId="0" applyNumberFormat="1"/>
    <xf numFmtId="0" fontId="10" fillId="0" borderId="1" xfId="0" applyFont="1" applyFill="1" applyBorder="1" applyAlignment="1">
      <alignment horizontal="center" vertical="center"/>
    </xf>
    <xf numFmtId="203" fontId="10" fillId="0" borderId="22" xfId="0" applyNumberFormat="1" applyFont="1" applyFill="1" applyBorder="1" applyAlignment="1">
      <alignment vertical="center" wrapText="1"/>
    </xf>
    <xf numFmtId="201" fontId="10" fillId="0" borderId="22" xfId="0" applyNumberFormat="1" applyFont="1" applyFill="1" applyBorder="1" applyAlignment="1">
      <alignment vertical="center" wrapText="1"/>
    </xf>
    <xf numFmtId="203" fontId="10" fillId="0" borderId="22" xfId="0" applyNumberFormat="1" applyFont="1" applyFill="1" applyBorder="1" applyAlignment="1">
      <alignment horizontal="right" vertical="center" wrapText="1"/>
    </xf>
    <xf numFmtId="201" fontId="10" fillId="0" borderId="23" xfId="0" applyNumberFormat="1" applyFont="1" applyFill="1" applyBorder="1" applyAlignment="1">
      <alignment horizontal="right" vertical="center" wrapText="1"/>
    </xf>
    <xf numFmtId="0" fontId="0" fillId="0" borderId="0" xfId="0" applyFill="1" applyBorder="1" applyAlignment="1"/>
    <xf numFmtId="201" fontId="9" fillId="0" borderId="0" xfId="0" applyNumberFormat="1" applyFont="1" applyFill="1" applyBorder="1" applyAlignment="1">
      <alignment horizontal="center" vertical="center" wrapText="1"/>
    </xf>
    <xf numFmtId="201" fontId="10" fillId="0" borderId="0" xfId="0" applyNumberFormat="1" applyFont="1" applyFill="1" applyBorder="1" applyAlignment="1">
      <alignment horizontal="right" vertical="center" wrapText="1"/>
    </xf>
    <xf numFmtId="0" fontId="10" fillId="0" borderId="0" xfId="0" applyFont="1" applyFill="1" applyBorder="1" applyAlignment="1">
      <alignment horizontal="right" vertical="center" wrapText="1"/>
    </xf>
    <xf numFmtId="201" fontId="11" fillId="0" borderId="15" xfId="0" applyNumberFormat="1" applyFont="1" applyFill="1" applyBorder="1" applyAlignment="1">
      <alignment horizontal="center" vertical="center" wrapText="1"/>
    </xf>
    <xf numFmtId="201" fontId="11" fillId="0" borderId="16" xfId="0" applyNumberFormat="1" applyFont="1" applyFill="1" applyBorder="1" applyAlignment="1">
      <alignment horizontal="center" vertical="center" wrapText="1"/>
    </xf>
    <xf numFmtId="201" fontId="10" fillId="0" borderId="0" xfId="0" applyNumberFormat="1" applyFont="1" applyFill="1" applyBorder="1" applyAlignment="1">
      <alignment vertical="center" wrapText="1"/>
    </xf>
    <xf numFmtId="201" fontId="10" fillId="0" borderId="4" xfId="0" applyNumberFormat="1" applyFont="1" applyFill="1" applyBorder="1" applyAlignment="1">
      <alignment vertical="center" wrapText="1"/>
    </xf>
    <xf numFmtId="201" fontId="10" fillId="0" borderId="21" xfId="0" applyNumberFormat="1" applyFont="1" applyFill="1" applyBorder="1" applyAlignment="1">
      <alignment vertical="center" wrapText="1"/>
    </xf>
    <xf numFmtId="201" fontId="10" fillId="0" borderId="0" xfId="0" applyNumberFormat="1" applyFont="1" applyFill="1" applyBorder="1" applyAlignment="1">
      <alignment horizontal="right" vertical="center"/>
    </xf>
    <xf numFmtId="0" fontId="10" fillId="0" borderId="20" xfId="0" applyFont="1" applyFill="1" applyBorder="1" applyAlignment="1">
      <alignment horizontal="right" vertical="center" wrapText="1"/>
    </xf>
    <xf numFmtId="0" fontId="4" fillId="0" borderId="0" xfId="0" applyFont="1" applyFill="1" applyBorder="1" applyAlignment="1">
      <alignment horizontal="left" vertical="center"/>
    </xf>
    <xf numFmtId="0" fontId="10" fillId="0" borderId="20" xfId="0" applyFont="1" applyFill="1" applyBorder="1" applyAlignment="1">
      <alignment horizontal="center" vertical="center" wrapText="1"/>
    </xf>
    <xf numFmtId="201" fontId="10" fillId="0" borderId="20" xfId="0" applyNumberFormat="1" applyFont="1" applyFill="1" applyBorder="1" applyAlignment="1">
      <alignment horizontal="center" vertical="center" wrapText="1"/>
    </xf>
    <xf numFmtId="201" fontId="10" fillId="0" borderId="21" xfId="0" applyNumberFormat="1" applyFont="1" applyFill="1" applyBorder="1" applyAlignment="1">
      <alignment horizontal="center" vertical="center" wrapText="1"/>
    </xf>
    <xf numFmtId="0" fontId="0" fillId="0" borderId="24" xfId="0" applyFill="1" applyBorder="1" applyAlignment="1"/>
    <xf numFmtId="0" fontId="11" fillId="0" borderId="16" xfId="0" applyFont="1" applyFill="1" applyBorder="1" applyAlignment="1">
      <alignment horizontal="center" vertical="center"/>
    </xf>
    <xf numFmtId="0" fontId="11" fillId="0" borderId="19" xfId="0" applyFont="1" applyFill="1" applyBorder="1" applyAlignment="1">
      <alignment horizontal="center" vertical="center"/>
    </xf>
    <xf numFmtId="0" fontId="10" fillId="0" borderId="6" xfId="0" applyFont="1" applyFill="1" applyBorder="1" applyAlignment="1">
      <alignment horizontal="center" vertical="center" wrapText="1"/>
    </xf>
    <xf numFmtId="0" fontId="10" fillId="0" borderId="5" xfId="0" applyFont="1" applyFill="1" applyBorder="1" applyAlignment="1">
      <alignment horizontal="right" vertical="center" wrapText="1"/>
    </xf>
    <xf numFmtId="0" fontId="10" fillId="0" borderId="6" xfId="0" applyFont="1" applyFill="1" applyBorder="1" applyAlignment="1">
      <alignment horizontal="right" vertical="center" wrapText="1"/>
    </xf>
    <xf numFmtId="0" fontId="10" fillId="0" borderId="21" xfId="0" applyFont="1" applyFill="1" applyBorder="1" applyAlignment="1">
      <alignment horizontal="center" vertical="center" wrapText="1"/>
    </xf>
    <xf numFmtId="0" fontId="0" fillId="0" borderId="25" xfId="0" applyFill="1" applyBorder="1" applyAlignment="1">
      <alignment vertical="center"/>
    </xf>
    <xf numFmtId="0" fontId="12" fillId="0" borderId="1"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5" fillId="0" borderId="4" xfId="0" applyFont="1" applyBorder="1" applyAlignment="1">
      <alignment horizontal="center"/>
    </xf>
    <xf numFmtId="0" fontId="0" fillId="0" borderId="5" xfId="0" applyBorder="1"/>
    <xf numFmtId="0" fontId="0" fillId="0" borderId="0" xfId="0" applyFont="1" applyBorder="1" applyAlignment="1">
      <alignment horizontal="right" vertical="center"/>
    </xf>
    <xf numFmtId="201" fontId="0" fillId="0" borderId="6" xfId="0" applyNumberFormat="1" applyBorder="1"/>
    <xf numFmtId="201" fontId="0" fillId="0" borderId="6" xfId="0" applyNumberFormat="1" applyFill="1" applyBorder="1"/>
    <xf numFmtId="0" fontId="5" fillId="0" borderId="0" xfId="0" applyFont="1" applyBorder="1" applyAlignment="1">
      <alignment horizontal="center"/>
    </xf>
    <xf numFmtId="201" fontId="0" fillId="0" borderId="0" xfId="0" applyNumberFormat="1"/>
    <xf numFmtId="0" fontId="5" fillId="0" borderId="0" xfId="0" applyNumberFormat="1" applyFont="1" applyBorder="1" applyAlignment="1">
      <alignment horizontal="center"/>
    </xf>
    <xf numFmtId="0" fontId="5" fillId="0" borderId="5" xfId="0" applyNumberFormat="1" applyFont="1" applyBorder="1" applyAlignment="1">
      <alignment horizontal="center"/>
    </xf>
    <xf numFmtId="0" fontId="0" fillId="0" borderId="0" xfId="2057" applyFont="1" applyFill="1">
      <alignment vertical="center"/>
    </xf>
    <xf numFmtId="0" fontId="0" fillId="0" borderId="0" xfId="2057" applyFill="1" applyAlignment="1">
      <alignment horizontal="center" vertical="center"/>
    </xf>
    <xf numFmtId="0" fontId="0" fillId="0" borderId="0" xfId="2057" applyFill="1">
      <alignment vertical="center"/>
    </xf>
    <xf numFmtId="0" fontId="3" fillId="0" borderId="0" xfId="2057" applyFont="1" applyFill="1" applyBorder="1" applyAlignment="1">
      <alignment horizontal="center" vertical="center"/>
    </xf>
    <xf numFmtId="0" fontId="5" fillId="0" borderId="26" xfId="2057" applyFont="1" applyFill="1" applyBorder="1" applyAlignment="1">
      <alignment horizontal="center" vertical="center"/>
    </xf>
    <xf numFmtId="0" fontId="0" fillId="0" borderId="18" xfId="2057" applyFont="1" applyFill="1" applyBorder="1" applyAlignment="1">
      <alignment horizontal="center" vertical="center" wrapText="1"/>
    </xf>
    <xf numFmtId="0" fontId="0" fillId="0" borderId="27" xfId="2057" applyFont="1" applyFill="1" applyBorder="1" applyAlignment="1">
      <alignment horizontal="center" vertical="center" wrapText="1"/>
    </xf>
    <xf numFmtId="0" fontId="0" fillId="0" borderId="19" xfId="2057" applyFont="1" applyFill="1" applyBorder="1" applyAlignment="1">
      <alignment horizontal="center" vertical="center" wrapText="1"/>
    </xf>
    <xf numFmtId="0" fontId="0" fillId="0" borderId="0" xfId="2057" applyFont="1" applyFill="1" applyAlignment="1">
      <alignment horizontal="center" vertical="center"/>
    </xf>
    <xf numFmtId="0" fontId="0" fillId="0" borderId="0" xfId="2057" applyFill="1" applyBorder="1" applyAlignment="1">
      <alignment horizontal="center" vertical="center"/>
    </xf>
    <xf numFmtId="0" fontId="0" fillId="0" borderId="28" xfId="2057" applyFont="1" applyFill="1" applyBorder="1" applyAlignment="1" applyProtection="1">
      <alignment horizontal="center" vertical="center"/>
    </xf>
    <xf numFmtId="205" fontId="0" fillId="0" borderId="6" xfId="2057" applyNumberFormat="1" applyFont="1" applyFill="1" applyBorder="1" applyAlignment="1" applyProtection="1">
      <alignment horizontal="right" vertical="center"/>
    </xf>
    <xf numFmtId="202" fontId="0" fillId="0" borderId="29" xfId="969" applyNumberFormat="1" applyFont="1" applyFill="1" applyBorder="1" applyAlignment="1">
      <alignment horizontal="right" vertical="center"/>
    </xf>
    <xf numFmtId="202" fontId="0" fillId="0" borderId="0" xfId="969" applyNumberFormat="1" applyFont="1" applyFill="1" applyBorder="1" applyAlignment="1">
      <alignment horizontal="right" vertical="center"/>
    </xf>
    <xf numFmtId="0" fontId="13" fillId="0" borderId="0" xfId="0" applyFont="1" applyAlignment="1">
      <alignment horizontal="right"/>
    </xf>
    <xf numFmtId="0" fontId="14" fillId="0" borderId="0" xfId="0" applyFont="1"/>
    <xf numFmtId="206" fontId="0" fillId="0" borderId="30" xfId="969" applyNumberFormat="1" applyFont="1" applyFill="1" applyBorder="1" applyAlignment="1">
      <alignment horizontal="right" vertical="center"/>
    </xf>
    <xf numFmtId="201" fontId="0" fillId="0" borderId="6" xfId="2057" applyNumberFormat="1" applyFont="1" applyFill="1" applyBorder="1" applyAlignment="1" applyProtection="1">
      <alignment horizontal="right" vertical="center"/>
    </xf>
    <xf numFmtId="203" fontId="0" fillId="0" borderId="0" xfId="2057" applyNumberFormat="1" applyFill="1" applyAlignment="1">
      <alignment horizontal="center" vertical="center"/>
    </xf>
    <xf numFmtId="0" fontId="15" fillId="0" borderId="0" xfId="2057" applyFont="1" applyBorder="1" applyAlignment="1">
      <alignment horizontal="right" vertical="center" wrapText="1"/>
    </xf>
    <xf numFmtId="205" fontId="0" fillId="0" borderId="31" xfId="2057" applyNumberFormat="1" applyFont="1" applyFill="1" applyBorder="1" applyAlignment="1" applyProtection="1">
      <alignment horizontal="right" vertical="center"/>
    </xf>
    <xf numFmtId="0" fontId="0" fillId="0" borderId="0" xfId="2059">
      <alignment vertical="center"/>
    </xf>
    <xf numFmtId="201" fontId="0" fillId="0" borderId="0" xfId="2057" applyNumberFormat="1" applyFill="1" applyAlignment="1">
      <alignment horizontal="center" vertical="center"/>
    </xf>
    <xf numFmtId="201" fontId="16" fillId="0" borderId="0" xfId="969" applyNumberFormat="1" applyFont="1" applyFill="1" applyBorder="1" applyAlignment="1">
      <alignment horizontal="right" vertical="center"/>
    </xf>
    <xf numFmtId="201" fontId="0" fillId="0" borderId="0" xfId="2057" applyNumberFormat="1" applyFill="1">
      <alignment vertical="center"/>
    </xf>
    <xf numFmtId="0" fontId="15" fillId="0" borderId="0" xfId="2057" applyFont="1" applyAlignment="1">
      <alignment horizontal="right" vertical="center" wrapText="1"/>
    </xf>
    <xf numFmtId="0" fontId="0" fillId="0" borderId="32" xfId="2057" applyFont="1" applyFill="1" applyBorder="1" applyAlignment="1" applyProtection="1">
      <alignment horizontal="center" vertical="center"/>
    </xf>
    <xf numFmtId="206" fontId="0" fillId="0" borderId="33" xfId="969" applyNumberFormat="1" applyFont="1" applyFill="1" applyBorder="1" applyAlignment="1">
      <alignment horizontal="right" vertical="center"/>
    </xf>
    <xf numFmtId="201" fontId="0" fillId="0" borderId="10" xfId="969" applyNumberFormat="1" applyFont="1" applyFill="1" applyBorder="1" applyAlignment="1">
      <alignment horizontal="right" vertical="center"/>
    </xf>
    <xf numFmtId="205" fontId="0" fillId="0" borderId="34" xfId="2057" applyNumberFormat="1" applyFont="1" applyFill="1" applyBorder="1" applyAlignment="1" applyProtection="1">
      <alignment horizontal="right" vertical="center"/>
    </xf>
    <xf numFmtId="201" fontId="0" fillId="0" borderId="10" xfId="2057" applyNumberFormat="1" applyFont="1" applyFill="1" applyBorder="1" applyAlignment="1" applyProtection="1">
      <alignment horizontal="right" vertical="center"/>
    </xf>
    <xf numFmtId="205" fontId="0" fillId="0" borderId="10" xfId="2057" applyNumberFormat="1" applyFont="1" applyFill="1" applyBorder="1" applyAlignment="1" applyProtection="1">
      <alignment horizontal="right" vertical="center"/>
    </xf>
    <xf numFmtId="0" fontId="0" fillId="0" borderId="0" xfId="2057" applyFill="1" applyBorder="1">
      <alignment vertical="center"/>
    </xf>
    <xf numFmtId="0" fontId="9" fillId="0" borderId="0" xfId="0" applyFont="1" applyFill="1" applyAlignment="1">
      <alignment horizontal="center" vertical="center"/>
    </xf>
    <xf numFmtId="0" fontId="9" fillId="0" borderId="0" xfId="0" applyFont="1" applyFill="1" applyBorder="1" applyAlignment="1">
      <alignment vertical="center"/>
    </xf>
    <xf numFmtId="0" fontId="11" fillId="0" borderId="21" xfId="0" applyFont="1" applyFill="1" applyBorder="1" applyAlignment="1">
      <alignment vertical="center"/>
    </xf>
    <xf numFmtId="0" fontId="10" fillId="0" borderId="20" xfId="0" applyFont="1" applyFill="1" applyBorder="1" applyAlignment="1">
      <alignment vertical="center" wrapText="1"/>
    </xf>
    <xf numFmtId="0" fontId="10" fillId="0" borderId="21" xfId="0" applyFont="1" applyFill="1" applyBorder="1" applyAlignment="1">
      <alignment vertical="center" wrapText="1"/>
    </xf>
    <xf numFmtId="0" fontId="10" fillId="0" borderId="21" xfId="0" applyFont="1" applyFill="1" applyBorder="1" applyAlignment="1">
      <alignment vertical="center"/>
    </xf>
    <xf numFmtId="203" fontId="10" fillId="0" borderId="20" xfId="2031" applyNumberFormat="1" applyFont="1" applyFill="1" applyBorder="1" applyAlignment="1">
      <alignment vertical="center" wrapText="1"/>
    </xf>
    <xf numFmtId="201" fontId="10" fillId="0" borderId="21" xfId="2031" applyNumberFormat="1" applyFont="1" applyFill="1" applyBorder="1" applyAlignment="1">
      <alignment horizontal="right" vertical="center" wrapText="1"/>
    </xf>
    <xf numFmtId="0" fontId="10" fillId="0" borderId="21" xfId="0" applyFont="1" applyFill="1" applyBorder="1" applyAlignment="1">
      <alignment horizontal="left" vertical="center" wrapText="1"/>
    </xf>
    <xf numFmtId="203" fontId="10" fillId="0" borderId="20" xfId="2042" applyNumberFormat="1" applyFont="1" applyFill="1" applyBorder="1" applyAlignment="1">
      <alignment vertical="center" wrapText="1"/>
    </xf>
    <xf numFmtId="201" fontId="10" fillId="0" borderId="21" xfId="2042" applyNumberFormat="1" applyFont="1" applyFill="1" applyBorder="1" applyAlignment="1">
      <alignment vertical="center" wrapText="1"/>
    </xf>
    <xf numFmtId="0" fontId="10" fillId="0" borderId="35" xfId="0" applyFont="1" applyFill="1" applyBorder="1" applyAlignment="1">
      <alignment vertical="center" wrapText="1"/>
    </xf>
    <xf numFmtId="203" fontId="10" fillId="0" borderId="36" xfId="2042" applyNumberFormat="1" applyFont="1" applyFill="1" applyBorder="1" applyAlignment="1">
      <alignment vertical="center" wrapText="1"/>
    </xf>
    <xf numFmtId="201" fontId="10" fillId="0" borderId="35" xfId="2042" applyNumberFormat="1" applyFont="1" applyFill="1" applyBorder="1" applyAlignment="1">
      <alignment vertical="center" wrapText="1"/>
    </xf>
    <xf numFmtId="0" fontId="0" fillId="0" borderId="37" xfId="0" applyFill="1" applyBorder="1" applyAlignment="1">
      <alignment vertical="center"/>
    </xf>
    <xf numFmtId="203" fontId="10" fillId="0" borderId="36" xfId="0" applyNumberFormat="1" applyFont="1" applyFill="1" applyBorder="1" applyAlignment="1">
      <alignment vertical="center" wrapText="1"/>
    </xf>
    <xf numFmtId="201" fontId="10" fillId="0" borderId="36" xfId="0" applyNumberFormat="1" applyFont="1" applyFill="1" applyBorder="1" applyAlignment="1">
      <alignment horizontal="right" vertical="center" wrapText="1"/>
    </xf>
    <xf numFmtId="0" fontId="10" fillId="0" borderId="37" xfId="0" applyFont="1" applyFill="1" applyBorder="1" applyAlignment="1">
      <alignment vertical="center"/>
    </xf>
    <xf numFmtId="0" fontId="10" fillId="0" borderId="20" xfId="0" applyFont="1" applyFill="1" applyBorder="1" applyAlignment="1">
      <alignment vertical="center"/>
    </xf>
    <xf numFmtId="0" fontId="10" fillId="0" borderId="20" xfId="0" applyFont="1" applyFill="1" applyBorder="1" applyAlignment="1">
      <alignment horizontal="left" vertical="center" wrapText="1"/>
    </xf>
    <xf numFmtId="203" fontId="10" fillId="0" borderId="38" xfId="0" applyNumberFormat="1" applyFont="1" applyFill="1" applyBorder="1" applyAlignment="1">
      <alignment vertical="center" wrapText="1"/>
    </xf>
    <xf numFmtId="203" fontId="10" fillId="0" borderId="9" xfId="0" applyNumberFormat="1" applyFont="1" applyFill="1" applyBorder="1" applyAlignment="1">
      <alignment vertical="center" wrapText="1"/>
    </xf>
    <xf numFmtId="201" fontId="10" fillId="0" borderId="1" xfId="0" applyNumberFormat="1" applyFont="1" applyFill="1" applyBorder="1" applyAlignment="1">
      <alignment vertical="center" wrapText="1"/>
    </xf>
    <xf numFmtId="0" fontId="4" fillId="0" borderId="0" xfId="0" applyFont="1" applyFill="1"/>
    <xf numFmtId="0" fontId="0" fillId="0" borderId="0" xfId="0" applyFont="1" applyFill="1"/>
    <xf numFmtId="0" fontId="11" fillId="0" borderId="4" xfId="0" applyFont="1" applyFill="1" applyBorder="1" applyAlignment="1">
      <alignment vertical="center" wrapText="1"/>
    </xf>
    <xf numFmtId="0" fontId="10" fillId="0" borderId="5" xfId="0" applyNumberFormat="1" applyFont="1" applyFill="1" applyBorder="1" applyAlignment="1">
      <alignment horizontal="right" vertical="center" wrapText="1"/>
    </xf>
    <xf numFmtId="0" fontId="10" fillId="0" borderId="0" xfId="0" applyNumberFormat="1" applyFont="1" applyFill="1" applyBorder="1" applyAlignment="1">
      <alignment horizontal="right" vertical="center" wrapText="1"/>
    </xf>
    <xf numFmtId="206" fontId="0" fillId="0" borderId="0" xfId="0" applyNumberFormat="1" applyFont="1" applyFill="1"/>
    <xf numFmtId="0" fontId="10" fillId="0" borderId="4" xfId="0" applyFont="1" applyFill="1" applyBorder="1" applyAlignment="1">
      <alignment vertical="center"/>
    </xf>
    <xf numFmtId="203" fontId="0" fillId="0" borderId="0" xfId="0" applyNumberFormat="1" applyFont="1" applyFill="1"/>
    <xf numFmtId="203" fontId="10" fillId="0" borderId="5" xfId="0" applyNumberFormat="1" applyFont="1" applyFill="1" applyBorder="1" applyAlignment="1">
      <alignment horizontal="center" vertical="center" wrapText="1"/>
    </xf>
    <xf numFmtId="0" fontId="10" fillId="0" borderId="4" xfId="0" applyFont="1" applyFill="1" applyBorder="1" applyAlignment="1">
      <alignment vertical="center" wrapText="1"/>
    </xf>
    <xf numFmtId="0" fontId="10" fillId="0" borderId="4" xfId="0" applyFont="1" applyFill="1" applyBorder="1" applyAlignment="1">
      <alignment horizontal="left" vertical="center" wrapText="1"/>
    </xf>
    <xf numFmtId="206" fontId="10" fillId="0" borderId="5" xfId="0" applyNumberFormat="1" applyFont="1" applyFill="1" applyBorder="1" applyAlignment="1">
      <alignment horizontal="right" vertical="center" wrapText="1"/>
    </xf>
    <xf numFmtId="200" fontId="10" fillId="0" borderId="6" xfId="0" applyNumberFormat="1" applyFont="1" applyFill="1" applyBorder="1" applyAlignment="1">
      <alignment horizontal="right" vertical="center" wrapText="1"/>
    </xf>
    <xf numFmtId="202" fontId="10" fillId="0" borderId="5" xfId="0" applyNumberFormat="1" applyFont="1" applyFill="1" applyBorder="1" applyAlignment="1">
      <alignment horizontal="right" vertical="center" wrapText="1"/>
    </xf>
    <xf numFmtId="0" fontId="10" fillId="0" borderId="8" xfId="0" applyFont="1" applyFill="1" applyBorder="1" applyAlignment="1">
      <alignment vertical="center" wrapText="1"/>
    </xf>
    <xf numFmtId="0" fontId="17" fillId="0" borderId="24" xfId="0" applyFont="1" applyFill="1" applyBorder="1" applyAlignment="1">
      <alignment horizontal="left" vertical="center"/>
    </xf>
    <xf numFmtId="0" fontId="11" fillId="0" borderId="0" xfId="0" applyFont="1" applyFill="1" applyBorder="1" applyAlignment="1">
      <alignment horizontal="center" vertical="center"/>
    </xf>
    <xf numFmtId="0" fontId="10" fillId="0" borderId="1" xfId="0" applyFont="1" applyFill="1" applyBorder="1" applyAlignment="1">
      <alignment horizontal="right" vertical="center"/>
    </xf>
    <xf numFmtId="202" fontId="10" fillId="0" borderId="39" xfId="0" applyNumberFormat="1" applyFont="1" applyFill="1" applyBorder="1" applyAlignment="1">
      <alignment horizontal="right" vertical="center" wrapText="1"/>
    </xf>
    <xf numFmtId="200" fontId="10" fillId="0" borderId="0" xfId="0" applyNumberFormat="1" applyFont="1" applyFill="1" applyBorder="1" applyAlignment="1">
      <alignment horizontal="right" vertical="center" wrapText="1"/>
    </xf>
    <xf numFmtId="203" fontId="10" fillId="0" borderId="40" xfId="0" applyNumberFormat="1" applyFont="1" applyFill="1" applyBorder="1" applyAlignment="1">
      <alignment vertical="center" wrapText="1"/>
    </xf>
    <xf numFmtId="201" fontId="10" fillId="0" borderId="0" xfId="969" applyNumberFormat="1" applyFont="1" applyFill="1" applyBorder="1" applyAlignment="1">
      <alignment horizontal="right" vertical="center" wrapText="1"/>
    </xf>
    <xf numFmtId="206" fontId="0" fillId="0" borderId="0" xfId="0" applyNumberFormat="1"/>
    <xf numFmtId="0" fontId="11" fillId="0" borderId="4" xfId="0" applyFont="1" applyFill="1" applyBorder="1" applyAlignment="1">
      <alignment vertical="center"/>
    </xf>
    <xf numFmtId="203" fontId="10" fillId="0" borderId="41" xfId="0" applyNumberFormat="1" applyFont="1" applyFill="1" applyBorder="1" applyAlignment="1">
      <alignment vertical="center" wrapText="1"/>
    </xf>
    <xf numFmtId="201" fontId="10" fillId="0" borderId="10" xfId="0" applyNumberFormat="1" applyFont="1" applyFill="1" applyBorder="1" applyAlignment="1">
      <alignment horizontal="right" vertical="center" wrapText="1"/>
    </xf>
    <xf numFmtId="0" fontId="4" fillId="0" borderId="0" xfId="0" applyFont="1" applyFill="1" applyBorder="1" applyAlignment="1">
      <alignment vertical="center"/>
    </xf>
    <xf numFmtId="0" fontId="0" fillId="0" borderId="0" xfId="0" applyFill="1" applyBorder="1" applyAlignment="1">
      <alignment vertical="center"/>
    </xf>
    <xf numFmtId="0" fontId="0" fillId="0" borderId="0" xfId="0" applyFill="1"/>
    <xf numFmtId="0" fontId="18" fillId="0" borderId="0" xfId="0" applyFont="1" applyFill="1" applyBorder="1" applyAlignment="1">
      <alignment horizontal="right" vertical="center"/>
    </xf>
    <xf numFmtId="203" fontId="0" fillId="0" borderId="0" xfId="0" applyNumberFormat="1" applyFill="1"/>
    <xf numFmtId="0" fontId="3" fillId="0" borderId="0" xfId="3158" applyFont="1" applyFill="1" applyBorder="1" applyAlignment="1">
      <alignment horizontal="center" vertical="center"/>
    </xf>
    <xf numFmtId="0" fontId="19" fillId="0" borderId="1" xfId="0" applyFont="1" applyFill="1" applyBorder="1" applyAlignment="1">
      <alignment horizontal="right" vertical="center"/>
    </xf>
    <xf numFmtId="0" fontId="20" fillId="0" borderId="14" xfId="0" applyFont="1" applyFill="1" applyBorder="1" applyAlignment="1">
      <alignment horizontal="center" vertical="center"/>
    </xf>
    <xf numFmtId="0" fontId="20" fillId="0" borderId="16" xfId="0" applyFont="1" applyFill="1" applyBorder="1" applyAlignment="1">
      <alignment horizontal="center" vertical="center"/>
    </xf>
    <xf numFmtId="201" fontId="20" fillId="0" borderId="16" xfId="0" applyNumberFormat="1" applyFont="1" applyFill="1" applyBorder="1" applyAlignment="1">
      <alignment horizontal="center" vertical="center"/>
    </xf>
    <xf numFmtId="0" fontId="21" fillId="0" borderId="0" xfId="3158" applyFont="1" applyFill="1" applyBorder="1" applyAlignment="1">
      <alignment vertical="center" wrapText="1"/>
    </xf>
    <xf numFmtId="0" fontId="22" fillId="0" borderId="6" xfId="3158" applyFont="1" applyFill="1" applyBorder="1" applyAlignment="1">
      <alignment horizontal="right" wrapText="1"/>
    </xf>
    <xf numFmtId="201" fontId="22" fillId="0" borderId="6" xfId="3158" applyNumberFormat="1" applyFont="1" applyFill="1" applyBorder="1" applyAlignment="1">
      <alignment horizontal="right" wrapText="1"/>
    </xf>
    <xf numFmtId="0" fontId="22" fillId="0" borderId="0" xfId="3158" applyFont="1" applyFill="1" applyBorder="1" applyAlignment="1">
      <alignment vertical="center"/>
    </xf>
    <xf numFmtId="203" fontId="22" fillId="0" borderId="42" xfId="0" applyNumberFormat="1" applyFont="1" applyFill="1" applyBorder="1" applyAlignment="1">
      <alignment wrapText="1"/>
    </xf>
    <xf numFmtId="201" fontId="22" fillId="0" borderId="43" xfId="0" applyNumberFormat="1" applyFont="1" applyFill="1" applyBorder="1" applyAlignment="1">
      <alignment horizontal="right" vertical="center" wrapText="1"/>
    </xf>
    <xf numFmtId="0" fontId="22" fillId="0" borderId="0" xfId="3158" applyFont="1" applyFill="1" applyBorder="1" applyAlignment="1">
      <alignment vertical="center" wrapText="1"/>
    </xf>
    <xf numFmtId="0" fontId="22" fillId="0" borderId="0" xfId="3158" applyFont="1" applyFill="1" applyBorder="1" applyAlignment="1">
      <alignment horizontal="left" vertical="center" wrapText="1"/>
    </xf>
    <xf numFmtId="203" fontId="22" fillId="0" borderId="5" xfId="3158" applyNumberFormat="1" applyFont="1" applyFill="1" applyBorder="1" applyAlignment="1">
      <alignment wrapText="1"/>
    </xf>
    <xf numFmtId="201" fontId="22" fillId="0" borderId="0" xfId="3158" applyNumberFormat="1" applyFont="1" applyFill="1" applyAlignment="1">
      <alignment horizontal="right" wrapText="1"/>
    </xf>
    <xf numFmtId="203" fontId="22" fillId="0" borderId="42" xfId="0" applyNumberFormat="1" applyFont="1" applyFill="1" applyBorder="1" applyAlignment="1">
      <alignment horizontal="right" vertical="center" wrapText="1"/>
    </xf>
    <xf numFmtId="0" fontId="22" fillId="0" borderId="1" xfId="3158" applyFont="1" applyFill="1" applyBorder="1" applyAlignment="1">
      <alignment vertical="center" wrapText="1"/>
    </xf>
    <xf numFmtId="203" fontId="22" fillId="0" borderId="44" xfId="0" applyNumberFormat="1" applyFont="1" applyFill="1" applyBorder="1" applyAlignment="1">
      <alignment wrapText="1"/>
    </xf>
    <xf numFmtId="201" fontId="22" fillId="0" borderId="45" xfId="0" applyNumberFormat="1" applyFont="1" applyFill="1" applyBorder="1" applyAlignment="1">
      <alignment horizontal="right" vertical="center" wrapText="1"/>
    </xf>
    <xf numFmtId="0" fontId="22" fillId="0" borderId="0" xfId="0" applyFont="1" applyFill="1" applyBorder="1" applyAlignment="1"/>
    <xf numFmtId="203" fontId="22" fillId="0" borderId="0" xfId="0" applyNumberFormat="1" applyFont="1" applyFill="1" applyBorder="1" applyAlignment="1"/>
    <xf numFmtId="201" fontId="22" fillId="0" borderId="0" xfId="0" applyNumberFormat="1" applyFont="1" applyFill="1" applyBorder="1" applyAlignment="1"/>
    <xf numFmtId="0" fontId="10" fillId="0" borderId="0" xfId="0" applyFont="1" applyFill="1" applyBorder="1" applyAlignment="1">
      <alignment vertical="center" wrapText="1"/>
    </xf>
    <xf numFmtId="0" fontId="10" fillId="0" borderId="0" xfId="0" applyFont="1" applyFill="1" applyBorder="1" applyAlignment="1">
      <alignment horizontal="left" vertical="center" wrapText="1"/>
    </xf>
    <xf numFmtId="0" fontId="11" fillId="0" borderId="0" xfId="0" applyFont="1" applyFill="1" applyBorder="1" applyAlignment="1">
      <alignment vertical="center" wrapText="1"/>
    </xf>
    <xf numFmtId="201" fontId="10" fillId="0" borderId="0" xfId="3157" applyNumberFormat="1" applyFont="1" applyFill="1" applyBorder="1" applyAlignment="1">
      <alignment horizontal="right" vertical="center" wrapText="1"/>
    </xf>
    <xf numFmtId="0" fontId="10" fillId="0" borderId="1" xfId="0" applyFont="1" applyFill="1" applyBorder="1" applyAlignment="1">
      <alignment vertical="center" wrapText="1"/>
    </xf>
    <xf numFmtId="201" fontId="10" fillId="0" borderId="1" xfId="3157" applyNumberFormat="1" applyFont="1" applyFill="1" applyBorder="1" applyAlignment="1">
      <alignment horizontal="right" vertical="center" wrapText="1"/>
    </xf>
    <xf numFmtId="203" fontId="10" fillId="0" borderId="0" xfId="0" applyNumberFormat="1" applyFont="1" applyFill="1" applyBorder="1" applyAlignment="1">
      <alignment vertical="center"/>
    </xf>
    <xf numFmtId="200" fontId="0" fillId="0" borderId="0" xfId="0" applyNumberFormat="1"/>
    <xf numFmtId="0" fontId="10" fillId="0" borderId="6" xfId="0" applyFont="1" applyFill="1" applyBorder="1" applyAlignment="1">
      <alignment vertical="center"/>
    </xf>
    <xf numFmtId="203" fontId="10" fillId="0" borderId="5" xfId="0" applyNumberFormat="1" applyFont="1" applyFill="1" applyBorder="1" applyAlignment="1">
      <alignment horizontal="right" vertical="center" wrapText="1"/>
    </xf>
    <xf numFmtId="0" fontId="4" fillId="0" borderId="24" xfId="0" applyFont="1" applyFill="1" applyBorder="1" applyAlignment="1">
      <alignment vertical="center"/>
    </xf>
    <xf numFmtId="0" fontId="4" fillId="0" borderId="0" xfId="0" applyFont="1" applyBorder="1"/>
    <xf numFmtId="0" fontId="12" fillId="0" borderId="0" xfId="0" applyFont="1" applyBorder="1" applyAlignment="1">
      <alignment vertical="center" wrapText="1"/>
    </xf>
    <xf numFmtId="0" fontId="0" fillId="0" borderId="0" xfId="0" applyFont="1" applyBorder="1" applyAlignment="1">
      <alignment vertical="center" wrapText="1"/>
    </xf>
    <xf numFmtId="0" fontId="0" fillId="0" borderId="0" xfId="0" applyFont="1" applyFill="1" applyBorder="1" applyAlignment="1">
      <alignment vertical="center" wrapText="1"/>
    </xf>
    <xf numFmtId="0" fontId="22" fillId="0" borderId="0" xfId="0" applyFont="1" applyFill="1" applyBorder="1" applyAlignment="1">
      <alignment horizontal="center" vertical="center"/>
    </xf>
    <xf numFmtId="0" fontId="21" fillId="0" borderId="14" xfId="0" applyFont="1" applyFill="1" applyBorder="1" applyAlignment="1">
      <alignment horizontal="center" vertical="center"/>
    </xf>
    <xf numFmtId="0" fontId="21" fillId="0" borderId="16" xfId="0" applyFont="1" applyFill="1" applyBorder="1" applyAlignment="1">
      <alignment horizontal="center" vertical="center"/>
    </xf>
    <xf numFmtId="0" fontId="21" fillId="0" borderId="4" xfId="0" applyFont="1" applyFill="1" applyBorder="1" applyAlignment="1">
      <alignment vertical="center" wrapText="1"/>
    </xf>
    <xf numFmtId="206" fontId="22" fillId="0" borderId="5" xfId="0" applyNumberFormat="1" applyFont="1" applyFill="1" applyBorder="1" applyAlignment="1">
      <alignment horizontal="right" vertical="center" wrapText="1"/>
    </xf>
    <xf numFmtId="200" fontId="22" fillId="0" borderId="6" xfId="0" applyNumberFormat="1" applyFont="1" applyFill="1" applyBorder="1" applyAlignment="1">
      <alignment horizontal="right" vertical="center" wrapText="1"/>
    </xf>
    <xf numFmtId="0" fontId="22" fillId="0" borderId="4" xfId="0" applyFont="1" applyFill="1" applyBorder="1" applyAlignment="1">
      <alignment vertical="center"/>
    </xf>
    <xf numFmtId="203" fontId="22" fillId="0" borderId="5" xfId="0" applyNumberFormat="1" applyFont="1" applyFill="1" applyBorder="1" applyAlignment="1">
      <alignment horizontal="right" vertical="center" wrapText="1"/>
    </xf>
    <xf numFmtId="201" fontId="22" fillId="0" borderId="6" xfId="0" applyNumberFormat="1" applyFont="1" applyFill="1" applyBorder="1" applyAlignment="1">
      <alignment horizontal="right" vertical="center" wrapText="1"/>
    </xf>
    <xf numFmtId="0" fontId="22" fillId="0" borderId="4" xfId="0" applyFont="1" applyFill="1" applyBorder="1" applyAlignment="1">
      <alignment vertical="center" wrapText="1"/>
    </xf>
    <xf numFmtId="0" fontId="22" fillId="0" borderId="4" xfId="0" applyFont="1" applyFill="1" applyBorder="1" applyAlignment="1">
      <alignment horizontal="left" vertical="center" wrapText="1"/>
    </xf>
    <xf numFmtId="0" fontId="22" fillId="0" borderId="8" xfId="0" applyFont="1" applyFill="1" applyBorder="1" applyAlignment="1">
      <alignment vertical="center" wrapText="1"/>
    </xf>
    <xf numFmtId="206" fontId="10" fillId="0" borderId="5" xfId="0" applyNumberFormat="1" applyFont="1" applyFill="1" applyBorder="1" applyAlignment="1">
      <alignment horizontal="right" vertical="center"/>
    </xf>
    <xf numFmtId="201" fontId="10" fillId="0" borderId="6" xfId="0" applyNumberFormat="1" applyFont="1" applyFill="1" applyBorder="1" applyAlignment="1">
      <alignment horizontal="right" vertical="center"/>
    </xf>
    <xf numFmtId="205" fontId="10" fillId="0" borderId="5" xfId="0" applyNumberFormat="1" applyFont="1" applyFill="1" applyBorder="1" applyAlignment="1">
      <alignment horizontal="right" vertical="center" wrapText="1"/>
    </xf>
    <xf numFmtId="0" fontId="10" fillId="0" borderId="6" xfId="0" applyFont="1" applyFill="1" applyBorder="1" applyAlignment="1">
      <alignment wrapText="1"/>
    </xf>
    <xf numFmtId="203" fontId="10" fillId="0" borderId="9" xfId="0" applyNumberFormat="1" applyFont="1" applyFill="1" applyBorder="1" applyAlignment="1">
      <alignment horizontal="right" vertical="center" wrapText="1"/>
    </xf>
    <xf numFmtId="0" fontId="10" fillId="0" borderId="6" xfId="0" applyFont="1" applyFill="1" applyBorder="1" applyAlignment="1">
      <alignment vertical="center" wrapText="1"/>
    </xf>
    <xf numFmtId="0" fontId="4" fillId="0" borderId="0" xfId="0" applyFont="1" applyFill="1" applyBorder="1"/>
    <xf numFmtId="0" fontId="12" fillId="0" borderId="0" xfId="0" applyFont="1" applyFill="1" applyBorder="1" applyAlignment="1">
      <alignment vertical="center" wrapText="1"/>
    </xf>
    <xf numFmtId="0" fontId="0" fillId="0" borderId="0" xfId="0" applyFont="1" applyFill="1" applyBorder="1"/>
    <xf numFmtId="0" fontId="4" fillId="0" borderId="24" xfId="0" applyFont="1" applyFill="1" applyBorder="1" applyAlignment="1"/>
    <xf numFmtId="203" fontId="10" fillId="0" borderId="1" xfId="0" applyNumberFormat="1" applyFont="1" applyFill="1" applyBorder="1" applyAlignment="1">
      <alignment vertical="center" wrapText="1"/>
    </xf>
    <xf numFmtId="200" fontId="10" fillId="0" borderId="5" xfId="0" applyNumberFormat="1" applyFont="1" applyFill="1" applyBorder="1" applyAlignment="1">
      <alignment horizontal="right" vertical="center" wrapText="1"/>
    </xf>
    <xf numFmtId="205" fontId="10" fillId="0" borderId="0" xfId="0" applyNumberFormat="1" applyFont="1" applyFill="1" applyBorder="1" applyAlignment="1">
      <alignment vertical="center" wrapText="1"/>
    </xf>
    <xf numFmtId="205" fontId="10" fillId="0" borderId="1" xfId="0" applyNumberFormat="1" applyFont="1" applyFill="1" applyBorder="1" applyAlignment="1">
      <alignment vertical="center" wrapText="1"/>
    </xf>
    <xf numFmtId="200" fontId="0" fillId="0" borderId="0" xfId="0" applyNumberFormat="1" applyFont="1"/>
    <xf numFmtId="0" fontId="11" fillId="0" borderId="46" xfId="0" applyFont="1" applyFill="1" applyBorder="1" applyAlignment="1">
      <alignment horizontal="center" vertical="center"/>
    </xf>
    <xf numFmtId="0" fontId="11" fillId="0" borderId="15" xfId="2056" applyFont="1" applyFill="1" applyBorder="1" applyAlignment="1">
      <alignment horizontal="center" vertical="center"/>
    </xf>
    <xf numFmtId="49" fontId="11" fillId="0" borderId="15" xfId="2060" applyNumberFormat="1" applyFont="1" applyFill="1" applyBorder="1" applyAlignment="1">
      <alignment horizontal="center" vertical="center" wrapText="1"/>
    </xf>
    <xf numFmtId="0" fontId="11" fillId="0" borderId="0" xfId="2031" applyFont="1" applyFill="1" applyBorder="1" applyAlignment="1">
      <alignment vertical="center" wrapText="1"/>
    </xf>
    <xf numFmtId="0" fontId="10" fillId="0" borderId="21" xfId="2031" applyFont="1" applyFill="1" applyBorder="1" applyAlignment="1"/>
    <xf numFmtId="0" fontId="11" fillId="0" borderId="6" xfId="2031" applyFont="1" applyFill="1" applyBorder="1" applyAlignment="1">
      <alignment vertical="center" wrapText="1"/>
    </xf>
    <xf numFmtId="0" fontId="10" fillId="0" borderId="6" xfId="2031" applyFont="1" applyFill="1" applyBorder="1" applyAlignment="1"/>
    <xf numFmtId="0" fontId="10" fillId="0" borderId="0" xfId="2031" applyFont="1" applyFill="1" applyBorder="1" applyAlignment="1">
      <alignment vertical="center"/>
    </xf>
    <xf numFmtId="203" fontId="10" fillId="0" borderId="21" xfId="2031" applyNumberFormat="1" applyFont="1" applyFill="1" applyBorder="1" applyAlignment="1">
      <alignment vertical="center" wrapText="1"/>
    </xf>
    <xf numFmtId="201" fontId="10" fillId="0" borderId="6" xfId="2031" applyNumberFormat="1" applyFont="1" applyFill="1" applyBorder="1" applyAlignment="1">
      <alignment horizontal="right" vertical="center" wrapText="1"/>
    </xf>
    <xf numFmtId="0" fontId="10" fillId="0" borderId="0" xfId="2031" applyFont="1" applyFill="1" applyBorder="1" applyAlignment="1">
      <alignment vertical="center" wrapText="1"/>
    </xf>
    <xf numFmtId="0" fontId="10" fillId="0" borderId="0" xfId="2031" applyFont="1" applyFill="1" applyBorder="1" applyAlignment="1">
      <alignment horizontal="left" vertical="center" wrapText="1"/>
    </xf>
    <xf numFmtId="0" fontId="11" fillId="0" borderId="0" xfId="2031" applyFont="1" applyFill="1" applyBorder="1" applyAlignment="1">
      <alignment vertical="center"/>
    </xf>
    <xf numFmtId="0" fontId="10" fillId="0" borderId="1" xfId="2031" applyFont="1" applyFill="1" applyBorder="1" applyAlignment="1">
      <alignment vertical="center" wrapText="1"/>
    </xf>
    <xf numFmtId="203" fontId="10" fillId="0" borderId="23" xfId="2031" applyNumberFormat="1" applyFont="1" applyFill="1" applyBorder="1" applyAlignment="1">
      <alignment vertical="center" wrapText="1"/>
    </xf>
    <xf numFmtId="201" fontId="10" fillId="0" borderId="10" xfId="2031" applyNumberFormat="1" applyFont="1" applyFill="1" applyBorder="1" applyAlignment="1">
      <alignment horizontal="right" vertical="center" wrapText="1"/>
    </xf>
    <xf numFmtId="200" fontId="0" fillId="0" borderId="0" xfId="0" applyNumberFormat="1" applyFill="1" applyBorder="1" applyAlignment="1">
      <alignment vertical="center"/>
    </xf>
    <xf numFmtId="0" fontId="4" fillId="0" borderId="0" xfId="0" applyFont="1" applyFill="1" applyAlignment="1">
      <alignment vertical="center"/>
    </xf>
    <xf numFmtId="0" fontId="0" fillId="0" borderId="0" xfId="0" applyFont="1" applyFill="1" applyAlignment="1">
      <alignment vertical="center"/>
    </xf>
    <xf numFmtId="200" fontId="0" fillId="0" borderId="0" xfId="0" applyNumberFormat="1" applyFont="1" applyFill="1" applyAlignment="1">
      <alignment vertical="center"/>
    </xf>
    <xf numFmtId="0" fontId="11" fillId="0" borderId="0" xfId="0" applyFont="1" applyFill="1" applyBorder="1" applyAlignment="1">
      <alignment vertical="center"/>
    </xf>
    <xf numFmtId="201" fontId="10" fillId="0" borderId="21" xfId="0" applyNumberFormat="1" applyFont="1" applyFill="1" applyBorder="1" applyAlignment="1">
      <alignment vertical="center"/>
    </xf>
    <xf numFmtId="203" fontId="10" fillId="0" borderId="21" xfId="0" applyNumberFormat="1" applyFont="1" applyFill="1" applyBorder="1" applyAlignment="1">
      <alignment vertical="center" wrapText="1"/>
    </xf>
    <xf numFmtId="0" fontId="10" fillId="0" borderId="6" xfId="0" applyFont="1" applyFill="1" applyBorder="1" applyAlignment="1">
      <alignment horizontal="center" vertical="center"/>
    </xf>
    <xf numFmtId="0" fontId="10" fillId="0" borderId="6" xfId="0" applyNumberFormat="1" applyFont="1" applyFill="1" applyBorder="1" applyAlignment="1">
      <alignment horizontal="center" vertical="center"/>
    </xf>
    <xf numFmtId="203" fontId="10" fillId="0" borderId="47" xfId="0" applyNumberFormat="1" applyFont="1" applyFill="1" applyBorder="1" applyAlignment="1">
      <alignment vertical="center" wrapText="1"/>
    </xf>
    <xf numFmtId="0" fontId="10" fillId="0" borderId="10" xfId="0" applyNumberFormat="1" applyFont="1" applyFill="1" applyBorder="1" applyAlignment="1">
      <alignment horizontal="center" vertical="center"/>
    </xf>
    <xf numFmtId="0" fontId="0" fillId="0" borderId="0" xfId="0" applyFill="1" applyAlignment="1">
      <alignment vertical="center"/>
    </xf>
    <xf numFmtId="200" fontId="0" fillId="0" borderId="0" xfId="0" applyNumberFormat="1" applyFill="1" applyAlignment="1">
      <alignment vertical="center"/>
    </xf>
    <xf numFmtId="0" fontId="0" fillId="0" borderId="0" xfId="0" applyFont="1" applyFill="1" applyBorder="1" applyAlignment="1">
      <alignment vertical="center"/>
    </xf>
    <xf numFmtId="200" fontId="0" fillId="0" borderId="0" xfId="0" applyNumberFormat="1" applyFill="1"/>
    <xf numFmtId="201" fontId="0" fillId="0" borderId="0" xfId="0" applyNumberFormat="1" applyFont="1" applyFill="1" applyAlignment="1">
      <alignment vertical="center"/>
    </xf>
    <xf numFmtId="206" fontId="0" fillId="0" borderId="0" xfId="0" applyNumberFormat="1" applyFont="1" applyFill="1" applyAlignment="1">
      <alignment vertical="center"/>
    </xf>
    <xf numFmtId="0" fontId="17" fillId="0" borderId="0" xfId="0" applyFont="1" applyFill="1" applyAlignment="1">
      <alignment vertical="center" wrapText="1"/>
    </xf>
    <xf numFmtId="0" fontId="0" fillId="0" borderId="0" xfId="0" applyAlignment="1">
      <alignment vertical="center"/>
    </xf>
    <xf numFmtId="0" fontId="11" fillId="0" borderId="48" xfId="0" applyFont="1" applyFill="1" applyBorder="1" applyAlignment="1">
      <alignment horizontal="center" vertical="center"/>
    </xf>
    <xf numFmtId="0" fontId="11" fillId="0" borderId="49" xfId="0" applyFont="1" applyFill="1" applyBorder="1" applyAlignment="1">
      <alignment horizontal="center" vertical="center"/>
    </xf>
    <xf numFmtId="0" fontId="11" fillId="0" borderId="50" xfId="0" applyFont="1" applyFill="1" applyBorder="1" applyAlignment="1">
      <alignment horizontal="center" vertical="center"/>
    </xf>
    <xf numFmtId="0" fontId="10" fillId="0" borderId="51" xfId="0" applyFont="1" applyFill="1" applyBorder="1" applyAlignment="1">
      <alignment horizontal="left" vertical="center"/>
    </xf>
    <xf numFmtId="200" fontId="10" fillId="0" borderId="52" xfId="0" applyNumberFormat="1" applyFont="1" applyFill="1" applyBorder="1" applyAlignment="1">
      <alignment horizontal="right" vertical="center" wrapText="1"/>
    </xf>
    <xf numFmtId="0" fontId="0" fillId="0" borderId="0" xfId="0" applyBorder="1" applyAlignment="1">
      <alignment vertical="center"/>
    </xf>
    <xf numFmtId="200" fontId="0" fillId="0" borderId="0" xfId="0" applyNumberFormat="1" applyFont="1" applyBorder="1"/>
    <xf numFmtId="0" fontId="10" fillId="0" borderId="8" xfId="0" applyFont="1" applyFill="1" applyBorder="1" applyAlignment="1">
      <alignment horizontal="left" vertical="center" wrapText="1"/>
    </xf>
    <xf numFmtId="200" fontId="10" fillId="0" borderId="7" xfId="0" applyNumberFormat="1" applyFont="1" applyFill="1" applyBorder="1" applyAlignment="1">
      <alignment horizontal="right" vertical="center" wrapText="1"/>
    </xf>
    <xf numFmtId="200" fontId="10" fillId="0" borderId="13" xfId="0" applyNumberFormat="1" applyFont="1" applyFill="1" applyBorder="1" applyAlignment="1">
      <alignment horizontal="right" vertical="center" wrapText="1"/>
    </xf>
    <xf numFmtId="0" fontId="10" fillId="0" borderId="24" xfId="0" applyFont="1" applyFill="1" applyBorder="1" applyAlignment="1">
      <alignment horizontal="left" vertical="center"/>
    </xf>
    <xf numFmtId="0" fontId="0" fillId="0" borderId="0" xfId="0" applyFont="1" applyFill="1" applyAlignment="1">
      <alignment horizontal="center"/>
    </xf>
    <xf numFmtId="0" fontId="10" fillId="0" borderId="0" xfId="0" applyFont="1" applyFill="1" applyBorder="1" applyAlignment="1">
      <alignment horizontal="left" vertical="center"/>
    </xf>
    <xf numFmtId="0" fontId="12" fillId="0" borderId="14" xfId="2058" applyFont="1" applyFill="1" applyBorder="1" applyAlignment="1">
      <alignment horizontal="center" vertical="center"/>
    </xf>
    <xf numFmtId="203" fontId="11" fillId="0" borderId="15" xfId="2058" applyNumberFormat="1" applyFont="1" applyFill="1" applyBorder="1" applyAlignment="1">
      <alignment horizontal="center" vertical="center"/>
    </xf>
    <xf numFmtId="201" fontId="11" fillId="0" borderId="16" xfId="2058" applyNumberFormat="1" applyFont="1" applyFill="1" applyBorder="1" applyAlignment="1">
      <alignment horizontal="center" vertical="center"/>
    </xf>
    <xf numFmtId="0" fontId="11" fillId="0" borderId="4" xfId="2058" applyFont="1" applyFill="1" applyBorder="1" applyAlignment="1">
      <alignment horizontal="left" vertical="center" wrapText="1"/>
    </xf>
    <xf numFmtId="203" fontId="11" fillId="0" borderId="5" xfId="2058" applyNumberFormat="1" applyFont="1" applyFill="1" applyBorder="1" applyAlignment="1">
      <alignment horizontal="right" vertical="center" wrapText="1"/>
    </xf>
    <xf numFmtId="201" fontId="11" fillId="0" borderId="6" xfId="2058" applyNumberFormat="1" applyFont="1" applyFill="1" applyBorder="1" applyAlignment="1">
      <alignment horizontal="right" vertical="center" wrapText="1"/>
    </xf>
    <xf numFmtId="0" fontId="10" fillId="0" borderId="4" xfId="2058" applyFont="1" applyFill="1" applyBorder="1" applyAlignment="1">
      <alignment horizontal="left" vertical="center" wrapText="1"/>
    </xf>
    <xf numFmtId="203" fontId="10" fillId="0" borderId="5" xfId="2058" applyNumberFormat="1" applyFont="1" applyFill="1" applyBorder="1" applyAlignment="1" applyProtection="1">
      <alignment horizontal="right" vertical="center" wrapText="1"/>
    </xf>
    <xf numFmtId="201" fontId="10" fillId="0" borderId="6" xfId="2058" applyNumberFormat="1" applyFont="1" applyFill="1" applyBorder="1" applyAlignment="1">
      <alignment horizontal="right" vertical="center" wrapText="1"/>
    </xf>
    <xf numFmtId="203" fontId="11" fillId="0" borderId="5" xfId="2058" applyNumberFormat="1" applyFont="1" applyFill="1" applyBorder="1" applyAlignment="1" applyProtection="1">
      <alignment horizontal="right" vertical="center" wrapText="1"/>
    </xf>
    <xf numFmtId="0" fontId="10" fillId="0" borderId="8" xfId="2058" applyFont="1" applyFill="1" applyBorder="1" applyAlignment="1">
      <alignment horizontal="left" vertical="center" wrapText="1"/>
    </xf>
    <xf numFmtId="203" fontId="10" fillId="0" borderId="9" xfId="2058" applyNumberFormat="1" applyFont="1" applyFill="1" applyBorder="1" applyAlignment="1" applyProtection="1">
      <alignment horizontal="right" vertical="center" wrapText="1"/>
    </xf>
    <xf numFmtId="201" fontId="10" fillId="0" borderId="10" xfId="2058" applyNumberFormat="1" applyFont="1" applyFill="1" applyBorder="1" applyAlignment="1">
      <alignment horizontal="right" vertical="center" wrapText="1"/>
    </xf>
    <xf numFmtId="203" fontId="17" fillId="0" borderId="24" xfId="0" applyNumberFormat="1" applyFont="1" applyFill="1" applyBorder="1" applyAlignment="1">
      <alignment horizontal="left" vertical="center"/>
    </xf>
    <xf numFmtId="201" fontId="17" fillId="0" borderId="24" xfId="0" applyNumberFormat="1" applyFont="1" applyFill="1" applyBorder="1" applyAlignment="1">
      <alignment horizontal="left" vertical="center"/>
    </xf>
    <xf numFmtId="0" fontId="23" fillId="0" borderId="24" xfId="0" applyFont="1" applyFill="1" applyBorder="1" applyAlignment="1">
      <alignment horizontal="center" vertical="center"/>
    </xf>
    <xf numFmtId="0" fontId="23" fillId="0" borderId="15" xfId="0" applyFont="1" applyFill="1" applyBorder="1" applyAlignment="1">
      <alignment horizontal="center" vertical="center"/>
    </xf>
    <xf numFmtId="0" fontId="23" fillId="0" borderId="16" xfId="0" applyFont="1" applyFill="1" applyBorder="1" applyAlignment="1">
      <alignment horizontal="center" vertical="center"/>
    </xf>
    <xf numFmtId="0" fontId="18" fillId="0" borderId="53" xfId="0" applyFont="1" applyFill="1" applyBorder="1" applyAlignment="1">
      <alignment vertical="center" wrapText="1"/>
    </xf>
    <xf numFmtId="0" fontId="18" fillId="0" borderId="4" xfId="0" applyFont="1" applyFill="1" applyBorder="1" applyAlignment="1">
      <alignment horizontal="center" vertical="center" wrapText="1"/>
    </xf>
    <xf numFmtId="203" fontId="18" fillId="0" borderId="0" xfId="0" applyNumberFormat="1" applyFont="1" applyFill="1" applyBorder="1" applyAlignment="1">
      <alignment horizontal="right" vertical="center" wrapText="1"/>
    </xf>
    <xf numFmtId="201" fontId="18" fillId="0" borderId="52" xfId="0" applyNumberFormat="1" applyFont="1" applyFill="1" applyBorder="1" applyAlignment="1">
      <alignment horizontal="right" vertical="center" wrapText="1"/>
    </xf>
    <xf numFmtId="0" fontId="18" fillId="0" borderId="4" xfId="0" applyFont="1" applyFill="1" applyBorder="1" applyAlignment="1">
      <alignment vertical="center" wrapText="1"/>
    </xf>
    <xf numFmtId="201" fontId="18" fillId="0" borderId="6" xfId="0" applyNumberFormat="1" applyFont="1" applyFill="1" applyBorder="1" applyAlignment="1">
      <alignment horizontal="right" vertical="center" wrapText="1"/>
    </xf>
    <xf numFmtId="201" fontId="18" fillId="0" borderId="6" xfId="2057" applyNumberFormat="1" applyFont="1" applyFill="1" applyBorder="1" applyAlignment="1" applyProtection="1">
      <alignment horizontal="right" vertical="center" wrapText="1"/>
    </xf>
    <xf numFmtId="0" fontId="18" fillId="0" borderId="4" xfId="0" applyNumberFormat="1" applyFont="1" applyFill="1" applyBorder="1" applyAlignment="1">
      <alignment horizontal="left" vertical="center" wrapText="1"/>
    </xf>
    <xf numFmtId="0" fontId="18" fillId="0" borderId="4" xfId="0" applyNumberFormat="1" applyFont="1" applyFill="1" applyBorder="1" applyAlignment="1">
      <alignment horizontal="center" vertical="center"/>
    </xf>
    <xf numFmtId="0" fontId="18" fillId="0" borderId="4" xfId="0" applyFont="1" applyFill="1" applyBorder="1" applyAlignment="1">
      <alignment horizontal="center" vertical="center"/>
    </xf>
    <xf numFmtId="0" fontId="18" fillId="0" borderId="4" xfId="0" applyNumberFormat="1" applyFont="1" applyFill="1" applyBorder="1" applyAlignment="1">
      <alignment vertical="center"/>
    </xf>
    <xf numFmtId="202" fontId="18" fillId="0" borderId="5" xfId="969" applyNumberFormat="1" applyFont="1" applyFill="1" applyBorder="1" applyAlignment="1">
      <alignment horizontal="right" vertical="center" wrapText="1"/>
    </xf>
    <xf numFmtId="205" fontId="18" fillId="0" borderId="5" xfId="969" applyNumberFormat="1" applyFont="1" applyFill="1" applyBorder="1" applyAlignment="1">
      <alignment horizontal="right" vertical="center" wrapText="1"/>
    </xf>
    <xf numFmtId="0" fontId="18" fillId="0" borderId="8" xfId="0" applyFont="1" applyFill="1" applyBorder="1" applyAlignment="1">
      <alignment vertical="center" wrapText="1"/>
    </xf>
    <xf numFmtId="0" fontId="18" fillId="0" borderId="9" xfId="0" applyFont="1" applyFill="1" applyBorder="1" applyAlignment="1">
      <alignment horizontal="center" vertical="center" wrapText="1"/>
    </xf>
    <xf numFmtId="202" fontId="18" fillId="0" borderId="9" xfId="969" applyNumberFormat="1" applyFont="1" applyFill="1" applyBorder="1" applyAlignment="1">
      <alignment horizontal="right" vertical="center" wrapText="1"/>
    </xf>
    <xf numFmtId="201" fontId="18" fillId="0" borderId="10" xfId="2057" applyNumberFormat="1" applyFont="1" applyFill="1" applyBorder="1" applyAlignment="1" applyProtection="1">
      <alignment horizontal="right" vertical="center" wrapText="1"/>
    </xf>
    <xf numFmtId="0" fontId="4" fillId="0" borderId="24" xfId="0" applyFont="1" applyFill="1" applyBorder="1" applyAlignment="1">
      <alignment horizontal="left" vertical="center"/>
    </xf>
    <xf numFmtId="0" fontId="0" fillId="0" borderId="0" xfId="0" applyFont="1" applyFill="1" applyBorder="1" applyAlignment="1">
      <alignment vertical="top"/>
    </xf>
    <xf numFmtId="0" fontId="0" fillId="0" borderId="0" xfId="0" applyFont="1" applyFill="1" applyBorder="1" applyAlignment="1"/>
    <xf numFmtId="206" fontId="0" fillId="0" borderId="0" xfId="0" applyNumberFormat="1" applyFont="1"/>
    <xf numFmtId="0" fontId="18" fillId="0" borderId="0" xfId="0" applyFont="1" applyFill="1" applyBorder="1" applyAlignment="1">
      <alignment horizontal="center" vertical="center"/>
    </xf>
    <xf numFmtId="206" fontId="18" fillId="0" borderId="0" xfId="0" applyNumberFormat="1" applyFont="1" applyFill="1" applyBorder="1" applyAlignment="1">
      <alignment horizontal="center" vertical="center"/>
    </xf>
    <xf numFmtId="0" fontId="23" fillId="0" borderId="46" xfId="0" applyFont="1" applyFill="1" applyBorder="1" applyAlignment="1">
      <alignment horizontal="center" vertical="center"/>
    </xf>
    <xf numFmtId="206" fontId="23" fillId="0" borderId="15" xfId="0" applyNumberFormat="1" applyFont="1" applyFill="1" applyBorder="1" applyAlignment="1">
      <alignment horizontal="center" vertical="center" wrapText="1"/>
    </xf>
    <xf numFmtId="189" fontId="23" fillId="0" borderId="53" xfId="969" applyFont="1" applyFill="1" applyBorder="1" applyAlignment="1">
      <alignment horizontal="left" vertical="center"/>
    </xf>
    <xf numFmtId="203" fontId="23" fillId="0" borderId="0" xfId="0" applyNumberFormat="1" applyFont="1" applyFill="1" applyBorder="1" applyAlignment="1">
      <alignment vertical="center" wrapText="1"/>
    </xf>
    <xf numFmtId="201" fontId="23" fillId="0" borderId="6" xfId="0" applyNumberFormat="1" applyFont="1" applyFill="1" applyBorder="1" applyAlignment="1">
      <alignment vertical="center" wrapText="1"/>
    </xf>
    <xf numFmtId="189" fontId="18" fillId="0" borderId="4" xfId="969" applyFont="1" applyFill="1" applyBorder="1" applyAlignment="1">
      <alignment vertical="center"/>
    </xf>
    <xf numFmtId="203" fontId="18" fillId="0" borderId="0" xfId="0" applyNumberFormat="1" applyFont="1" applyFill="1" applyBorder="1" applyAlignment="1">
      <alignment vertical="center" wrapText="1"/>
    </xf>
    <xf numFmtId="201" fontId="18" fillId="0" borderId="6" xfId="0" applyNumberFormat="1" applyFont="1" applyFill="1" applyBorder="1" applyAlignment="1">
      <alignment vertical="center" wrapText="1"/>
    </xf>
    <xf numFmtId="189" fontId="18" fillId="0" borderId="4" xfId="969" applyFont="1" applyFill="1" applyBorder="1" applyAlignment="1">
      <alignment horizontal="left" vertical="center"/>
    </xf>
    <xf numFmtId="189" fontId="23" fillId="0" borderId="4" xfId="969" applyFont="1" applyFill="1" applyBorder="1" applyAlignment="1">
      <alignment horizontal="left" vertical="center"/>
    </xf>
    <xf numFmtId="205" fontId="18" fillId="0" borderId="8" xfId="969" applyNumberFormat="1" applyFont="1" applyFill="1" applyBorder="1" applyAlignment="1">
      <alignment horizontal="left" vertical="center"/>
    </xf>
    <xf numFmtId="0" fontId="0" fillId="0" borderId="0" xfId="0" applyFont="1" applyBorder="1" applyAlignment="1">
      <alignment vertical="top"/>
    </xf>
    <xf numFmtId="206" fontId="0" fillId="0" borderId="0" xfId="0" applyNumberFormat="1" applyFont="1" applyAlignment="1"/>
    <xf numFmtId="0" fontId="0" fillId="0" borderId="0" xfId="0" applyFont="1" applyAlignment="1"/>
    <xf numFmtId="203" fontId="18" fillId="0" borderId="40" xfId="0" applyNumberFormat="1" applyFont="1" applyFill="1" applyBorder="1" applyAlignment="1">
      <alignment vertical="center" wrapText="1"/>
    </xf>
    <xf numFmtId="201" fontId="18" fillId="0" borderId="0" xfId="0" applyNumberFormat="1" applyFont="1" applyFill="1" applyBorder="1" applyAlignment="1">
      <alignment horizontal="right" vertical="center" wrapText="1"/>
    </xf>
    <xf numFmtId="0" fontId="18" fillId="0" borderId="4" xfId="0" applyFont="1" applyFill="1" applyBorder="1" applyAlignment="1">
      <alignment horizontal="left" vertical="center" wrapText="1"/>
    </xf>
    <xf numFmtId="201" fontId="18" fillId="0" borderId="1" xfId="0" applyNumberFormat="1" applyFont="1" applyFill="1" applyBorder="1" applyAlignment="1">
      <alignment horizontal="right" vertical="center" wrapText="1"/>
    </xf>
    <xf numFmtId="0" fontId="18" fillId="0" borderId="0" xfId="0" applyFont="1" applyFill="1" applyBorder="1" applyAlignment="1">
      <alignment vertical="center"/>
    </xf>
    <xf numFmtId="0" fontId="23" fillId="0" borderId="46" xfId="2056" applyFont="1" applyFill="1" applyBorder="1" applyAlignment="1">
      <alignment horizontal="center" vertical="center"/>
    </xf>
    <xf numFmtId="0" fontId="23" fillId="0" borderId="16" xfId="2056" applyFont="1" applyFill="1" applyBorder="1" applyAlignment="1">
      <alignment horizontal="center" vertical="center"/>
    </xf>
    <xf numFmtId="0" fontId="23" fillId="0" borderId="0" xfId="0" applyFont="1" applyFill="1" applyBorder="1" applyAlignment="1">
      <alignment vertical="center" wrapText="1"/>
    </xf>
    <xf numFmtId="203" fontId="23" fillId="0" borderId="20" xfId="0" applyNumberFormat="1" applyFont="1" applyFill="1" applyBorder="1" applyAlignment="1">
      <alignment vertical="center" wrapText="1"/>
    </xf>
    <xf numFmtId="201" fontId="23" fillId="0" borderId="21" xfId="0" applyNumberFormat="1" applyFont="1" applyFill="1" applyBorder="1" applyAlignment="1">
      <alignment horizontal="right" vertical="center" wrapText="1"/>
    </xf>
    <xf numFmtId="0" fontId="18" fillId="0" borderId="0" xfId="0" applyFont="1" applyFill="1" applyBorder="1" applyAlignment="1">
      <alignment vertical="center" wrapText="1"/>
    </xf>
    <xf numFmtId="203" fontId="18" fillId="0" borderId="20" xfId="0" applyNumberFormat="1" applyFont="1" applyFill="1" applyBorder="1" applyAlignment="1">
      <alignment vertical="center" wrapText="1"/>
    </xf>
    <xf numFmtId="201" fontId="18" fillId="0" borderId="21" xfId="0" applyNumberFormat="1" applyFont="1" applyFill="1" applyBorder="1" applyAlignment="1">
      <alignment horizontal="right" vertical="center" wrapText="1"/>
    </xf>
    <xf numFmtId="0" fontId="18" fillId="0" borderId="0" xfId="0" applyFont="1" applyFill="1" applyBorder="1" applyAlignment="1">
      <alignment horizontal="left" vertical="center"/>
    </xf>
    <xf numFmtId="189" fontId="18" fillId="0" borderId="0" xfId="969" applyFont="1" applyFill="1" applyBorder="1" applyAlignment="1">
      <alignment vertical="center"/>
    </xf>
    <xf numFmtId="189" fontId="18" fillId="0" borderId="0" xfId="969" applyFont="1" applyFill="1" applyBorder="1" applyAlignment="1">
      <alignment horizontal="left" vertical="center"/>
    </xf>
    <xf numFmtId="189" fontId="18" fillId="0" borderId="1" xfId="969" applyFont="1" applyFill="1" applyBorder="1" applyAlignment="1">
      <alignment horizontal="left" vertical="center"/>
    </xf>
    <xf numFmtId="203" fontId="18" fillId="0" borderId="22" xfId="0" applyNumberFormat="1" applyFont="1" applyFill="1" applyBorder="1" applyAlignment="1">
      <alignment vertical="center" wrapText="1"/>
    </xf>
    <xf numFmtId="201" fontId="18" fillId="0" borderId="23" xfId="0" applyNumberFormat="1" applyFont="1" applyFill="1" applyBorder="1" applyAlignment="1">
      <alignment horizontal="right" vertical="center" wrapText="1"/>
    </xf>
    <xf numFmtId="0" fontId="12" fillId="0" borderId="0" xfId="2056" applyFont="1" applyFill="1">
      <alignment vertical="center"/>
    </xf>
    <xf numFmtId="0" fontId="0" fillId="0" borderId="0" xfId="2056" applyFont="1" applyFill="1">
      <alignment vertical="center"/>
    </xf>
    <xf numFmtId="0" fontId="0" fillId="0" borderId="0" xfId="2056" applyFont="1" applyFill="1" applyAlignment="1">
      <alignment horizontal="right" vertical="center"/>
    </xf>
    <xf numFmtId="0" fontId="9" fillId="0" borderId="4" xfId="2056" applyFont="1" applyFill="1" applyBorder="1" applyAlignment="1">
      <alignment horizontal="center" vertical="center"/>
    </xf>
    <xf numFmtId="0" fontId="9" fillId="0" borderId="0" xfId="2056" applyFont="1" applyFill="1" applyBorder="1" applyAlignment="1">
      <alignment horizontal="center" vertical="center"/>
    </xf>
    <xf numFmtId="0" fontId="23" fillId="0" borderId="15" xfId="2056" applyFont="1" applyFill="1" applyBorder="1" applyAlignment="1">
      <alignment horizontal="center" vertical="center"/>
    </xf>
    <xf numFmtId="0" fontId="18" fillId="0" borderId="0" xfId="2056" applyFont="1" applyFill="1" applyBorder="1" applyAlignment="1">
      <alignment horizontal="left" vertical="center" wrapText="1"/>
    </xf>
    <xf numFmtId="0" fontId="18" fillId="0" borderId="29" xfId="2056" applyFont="1" applyFill="1" applyBorder="1" applyAlignment="1">
      <alignment horizontal="center" vertical="center" wrapText="1"/>
    </xf>
    <xf numFmtId="206" fontId="18" fillId="0" borderId="29" xfId="2056" applyNumberFormat="1" applyFont="1" applyFill="1" applyBorder="1" applyAlignment="1">
      <alignment horizontal="right" vertical="center" wrapText="1"/>
    </xf>
    <xf numFmtId="202" fontId="12" fillId="0" borderId="0" xfId="2056" applyNumberFormat="1" applyFont="1" applyFill="1">
      <alignment vertical="center"/>
    </xf>
    <xf numFmtId="205" fontId="12" fillId="0" borderId="0" xfId="2056" applyNumberFormat="1" applyFont="1" applyFill="1">
      <alignment vertical="center"/>
    </xf>
    <xf numFmtId="0" fontId="18" fillId="0" borderId="5" xfId="2056" applyFont="1" applyFill="1" applyBorder="1" applyAlignment="1">
      <alignment horizontal="center" vertical="center" wrapText="1"/>
    </xf>
    <xf numFmtId="206" fontId="18" fillId="0" borderId="5" xfId="2056" applyNumberFormat="1" applyFont="1" applyFill="1" applyBorder="1" applyAlignment="1">
      <alignment horizontal="right" vertical="center" wrapText="1"/>
    </xf>
    <xf numFmtId="206" fontId="12" fillId="0" borderId="0" xfId="2056" applyNumberFormat="1" applyFont="1" applyFill="1">
      <alignment vertical="center"/>
    </xf>
    <xf numFmtId="205" fontId="0" fillId="0" borderId="0" xfId="2056" applyNumberFormat="1" applyFont="1" applyFill="1">
      <alignment vertical="center"/>
    </xf>
    <xf numFmtId="203" fontId="0" fillId="0" borderId="0" xfId="2056" applyNumberFormat="1" applyFont="1" applyFill="1">
      <alignment vertical="center"/>
    </xf>
    <xf numFmtId="0" fontId="18" fillId="0" borderId="0" xfId="2056" applyFont="1" applyFill="1" applyBorder="1" applyAlignment="1">
      <alignment vertical="center" wrapText="1"/>
    </xf>
    <xf numFmtId="0" fontId="0" fillId="0" borderId="0" xfId="0" applyFont="1" applyFill="1" applyBorder="1" applyAlignment="1">
      <alignment horizontal="right" vertical="center"/>
    </xf>
    <xf numFmtId="0" fontId="0" fillId="0" borderId="0" xfId="0" applyFont="1" applyFill="1" applyAlignment="1">
      <alignment horizontal="right" vertical="center"/>
    </xf>
    <xf numFmtId="207" fontId="12" fillId="0" borderId="0" xfId="3" applyNumberFormat="1" applyFont="1" applyFill="1" applyBorder="1" applyAlignment="1" applyProtection="1">
      <alignment vertical="center"/>
    </xf>
    <xf numFmtId="0" fontId="18" fillId="0" borderId="0" xfId="2056" applyFont="1" applyFill="1" applyBorder="1" applyAlignment="1">
      <alignment vertical="center"/>
    </xf>
    <xf numFmtId="0" fontId="18" fillId="0" borderId="5" xfId="2056" applyFont="1" applyFill="1" applyBorder="1" applyAlignment="1">
      <alignment horizontal="center" vertical="center"/>
    </xf>
    <xf numFmtId="0" fontId="18" fillId="0" borderId="5" xfId="0" applyFont="1" applyFill="1" applyBorder="1" applyAlignment="1">
      <alignment horizontal="right" vertical="center" wrapText="1"/>
    </xf>
    <xf numFmtId="202" fontId="0" fillId="0" borderId="0" xfId="2056" applyNumberFormat="1" applyFont="1" applyFill="1">
      <alignment vertical="center"/>
    </xf>
    <xf numFmtId="203" fontId="18" fillId="0" borderId="5" xfId="0" applyNumberFormat="1" applyFont="1" applyFill="1" applyBorder="1" applyAlignment="1">
      <alignment horizontal="right" vertical="center" wrapText="1"/>
    </xf>
    <xf numFmtId="0" fontId="18" fillId="0" borderId="8" xfId="2056" applyFont="1" applyFill="1" applyBorder="1" applyAlignment="1">
      <alignment vertical="center"/>
    </xf>
    <xf numFmtId="0" fontId="18" fillId="0" borderId="9" xfId="2056" applyFont="1" applyFill="1" applyBorder="1" applyAlignment="1">
      <alignment horizontal="center" vertical="center" wrapText="1"/>
    </xf>
    <xf numFmtId="206" fontId="18" fillId="0" borderId="9" xfId="2056" applyNumberFormat="1" applyFont="1" applyFill="1" applyBorder="1" applyAlignment="1">
      <alignment horizontal="right" vertical="center" wrapText="1"/>
    </xf>
    <xf numFmtId="201" fontId="18" fillId="0" borderId="10" xfId="0" applyNumberFormat="1" applyFont="1" applyFill="1" applyBorder="1" applyAlignment="1">
      <alignment horizontal="right" vertical="center" wrapText="1"/>
    </xf>
    <xf numFmtId="0" fontId="0" fillId="0" borderId="0" xfId="2056" applyFont="1" applyFill="1" applyAlignment="1">
      <alignment vertical="center"/>
    </xf>
    <xf numFmtId="0" fontId="24" fillId="0" borderId="0" xfId="0" applyFont="1" applyBorder="1" applyAlignment="1">
      <alignment horizontal="center" vertical="center"/>
    </xf>
    <xf numFmtId="0" fontId="0" fillId="0" borderId="0" xfId="0" applyFont="1" applyBorder="1" applyAlignment="1">
      <alignment horizontal="center" vertical="center"/>
    </xf>
    <xf numFmtId="0" fontId="12" fillId="0" borderId="46" xfId="0" applyFont="1" applyFill="1" applyBorder="1" applyAlignment="1">
      <alignment horizontal="center" vertical="center"/>
    </xf>
    <xf numFmtId="0" fontId="0" fillId="0" borderId="0" xfId="0" applyFont="1" applyBorder="1" applyAlignment="1">
      <alignment vertical="center"/>
    </xf>
    <xf numFmtId="0" fontId="0" fillId="0" borderId="0" xfId="0" applyFont="1" applyAlignment="1">
      <alignment vertical="center"/>
    </xf>
    <xf numFmtId="0" fontId="18" fillId="0" borderId="6" xfId="0" applyFont="1" applyFill="1" applyBorder="1" applyAlignment="1">
      <alignment vertical="center"/>
    </xf>
    <xf numFmtId="202" fontId="18" fillId="0" borderId="29" xfId="0" applyNumberFormat="1" applyFont="1" applyFill="1" applyBorder="1" applyAlignment="1">
      <alignment vertical="center"/>
    </xf>
    <xf numFmtId="201" fontId="18" fillId="0" borderId="0" xfId="0" applyNumberFormat="1" applyFont="1" applyFill="1" applyBorder="1" applyAlignment="1">
      <alignment vertical="center"/>
    </xf>
    <xf numFmtId="0" fontId="18" fillId="0" borderId="0" xfId="0" applyFont="1" applyFill="1" applyBorder="1" applyAlignment="1">
      <alignment horizontal="left" vertical="center" wrapText="1"/>
    </xf>
    <xf numFmtId="0" fontId="18" fillId="0" borderId="6" xfId="0" applyFont="1" applyFill="1" applyBorder="1" applyAlignment="1">
      <alignment horizontal="center" vertical="center" wrapText="1"/>
    </xf>
    <xf numFmtId="203" fontId="18" fillId="0" borderId="5" xfId="1" applyNumberFormat="1" applyFont="1" applyBorder="1" applyAlignment="1">
      <alignment vertical="center" wrapText="1"/>
    </xf>
    <xf numFmtId="201" fontId="18" fillId="0" borderId="0" xfId="0" applyNumberFormat="1" applyFont="1" applyFill="1" applyBorder="1" applyAlignment="1">
      <alignment vertical="center" wrapText="1"/>
    </xf>
    <xf numFmtId="43" fontId="18" fillId="0" borderId="5" xfId="1" applyFont="1" applyBorder="1" applyAlignment="1">
      <alignment vertical="center" wrapText="1"/>
    </xf>
    <xf numFmtId="0" fontId="18" fillId="0" borderId="6" xfId="0" applyFont="1" applyFill="1" applyBorder="1" applyAlignment="1">
      <alignment horizontal="center" vertical="center"/>
    </xf>
    <xf numFmtId="202" fontId="18" fillId="0" borderId="5" xfId="0" applyNumberFormat="1" applyFont="1" applyFill="1" applyBorder="1" applyAlignment="1">
      <alignment vertical="center" wrapText="1"/>
    </xf>
    <xf numFmtId="0" fontId="25" fillId="0" borderId="0" xfId="0" applyFont="1" applyBorder="1" applyAlignment="1">
      <alignment horizontal="right" wrapText="1"/>
    </xf>
    <xf numFmtId="2" fontId="18" fillId="0" borderId="5" xfId="0" applyNumberFormat="1" applyFont="1" applyFill="1" applyBorder="1" applyAlignment="1">
      <alignment vertical="center" wrapText="1"/>
    </xf>
    <xf numFmtId="199" fontId="18" fillId="0" borderId="6" xfId="0" applyNumberFormat="1" applyFont="1" applyFill="1" applyBorder="1" applyAlignment="1">
      <alignment vertical="center" wrapText="1"/>
    </xf>
    <xf numFmtId="205" fontId="25" fillId="0" borderId="0" xfId="0" applyNumberFormat="1" applyFont="1" applyBorder="1" applyAlignment="1">
      <alignment horizontal="right" wrapText="1"/>
    </xf>
    <xf numFmtId="203" fontId="18" fillId="0" borderId="5" xfId="0" applyNumberFormat="1" applyFont="1" applyFill="1" applyBorder="1" applyAlignment="1">
      <alignment vertical="center" wrapText="1"/>
    </xf>
    <xf numFmtId="203" fontId="25" fillId="0" borderId="0" xfId="0" applyNumberFormat="1" applyFont="1" applyBorder="1" applyAlignment="1">
      <alignment horizontal="right" wrapText="1"/>
    </xf>
    <xf numFmtId="0" fontId="25" fillId="0" borderId="0" xfId="0" applyFont="1" applyBorder="1" applyAlignment="1">
      <alignment wrapText="1"/>
    </xf>
    <xf numFmtId="205" fontId="18" fillId="0" borderId="5" xfId="0" applyNumberFormat="1" applyFont="1" applyFill="1" applyBorder="1" applyAlignment="1">
      <alignment vertical="center" wrapText="1"/>
    </xf>
    <xf numFmtId="0" fontId="18" fillId="0" borderId="10" xfId="0" applyFont="1" applyFill="1" applyBorder="1" applyAlignment="1">
      <alignment horizontal="center" vertical="center" wrapText="1"/>
    </xf>
    <xf numFmtId="203" fontId="18" fillId="0" borderId="9" xfId="1" applyNumberFormat="1" applyFont="1" applyBorder="1" applyAlignment="1">
      <alignment vertical="center" wrapText="1"/>
    </xf>
    <xf numFmtId="201" fontId="18" fillId="0" borderId="1" xfId="0" applyNumberFormat="1" applyFont="1" applyFill="1" applyBorder="1" applyAlignment="1">
      <alignment vertical="center" wrapText="1"/>
    </xf>
    <xf numFmtId="0" fontId="12" fillId="0" borderId="0" xfId="2056" applyFont="1">
      <alignment vertical="center"/>
    </xf>
    <xf numFmtId="0" fontId="0" fillId="0" borderId="0" xfId="2056" applyFont="1">
      <alignment vertical="center"/>
    </xf>
    <xf numFmtId="0" fontId="0" fillId="0" borderId="0" xfId="2056" applyFont="1" applyAlignment="1">
      <alignment horizontal="right" vertical="center"/>
    </xf>
    <xf numFmtId="0" fontId="11" fillId="0" borderId="1" xfId="2056" applyFont="1" applyFill="1" applyBorder="1" applyAlignment="1">
      <alignment horizontal="center" vertical="center"/>
    </xf>
    <xf numFmtId="0" fontId="11" fillId="0" borderId="14" xfId="2056" applyFont="1" applyFill="1" applyBorder="1" applyAlignment="1">
      <alignment horizontal="center" vertical="center"/>
    </xf>
    <xf numFmtId="0" fontId="11" fillId="0" borderId="46" xfId="2056" applyFont="1" applyFill="1" applyBorder="1" applyAlignment="1">
      <alignment horizontal="center" vertical="center"/>
    </xf>
    <xf numFmtId="0" fontId="10" fillId="0" borderId="0" xfId="2056" applyFont="1" applyFill="1" applyBorder="1" applyAlignment="1">
      <alignment horizontal="left" vertical="center" wrapText="1"/>
    </xf>
    <xf numFmtId="203" fontId="10" fillId="0" borderId="6" xfId="0" applyNumberFormat="1" applyFont="1" applyFill="1" applyBorder="1" applyAlignment="1">
      <alignment horizontal="right" vertical="center" wrapText="1"/>
    </xf>
    <xf numFmtId="0" fontId="10" fillId="0" borderId="0" xfId="2056" applyFont="1" applyFill="1" applyBorder="1" applyAlignment="1">
      <alignment vertical="center" wrapText="1"/>
    </xf>
    <xf numFmtId="0" fontId="10" fillId="0" borderId="0" xfId="2056" applyFont="1" applyFill="1" applyBorder="1" applyAlignment="1">
      <alignment vertical="center"/>
    </xf>
    <xf numFmtId="203" fontId="10" fillId="0" borderId="13" xfId="0" applyNumberFormat="1" applyFont="1" applyFill="1" applyBorder="1" applyAlignment="1">
      <alignment horizontal="right" vertical="center" wrapText="1"/>
    </xf>
    <xf numFmtId="0" fontId="17" fillId="0" borderId="24" xfId="2056" applyFont="1" applyFill="1" applyBorder="1" applyAlignment="1">
      <alignment horizontal="left" vertical="center" wrapText="1"/>
    </xf>
    <xf numFmtId="0" fontId="17" fillId="0" borderId="0" xfId="2056" applyFont="1" applyFill="1" applyBorder="1" applyAlignment="1">
      <alignment horizontal="left" vertical="center" wrapText="1"/>
    </xf>
    <xf numFmtId="0" fontId="0" fillId="0" borderId="0" xfId="2056" applyFont="1" applyAlignment="1">
      <alignment vertical="center"/>
    </xf>
    <xf numFmtId="0" fontId="9" fillId="0" borderId="6" xfId="2056" applyFont="1" applyFill="1" applyBorder="1" applyAlignment="1">
      <alignment horizontal="center" vertical="center"/>
    </xf>
    <xf numFmtId="0" fontId="23" fillId="0" borderId="14" xfId="2056" applyFont="1" applyFill="1" applyBorder="1" applyAlignment="1">
      <alignment horizontal="center" vertical="center"/>
    </xf>
    <xf numFmtId="49" fontId="23" fillId="0" borderId="16" xfId="2060" applyNumberFormat="1" applyFont="1" applyFill="1" applyBorder="1" applyAlignment="1">
      <alignment horizontal="center" vertical="center" wrapText="1"/>
    </xf>
    <xf numFmtId="203" fontId="0" fillId="0" borderId="0" xfId="2056" applyNumberFormat="1" applyFont="1">
      <alignment vertical="center"/>
    </xf>
    <xf numFmtId="0" fontId="18" fillId="0" borderId="4" xfId="2056" applyFont="1" applyFill="1" applyBorder="1" applyAlignment="1">
      <alignment vertical="center" wrapText="1"/>
    </xf>
    <xf numFmtId="0" fontId="18" fillId="0" borderId="4" xfId="2056" applyFont="1" applyFill="1" applyBorder="1" applyAlignment="1">
      <alignment horizontal="center" vertical="center" wrapText="1"/>
    </xf>
    <xf numFmtId="203" fontId="18" fillId="0" borderId="40" xfId="2056" applyNumberFormat="1" applyFont="1" applyFill="1" applyBorder="1" applyAlignment="1">
      <alignment vertical="center" wrapText="1"/>
    </xf>
    <xf numFmtId="201" fontId="18" fillId="0" borderId="20" xfId="2056" applyNumberFormat="1" applyFont="1" applyFill="1" applyBorder="1" applyAlignment="1">
      <alignment vertical="center" wrapText="1"/>
    </xf>
    <xf numFmtId="203" fontId="18" fillId="0" borderId="20" xfId="2056" applyNumberFormat="1" applyFont="1" applyFill="1" applyBorder="1" applyAlignment="1">
      <alignment vertical="center" wrapText="1"/>
    </xf>
    <xf numFmtId="201" fontId="18" fillId="0" borderId="21" xfId="2057" applyNumberFormat="1" applyFont="1" applyFill="1" applyBorder="1" applyAlignment="1" applyProtection="1">
      <alignment horizontal="right" vertical="center" wrapText="1"/>
    </xf>
    <xf numFmtId="0" fontId="18" fillId="0" borderId="4" xfId="2056" applyFont="1" applyFill="1" applyBorder="1" applyAlignment="1">
      <alignment horizontal="left" vertical="center" wrapText="1"/>
    </xf>
    <xf numFmtId="205" fontId="18" fillId="0" borderId="40" xfId="2056" applyNumberFormat="1" applyFont="1" applyFill="1" applyBorder="1" applyAlignment="1">
      <alignment vertical="center" wrapText="1"/>
    </xf>
    <xf numFmtId="205" fontId="18" fillId="0" borderId="20" xfId="2056" applyNumberFormat="1" applyFont="1" applyFill="1" applyBorder="1" applyAlignment="1">
      <alignment vertical="center" wrapText="1"/>
    </xf>
    <xf numFmtId="203" fontId="0" fillId="0" borderId="0" xfId="2056" applyNumberFormat="1" applyFont="1" applyAlignment="1">
      <alignment horizontal="left" vertical="center"/>
    </xf>
    <xf numFmtId="0" fontId="18" fillId="0" borderId="8" xfId="2056" applyFont="1" applyFill="1" applyBorder="1" applyAlignment="1">
      <alignment vertical="center" wrapText="1"/>
    </xf>
    <xf numFmtId="0" fontId="18" fillId="0" borderId="8" xfId="2056" applyFont="1" applyFill="1" applyBorder="1" applyAlignment="1">
      <alignment horizontal="center" vertical="center" wrapText="1"/>
    </xf>
    <xf numFmtId="203" fontId="18" fillId="0" borderId="54" xfId="2056" applyNumberFormat="1" applyFont="1" applyFill="1" applyBorder="1" applyAlignment="1">
      <alignment vertical="center" wrapText="1"/>
    </xf>
    <xf numFmtId="201" fontId="18" fillId="0" borderId="38" xfId="2056" applyNumberFormat="1" applyFont="1" applyFill="1" applyBorder="1" applyAlignment="1">
      <alignment vertical="center" wrapText="1"/>
    </xf>
    <xf numFmtId="203" fontId="18" fillId="0" borderId="38" xfId="2056" applyNumberFormat="1" applyFont="1" applyFill="1" applyBorder="1" applyAlignment="1">
      <alignment vertical="center" wrapText="1"/>
    </xf>
    <xf numFmtId="201" fontId="18" fillId="0" borderId="47" xfId="2057" applyNumberFormat="1" applyFont="1" applyFill="1" applyBorder="1" applyAlignment="1" applyProtection="1">
      <alignment horizontal="right" vertical="center" wrapText="1"/>
    </xf>
    <xf numFmtId="201" fontId="18" fillId="0" borderId="20" xfId="2056" applyNumberFormat="1" applyFont="1" applyFill="1" applyBorder="1" applyAlignment="1">
      <alignment horizontal="right" vertical="center" wrapText="1"/>
    </xf>
    <xf numFmtId="0" fontId="18" fillId="0" borderId="55" xfId="2056" applyFont="1" applyFill="1" applyBorder="1" applyAlignment="1">
      <alignment horizontal="center" vertical="center" wrapText="1"/>
    </xf>
    <xf numFmtId="203" fontId="18" fillId="0" borderId="5" xfId="2056" applyNumberFormat="1" applyFont="1" applyFill="1" applyBorder="1" applyAlignment="1">
      <alignment vertical="center" wrapText="1"/>
    </xf>
    <xf numFmtId="201" fontId="18" fillId="0" borderId="5" xfId="2056" applyNumberFormat="1" applyFont="1" applyFill="1" applyBorder="1" applyAlignment="1">
      <alignment vertical="center" wrapText="1"/>
    </xf>
    <xf numFmtId="201" fontId="18" fillId="0" borderId="5" xfId="2056" applyNumberFormat="1" applyFont="1" applyFill="1" applyBorder="1" applyAlignment="1">
      <alignment horizontal="right" vertical="center" wrapText="1"/>
    </xf>
    <xf numFmtId="205" fontId="18" fillId="0" borderId="5" xfId="2056" applyNumberFormat="1" applyFont="1" applyFill="1" applyBorder="1" applyAlignment="1">
      <alignment horizontal="right" vertical="center" wrapText="1"/>
    </xf>
    <xf numFmtId="201" fontId="18" fillId="0" borderId="6" xfId="2056" applyNumberFormat="1" applyFont="1" applyFill="1" applyBorder="1" applyAlignment="1">
      <alignment vertical="center" wrapText="1"/>
    </xf>
    <xf numFmtId="203" fontId="18" fillId="0" borderId="0" xfId="2056" applyNumberFormat="1" applyFont="1" applyFill="1" applyBorder="1" applyAlignment="1">
      <alignment vertical="center" wrapText="1"/>
    </xf>
    <xf numFmtId="0" fontId="18" fillId="0" borderId="8" xfId="2056" applyFont="1" applyFill="1" applyBorder="1" applyAlignment="1">
      <alignment horizontal="left" vertical="center" wrapText="1"/>
    </xf>
    <xf numFmtId="205" fontId="18" fillId="0" borderId="9" xfId="2056" applyNumberFormat="1" applyFont="1" applyFill="1" applyBorder="1" applyAlignment="1">
      <alignment horizontal="right" vertical="center" wrapText="1"/>
    </xf>
    <xf numFmtId="201" fontId="18" fillId="0" borderId="9" xfId="2056" applyNumberFormat="1" applyFont="1" applyFill="1" applyBorder="1" applyAlignment="1">
      <alignment horizontal="right" vertical="center" wrapText="1"/>
    </xf>
    <xf numFmtId="201" fontId="18" fillId="0" borderId="10" xfId="2056" applyNumberFormat="1" applyFont="1" applyFill="1" applyBorder="1" applyAlignment="1">
      <alignment vertical="center" wrapText="1"/>
    </xf>
    <xf numFmtId="0" fontId="0" fillId="0" borderId="0" xfId="2056" applyFont="1" applyFill="1" applyBorder="1" applyAlignment="1">
      <alignment vertical="center"/>
    </xf>
    <xf numFmtId="0" fontId="23" fillId="0" borderId="1" xfId="2056" applyFont="1" applyFill="1" applyBorder="1" applyAlignment="1">
      <alignment horizontal="center" vertical="center"/>
    </xf>
    <xf numFmtId="0" fontId="18" fillId="0" borderId="1" xfId="2056" applyFont="1" applyFill="1" applyBorder="1" applyAlignment="1">
      <alignment horizontal="right" vertical="center"/>
    </xf>
    <xf numFmtId="0" fontId="18" fillId="0" borderId="1" xfId="0" applyFont="1" applyFill="1" applyBorder="1" applyAlignment="1">
      <alignment horizontal="right" vertical="center"/>
    </xf>
    <xf numFmtId="0" fontId="23" fillId="0" borderId="2" xfId="2056" applyFont="1" applyFill="1" applyBorder="1" applyAlignment="1">
      <alignment horizontal="center" vertical="center"/>
    </xf>
    <xf numFmtId="0" fontId="18" fillId="0" borderId="53" xfId="2056" applyFont="1" applyFill="1" applyBorder="1" applyAlignment="1">
      <alignment vertical="center" wrapText="1"/>
    </xf>
    <xf numFmtId="203" fontId="18" fillId="0" borderId="21" xfId="2056" applyNumberFormat="1" applyFont="1" applyFill="1" applyBorder="1" applyAlignment="1">
      <alignment vertical="center" wrapText="1"/>
    </xf>
    <xf numFmtId="205" fontId="0" fillId="0" borderId="0" xfId="2056" applyNumberFormat="1" applyFont="1">
      <alignment vertical="center"/>
    </xf>
    <xf numFmtId="203" fontId="18" fillId="0" borderId="47" xfId="2056" applyNumberFormat="1" applyFont="1" applyFill="1" applyBorder="1" applyAlignment="1">
      <alignment vertical="center" wrapText="1"/>
    </xf>
    <xf numFmtId="0" fontId="23" fillId="0" borderId="48" xfId="2056" applyFont="1" applyFill="1" applyBorder="1" applyAlignment="1">
      <alignment horizontal="center" vertical="center"/>
    </xf>
    <xf numFmtId="49" fontId="23" fillId="0" borderId="50" xfId="2060" applyNumberFormat="1" applyFont="1" applyFill="1" applyBorder="1" applyAlignment="1">
      <alignment horizontal="center" vertical="center" wrapText="1"/>
    </xf>
    <xf numFmtId="0" fontId="23" fillId="0" borderId="49" xfId="0" applyFont="1" applyFill="1" applyBorder="1" applyAlignment="1">
      <alignment horizontal="center" vertical="center"/>
    </xf>
    <xf numFmtId="203" fontId="18" fillId="0" borderId="56" xfId="0" applyNumberFormat="1" applyFont="1" applyFill="1" applyBorder="1" applyAlignment="1">
      <alignment vertical="center" wrapText="1"/>
    </xf>
    <xf numFmtId="201" fontId="18" fillId="0" borderId="57" xfId="2056" applyNumberFormat="1" applyFont="1" applyFill="1" applyBorder="1" applyAlignment="1">
      <alignment vertical="center" wrapText="1"/>
    </xf>
    <xf numFmtId="203" fontId="18" fillId="0" borderId="57" xfId="0" applyNumberFormat="1" applyFont="1" applyFill="1" applyBorder="1" applyAlignment="1">
      <alignment vertical="center" wrapText="1"/>
    </xf>
    <xf numFmtId="201" fontId="18" fillId="0" borderId="58" xfId="2057" applyNumberFormat="1" applyFont="1" applyFill="1" applyBorder="1" applyAlignment="1" applyProtection="1">
      <alignment horizontal="right" vertical="center" wrapText="1"/>
    </xf>
    <xf numFmtId="0" fontId="2" fillId="0" borderId="0" xfId="0" applyFont="1" applyFill="1" applyBorder="1" applyAlignment="1">
      <alignment horizontal="right" vertical="center"/>
    </xf>
    <xf numFmtId="203" fontId="0" fillId="0" borderId="0" xfId="2056" applyNumberFormat="1" applyFont="1" applyFill="1" applyAlignment="1">
      <alignment horizontal="left" vertical="center"/>
    </xf>
    <xf numFmtId="203" fontId="18" fillId="0" borderId="59" xfId="0" applyNumberFormat="1" applyFont="1" applyFill="1" applyBorder="1" applyAlignment="1">
      <alignment vertical="center" wrapText="1"/>
    </xf>
    <xf numFmtId="201" fontId="18" fillId="0" borderId="22" xfId="2056" applyNumberFormat="1" applyFont="1" applyFill="1" applyBorder="1" applyAlignment="1">
      <alignment vertical="center" wrapText="1"/>
    </xf>
    <xf numFmtId="201" fontId="18" fillId="0" borderId="23" xfId="2057" applyNumberFormat="1" applyFont="1" applyFill="1" applyBorder="1" applyAlignment="1" applyProtection="1">
      <alignment horizontal="right" vertical="center" wrapText="1"/>
    </xf>
    <xf numFmtId="0" fontId="0" fillId="0" borderId="0" xfId="0" applyFont="1" applyAlignment="1">
      <alignment horizontal="center"/>
    </xf>
    <xf numFmtId="0" fontId="23" fillId="0" borderId="14" xfId="0" applyFont="1" applyFill="1" applyBorder="1" applyAlignment="1">
      <alignment horizontal="center" vertical="center"/>
    </xf>
    <xf numFmtId="205" fontId="23" fillId="0" borderId="15" xfId="0" applyNumberFormat="1" applyFont="1" applyFill="1" applyBorder="1" applyAlignment="1">
      <alignment horizontal="center" vertical="center"/>
    </xf>
    <xf numFmtId="0" fontId="18" fillId="0" borderId="4" xfId="0" applyFont="1" applyFill="1" applyBorder="1" applyAlignment="1">
      <alignment vertical="center"/>
    </xf>
    <xf numFmtId="0" fontId="18" fillId="0" borderId="5" xfId="0" applyFont="1" applyFill="1" applyBorder="1" applyAlignment="1">
      <alignment horizontal="center" vertical="center"/>
    </xf>
    <xf numFmtId="205" fontId="18" fillId="0" borderId="5" xfId="0" applyNumberFormat="1" applyFont="1" applyFill="1" applyBorder="1" applyAlignment="1">
      <alignment horizontal="right" vertical="center" wrapText="1"/>
    </xf>
    <xf numFmtId="201" fontId="18" fillId="0" borderId="5" xfId="0" applyNumberFormat="1" applyFont="1" applyFill="1" applyBorder="1" applyAlignment="1">
      <alignment horizontal="right" vertical="center" wrapText="1"/>
    </xf>
    <xf numFmtId="0" fontId="18" fillId="0" borderId="8" xfId="0" applyFont="1" applyFill="1" applyBorder="1" applyAlignment="1">
      <alignment vertical="center"/>
    </xf>
    <xf numFmtId="0" fontId="18" fillId="0" borderId="9" xfId="0" applyFont="1" applyFill="1" applyBorder="1" applyAlignment="1">
      <alignment horizontal="center" vertical="center"/>
    </xf>
    <xf numFmtId="201" fontId="18" fillId="0" borderId="9" xfId="0" applyNumberFormat="1" applyFont="1" applyFill="1" applyBorder="1" applyAlignment="1">
      <alignment horizontal="right" vertical="center" wrapText="1"/>
    </xf>
    <xf numFmtId="203" fontId="18" fillId="0" borderId="29" xfId="0" applyNumberFormat="1" applyFont="1" applyFill="1" applyBorder="1" applyAlignment="1">
      <alignment vertical="center" wrapText="1"/>
    </xf>
    <xf numFmtId="201" fontId="18" fillId="0" borderId="29" xfId="2056" applyNumberFormat="1" applyFont="1" applyFill="1" applyBorder="1" applyAlignment="1">
      <alignment vertical="center" wrapText="1"/>
    </xf>
    <xf numFmtId="0" fontId="18" fillId="0" borderId="1" xfId="2056" applyFont="1" applyFill="1" applyBorder="1" applyAlignment="1">
      <alignment vertical="center" wrapText="1"/>
    </xf>
    <xf numFmtId="203" fontId="18" fillId="0" borderId="9" xfId="0" applyNumberFormat="1" applyFont="1" applyFill="1" applyBorder="1" applyAlignment="1">
      <alignment vertical="center" wrapText="1"/>
    </xf>
    <xf numFmtId="201" fontId="18" fillId="0" borderId="9" xfId="2056" applyNumberFormat="1" applyFont="1" applyFill="1" applyBorder="1" applyAlignment="1">
      <alignment vertical="center" wrapText="1"/>
    </xf>
    <xf numFmtId="0" fontId="10" fillId="0" borderId="1" xfId="2056" applyFont="1" applyFill="1" applyBorder="1" applyAlignment="1">
      <alignment horizontal="right" vertical="center"/>
    </xf>
    <xf numFmtId="49" fontId="11" fillId="0" borderId="16" xfId="2060" applyNumberFormat="1" applyFont="1" applyFill="1" applyBorder="1" applyAlignment="1">
      <alignment horizontal="center" vertical="center" wrapText="1"/>
    </xf>
    <xf numFmtId="203" fontId="10" fillId="0" borderId="20" xfId="2056" applyNumberFormat="1" applyFont="1" applyFill="1" applyBorder="1" applyAlignment="1">
      <alignment vertical="center" wrapText="1"/>
    </xf>
    <xf numFmtId="201" fontId="10" fillId="0" borderId="20" xfId="2056" applyNumberFormat="1" applyFont="1" applyFill="1" applyBorder="1" applyAlignment="1">
      <alignment vertical="center" wrapText="1"/>
    </xf>
    <xf numFmtId="203" fontId="10" fillId="0" borderId="21" xfId="2056" applyNumberFormat="1" applyFont="1" applyFill="1" applyBorder="1" applyAlignment="1">
      <alignment vertical="center" wrapText="1"/>
    </xf>
    <xf numFmtId="201" fontId="10" fillId="0" borderId="6" xfId="2057" applyNumberFormat="1" applyFont="1" applyFill="1" applyBorder="1" applyAlignment="1" applyProtection="1">
      <alignment horizontal="right" vertical="center" wrapText="1"/>
    </xf>
    <xf numFmtId="201" fontId="10" fillId="0" borderId="20" xfId="2056" applyNumberFormat="1" applyFont="1" applyFill="1" applyBorder="1" applyAlignment="1">
      <alignment horizontal="right" vertical="center" wrapText="1"/>
    </xf>
    <xf numFmtId="0" fontId="10" fillId="0" borderId="3" xfId="2056" applyFont="1" applyFill="1" applyBorder="1" applyAlignment="1">
      <alignment vertical="center" wrapText="1"/>
    </xf>
    <xf numFmtId="203" fontId="10" fillId="0" borderId="36" xfId="2056" applyNumberFormat="1" applyFont="1" applyFill="1" applyBorder="1" applyAlignment="1">
      <alignment vertical="center" wrapText="1"/>
    </xf>
    <xf numFmtId="201" fontId="10" fillId="0" borderId="36" xfId="2056" applyNumberFormat="1" applyFont="1" applyFill="1" applyBorder="1" applyAlignment="1">
      <alignment vertical="center" wrapText="1"/>
    </xf>
    <xf numFmtId="203" fontId="10" fillId="0" borderId="35" xfId="2056" applyNumberFormat="1" applyFont="1" applyFill="1" applyBorder="1" applyAlignment="1">
      <alignment vertical="center" wrapText="1"/>
    </xf>
    <xf numFmtId="201" fontId="10" fillId="0" borderId="13" xfId="2057" applyNumberFormat="1" applyFont="1" applyFill="1" applyBorder="1" applyAlignment="1" applyProtection="1">
      <alignment horizontal="right" vertical="center" wrapText="1"/>
    </xf>
    <xf numFmtId="0" fontId="10" fillId="0" borderId="17" xfId="2056" applyFont="1" applyFill="1" applyBorder="1" applyAlignment="1">
      <alignment vertical="center" wrapText="1"/>
    </xf>
    <xf numFmtId="203" fontId="10" fillId="0" borderId="60" xfId="2056" applyNumberFormat="1" applyFont="1" applyFill="1" applyBorder="1" applyAlignment="1">
      <alignment vertical="center" wrapText="1"/>
    </xf>
    <xf numFmtId="201" fontId="10" fillId="0" borderId="19" xfId="2057" applyNumberFormat="1" applyFont="1" applyFill="1" applyBorder="1" applyAlignment="1" applyProtection="1">
      <alignment horizontal="right" vertical="center" wrapText="1"/>
    </xf>
    <xf numFmtId="0" fontId="10" fillId="0" borderId="2" xfId="2056" applyFont="1" applyFill="1" applyBorder="1" applyAlignment="1">
      <alignment horizontal="center" vertical="center"/>
    </xf>
    <xf numFmtId="0" fontId="10" fillId="0" borderId="13" xfId="2056" applyNumberFormat="1" applyFont="1" applyFill="1" applyBorder="1" applyAlignment="1">
      <alignment horizontal="center" vertical="center" wrapText="1"/>
    </xf>
    <xf numFmtId="0" fontId="10" fillId="0" borderId="2" xfId="2056" applyNumberFormat="1" applyFont="1" applyFill="1" applyBorder="1" applyAlignment="1">
      <alignment horizontal="center" vertical="center" wrapText="1"/>
    </xf>
    <xf numFmtId="0" fontId="10" fillId="0" borderId="5" xfId="2060" applyNumberFormat="1" applyFont="1" applyFill="1" applyBorder="1" applyAlignment="1">
      <alignment horizontal="center" vertical="center" wrapText="1"/>
    </xf>
    <xf numFmtId="0" fontId="10" fillId="0" borderId="6" xfId="2060" applyNumberFormat="1" applyFont="1" applyFill="1" applyBorder="1" applyAlignment="1">
      <alignment horizontal="center" vertical="center" wrapText="1"/>
    </xf>
    <xf numFmtId="0" fontId="10" fillId="0" borderId="61" xfId="2056" applyFont="1" applyFill="1" applyBorder="1" applyAlignment="1">
      <alignment vertical="center" wrapText="1"/>
    </xf>
    <xf numFmtId="203" fontId="10" fillId="0" borderId="62" xfId="2056" applyNumberFormat="1" applyFont="1" applyFill="1" applyBorder="1" applyAlignment="1">
      <alignment horizontal="right" vertical="center" wrapText="1"/>
    </xf>
    <xf numFmtId="203" fontId="10" fillId="0" borderId="61" xfId="2056" applyNumberFormat="1" applyFont="1" applyFill="1" applyBorder="1" applyAlignment="1">
      <alignment horizontal="right" vertical="center" wrapText="1"/>
    </xf>
    <xf numFmtId="200" fontId="10" fillId="0" borderId="63" xfId="969" applyNumberFormat="1" applyFont="1" applyFill="1" applyBorder="1" applyAlignment="1">
      <alignment horizontal="right" vertical="center" wrapText="1"/>
    </xf>
    <xf numFmtId="201" fontId="10" fillId="0" borderId="62" xfId="2057" applyNumberFormat="1" applyFont="1" applyFill="1" applyBorder="1" applyAlignment="1" applyProtection="1">
      <alignment horizontal="right" vertical="center" wrapText="1"/>
    </xf>
    <xf numFmtId="0" fontId="17" fillId="0" borderId="0" xfId="2056" applyFont="1" applyFill="1" applyBorder="1" applyAlignment="1">
      <alignment horizontal="left" vertical="center"/>
    </xf>
    <xf numFmtId="0" fontId="0" fillId="0" borderId="0" xfId="2061" applyFont="1">
      <alignment vertical="center"/>
    </xf>
    <xf numFmtId="0" fontId="23" fillId="0" borderId="14" xfId="0" applyFont="1" applyFill="1" applyBorder="1" applyAlignment="1">
      <alignment horizontal="center" vertical="center" wrapText="1"/>
    </xf>
    <xf numFmtId="0" fontId="23" fillId="0" borderId="15" xfId="0" applyFont="1" applyFill="1" applyBorder="1" applyAlignment="1">
      <alignment horizontal="center" vertical="center" wrapText="1"/>
    </xf>
    <xf numFmtId="201" fontId="23" fillId="0" borderId="16" xfId="0" applyNumberFormat="1" applyFont="1" applyFill="1" applyBorder="1" applyAlignment="1">
      <alignment horizontal="center" vertical="center" wrapText="1"/>
    </xf>
    <xf numFmtId="0" fontId="18" fillId="0" borderId="4" xfId="0" applyFont="1" applyFill="1" applyBorder="1" applyAlignment="1">
      <alignment horizontal="justify" vertical="center" wrapText="1"/>
    </xf>
    <xf numFmtId="206" fontId="18" fillId="0" borderId="5" xfId="969" applyNumberFormat="1" applyFont="1" applyFill="1" applyBorder="1" applyAlignment="1">
      <alignment horizontal="right" vertical="center" wrapText="1"/>
    </xf>
    <xf numFmtId="201" fontId="18" fillId="0" borderId="0" xfId="2057" applyNumberFormat="1" applyFont="1" applyFill="1" applyBorder="1" applyAlignment="1" applyProtection="1">
      <alignment horizontal="right" vertical="center" wrapText="1"/>
    </xf>
    <xf numFmtId="203" fontId="18" fillId="0" borderId="4" xfId="2061" applyNumberFormat="1" applyFont="1" applyFill="1" applyBorder="1" applyAlignment="1">
      <alignment horizontal="right" vertical="center" wrapText="1"/>
    </xf>
    <xf numFmtId="203" fontId="18" fillId="0" borderId="5" xfId="969" applyNumberFormat="1" applyFont="1" applyFill="1" applyBorder="1" applyAlignment="1">
      <alignment horizontal="right" vertical="center" wrapText="1"/>
    </xf>
    <xf numFmtId="0" fontId="18" fillId="0" borderId="8" xfId="0" applyFont="1" applyFill="1" applyBorder="1" applyAlignment="1">
      <alignment horizontal="justify" vertical="center" wrapText="1"/>
    </xf>
    <xf numFmtId="203" fontId="18" fillId="0" borderId="9" xfId="969" applyNumberFormat="1" applyFont="1" applyFill="1" applyBorder="1" applyAlignment="1">
      <alignment horizontal="right" vertical="center" wrapText="1"/>
    </xf>
    <xf numFmtId="201" fontId="18" fillId="0" borderId="1" xfId="2057" applyNumberFormat="1" applyFont="1" applyFill="1" applyBorder="1" applyAlignment="1" applyProtection="1">
      <alignment horizontal="right" vertical="center" wrapText="1"/>
    </xf>
    <xf numFmtId="0" fontId="4" fillId="0" borderId="0" xfId="0" applyFont="1" applyFill="1" applyBorder="1" applyAlignment="1">
      <alignment vertical="center" wrapText="1"/>
    </xf>
    <xf numFmtId="203" fontId="10" fillId="0" borderId="29" xfId="1940" applyNumberFormat="1" applyFont="1" applyFill="1" applyBorder="1" applyAlignment="1" applyProtection="1">
      <alignment horizontal="right" vertical="center" wrapText="1"/>
      <protection hidden="1"/>
    </xf>
    <xf numFmtId="201" fontId="10" fillId="0" borderId="52" xfId="1941" applyNumberFormat="1" applyFont="1" applyFill="1" applyBorder="1" applyAlignment="1" applyProtection="1">
      <alignment horizontal="right" vertical="center" wrapText="1"/>
      <protection hidden="1"/>
    </xf>
    <xf numFmtId="203" fontId="10" fillId="0" borderId="5" xfId="1942" applyNumberFormat="1" applyFont="1" applyFill="1" applyBorder="1" applyAlignment="1" applyProtection="1">
      <alignment horizontal="right" vertical="center" wrapText="1"/>
      <protection hidden="1"/>
    </xf>
    <xf numFmtId="201" fontId="10" fillId="0" borderId="6" xfId="1943" applyNumberFormat="1" applyFont="1" applyFill="1" applyBorder="1" applyAlignment="1" applyProtection="1">
      <alignment horizontal="right" vertical="center" wrapText="1"/>
      <protection hidden="1"/>
    </xf>
    <xf numFmtId="203" fontId="10" fillId="0" borderId="5" xfId="1944" applyNumberFormat="1" applyFont="1" applyFill="1" applyBorder="1" applyAlignment="1" applyProtection="1">
      <alignment horizontal="right" vertical="center" wrapText="1"/>
      <protection hidden="1"/>
    </xf>
    <xf numFmtId="201" fontId="10" fillId="0" borderId="6" xfId="1945" applyNumberFormat="1" applyFont="1" applyFill="1" applyBorder="1" applyAlignment="1" applyProtection="1">
      <alignment horizontal="right" vertical="center" wrapText="1"/>
      <protection hidden="1"/>
    </xf>
    <xf numFmtId="203" fontId="10" fillId="0" borderId="6" xfId="1946" applyNumberFormat="1" applyFont="1" applyFill="1" applyBorder="1" applyAlignment="1" applyProtection="1">
      <alignment horizontal="right" vertical="center" wrapText="1"/>
      <protection hidden="1"/>
    </xf>
    <xf numFmtId="201" fontId="10" fillId="0" borderId="6" xfId="1947" applyNumberFormat="1" applyFont="1" applyFill="1" applyBorder="1" applyAlignment="1" applyProtection="1">
      <alignment horizontal="right" vertical="center" wrapText="1"/>
      <protection hidden="1"/>
    </xf>
    <xf numFmtId="203" fontId="10" fillId="0" borderId="5" xfId="1948" applyNumberFormat="1" applyFont="1" applyFill="1" applyBorder="1" applyAlignment="1" applyProtection="1">
      <alignment horizontal="right" vertical="center" wrapText="1"/>
      <protection hidden="1"/>
    </xf>
    <xf numFmtId="201" fontId="10" fillId="0" borderId="6" xfId="1949" applyNumberFormat="1" applyFont="1" applyFill="1" applyBorder="1" applyAlignment="1" applyProtection="1">
      <alignment horizontal="right" vertical="center" wrapText="1"/>
      <protection hidden="1"/>
    </xf>
    <xf numFmtId="208" fontId="0" fillId="0" borderId="0" xfId="0" applyNumberFormat="1"/>
    <xf numFmtId="203" fontId="10" fillId="0" borderId="5" xfId="1978" applyNumberFormat="1" applyFont="1" applyFill="1" applyBorder="1" applyAlignment="1" applyProtection="1">
      <alignment horizontal="right" vertical="center" wrapText="1"/>
      <protection hidden="1"/>
    </xf>
    <xf numFmtId="201" fontId="10" fillId="0" borderId="6" xfId="1979" applyNumberFormat="1" applyFont="1" applyFill="1" applyBorder="1" applyAlignment="1" applyProtection="1">
      <alignment horizontal="right" vertical="center" wrapText="1"/>
      <protection hidden="1"/>
    </xf>
    <xf numFmtId="203" fontId="10" fillId="0" borderId="5" xfId="1980" applyNumberFormat="1" applyFont="1" applyFill="1" applyBorder="1" applyAlignment="1" applyProtection="1">
      <alignment horizontal="right" vertical="center" wrapText="1"/>
      <protection hidden="1"/>
    </xf>
    <xf numFmtId="201" fontId="10" fillId="0" borderId="6" xfId="1981" applyNumberFormat="1" applyFont="1" applyFill="1" applyBorder="1" applyAlignment="1" applyProtection="1">
      <alignment horizontal="right" vertical="center" wrapText="1"/>
      <protection hidden="1"/>
    </xf>
    <xf numFmtId="203" fontId="10" fillId="0" borderId="5" xfId="1982" applyNumberFormat="1" applyFont="1" applyFill="1" applyBorder="1" applyAlignment="1" applyProtection="1">
      <alignment horizontal="right" vertical="center" wrapText="1"/>
      <protection hidden="1"/>
    </xf>
    <xf numFmtId="201" fontId="10" fillId="0" borderId="6" xfId="1983" applyNumberFormat="1" applyFont="1" applyFill="1" applyBorder="1" applyAlignment="1" applyProtection="1">
      <alignment horizontal="right" vertical="center" wrapText="1"/>
      <protection hidden="1"/>
    </xf>
    <xf numFmtId="203" fontId="10" fillId="0" borderId="5" xfId="1984" applyNumberFormat="1" applyFont="1" applyFill="1" applyBorder="1" applyAlignment="1" applyProtection="1">
      <alignment horizontal="right" vertical="center" wrapText="1"/>
      <protection hidden="1"/>
    </xf>
    <xf numFmtId="201" fontId="10" fillId="0" borderId="6" xfId="1985" applyNumberFormat="1" applyFont="1" applyFill="1" applyBorder="1" applyAlignment="1" applyProtection="1">
      <alignment horizontal="right" vertical="center" wrapText="1"/>
      <protection hidden="1"/>
    </xf>
    <xf numFmtId="203" fontId="10" fillId="0" borderId="5" xfId="1986" applyNumberFormat="1" applyFont="1" applyFill="1" applyBorder="1" applyAlignment="1" applyProtection="1">
      <alignment horizontal="right" vertical="center" wrapText="1"/>
      <protection hidden="1"/>
    </xf>
    <xf numFmtId="201" fontId="10" fillId="0" borderId="6" xfId="1987" applyNumberFormat="1" applyFont="1" applyFill="1" applyBorder="1" applyAlignment="1" applyProtection="1">
      <alignment horizontal="right" vertical="center" wrapText="1"/>
      <protection hidden="1"/>
    </xf>
    <xf numFmtId="0" fontId="10" fillId="0" borderId="4" xfId="0" applyNumberFormat="1" applyFont="1" applyFill="1" applyBorder="1" applyAlignment="1">
      <alignment vertical="center"/>
    </xf>
    <xf numFmtId="203" fontId="10" fillId="0" borderId="5" xfId="1997" applyNumberFormat="1" applyFont="1" applyFill="1" applyBorder="1" applyAlignment="1" applyProtection="1">
      <alignment horizontal="right" vertical="center" wrapText="1"/>
      <protection hidden="1"/>
    </xf>
    <xf numFmtId="201" fontId="10" fillId="0" borderId="6" xfId="1998" applyNumberFormat="1" applyFont="1" applyFill="1" applyBorder="1" applyAlignment="1" applyProtection="1">
      <alignment horizontal="right" vertical="center" wrapText="1"/>
      <protection hidden="1"/>
    </xf>
    <xf numFmtId="0" fontId="10" fillId="0" borderId="4" xfId="0" applyFont="1" applyFill="1" applyBorder="1" applyAlignment="1">
      <alignment horizontal="left" vertical="center"/>
    </xf>
    <xf numFmtId="203" fontId="10" fillId="0" borderId="5" xfId="1999" applyNumberFormat="1" applyFont="1" applyFill="1" applyBorder="1" applyAlignment="1" applyProtection="1">
      <alignment horizontal="right" vertical="center" wrapText="1"/>
      <protection hidden="1"/>
    </xf>
    <xf numFmtId="201" fontId="10" fillId="0" borderId="6" xfId="2000" applyNumberFormat="1" applyFont="1" applyFill="1" applyBorder="1" applyAlignment="1" applyProtection="1">
      <alignment horizontal="right" vertical="center" wrapText="1"/>
      <protection hidden="1"/>
    </xf>
    <xf numFmtId="203" fontId="10" fillId="0" borderId="5" xfId="2001" applyNumberFormat="1" applyFont="1" applyFill="1" applyBorder="1" applyAlignment="1" applyProtection="1">
      <alignment horizontal="right" vertical="center" wrapText="1"/>
      <protection hidden="1"/>
    </xf>
    <xf numFmtId="201" fontId="10" fillId="0" borderId="6" xfId="2002" applyNumberFormat="1" applyFont="1" applyFill="1" applyBorder="1" applyAlignment="1" applyProtection="1">
      <alignment horizontal="right" vertical="center" wrapText="1"/>
      <protection hidden="1"/>
    </xf>
    <xf numFmtId="0" fontId="10" fillId="0" borderId="64" xfId="0" applyFont="1" applyFill="1" applyBorder="1" applyAlignment="1">
      <alignment vertical="center"/>
    </xf>
    <xf numFmtId="206" fontId="10" fillId="0" borderId="62" xfId="969" applyNumberFormat="1" applyFont="1" applyFill="1" applyBorder="1" applyAlignment="1">
      <alignment horizontal="center" vertical="center"/>
    </xf>
    <xf numFmtId="206" fontId="10" fillId="0" borderId="64" xfId="969" applyNumberFormat="1" applyFont="1" applyFill="1" applyBorder="1" applyAlignment="1">
      <alignment horizontal="center" vertical="center"/>
    </xf>
    <xf numFmtId="0" fontId="4" fillId="0" borderId="0" xfId="0" applyFont="1" applyFill="1" applyBorder="1" applyAlignment="1">
      <alignment horizontal="left" vertical="center" wrapText="1"/>
    </xf>
    <xf numFmtId="0" fontId="9" fillId="0" borderId="1" xfId="0" applyFont="1" applyFill="1" applyBorder="1" applyAlignment="1">
      <alignment horizontal="center" vertical="center"/>
    </xf>
    <xf numFmtId="0" fontId="23" fillId="0" borderId="7" xfId="0" applyFont="1" applyFill="1" applyBorder="1" applyAlignment="1">
      <alignment horizontal="center" vertical="center" wrapText="1"/>
    </xf>
    <xf numFmtId="0" fontId="23" fillId="0" borderId="6" xfId="0" applyFont="1" applyFill="1" applyBorder="1" applyAlignment="1">
      <alignment horizontal="center" vertical="center" wrapText="1"/>
    </xf>
    <xf numFmtId="57" fontId="23" fillId="0" borderId="13" xfId="0" applyNumberFormat="1"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18"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18" fillId="0" borderId="6" xfId="0" applyFont="1" applyFill="1" applyBorder="1" applyAlignment="1">
      <alignment horizontal="justify" vertical="center" wrapText="1"/>
    </xf>
    <xf numFmtId="0" fontId="18" fillId="0" borderId="6" xfId="0" applyFont="1" applyFill="1" applyBorder="1" applyAlignment="1">
      <alignment horizontal="right" vertical="center" wrapText="1"/>
    </xf>
    <xf numFmtId="203" fontId="18" fillId="0" borderId="6" xfId="0" applyNumberFormat="1" applyFont="1" applyFill="1" applyBorder="1" applyAlignment="1">
      <alignment horizontal="right" vertical="center" wrapText="1"/>
    </xf>
    <xf numFmtId="0" fontId="0" fillId="0" borderId="24" xfId="0" applyBorder="1" applyAlignment="1">
      <alignment horizontal="left" vertical="center"/>
    </xf>
    <xf numFmtId="0" fontId="23" fillId="0" borderId="2" xfId="0" applyFont="1" applyFill="1" applyBorder="1" applyAlignment="1">
      <alignment horizontal="center" vertical="center" wrapText="1"/>
    </xf>
    <xf numFmtId="203" fontId="18" fillId="0" borderId="6" xfId="0" applyNumberFormat="1" applyFont="1" applyFill="1" applyBorder="1" applyAlignment="1">
      <alignment horizontal="center" vertical="center" wrapText="1"/>
    </xf>
    <xf numFmtId="201" fontId="18" fillId="0" borderId="6" xfId="0" applyNumberFormat="1" applyFont="1" applyFill="1" applyBorder="1" applyAlignment="1">
      <alignment horizontal="center" vertical="center" wrapText="1"/>
    </xf>
    <xf numFmtId="206" fontId="18" fillId="0" borderId="6" xfId="0" applyNumberFormat="1" applyFont="1" applyFill="1" applyBorder="1" applyAlignment="1">
      <alignment horizontal="right" vertical="center" wrapText="1"/>
    </xf>
    <xf numFmtId="202" fontId="18" fillId="0" borderId="6" xfId="0" applyNumberFormat="1" applyFont="1" applyFill="1" applyBorder="1" applyAlignment="1">
      <alignment horizontal="right" vertical="center" wrapText="1"/>
    </xf>
    <xf numFmtId="201" fontId="18" fillId="0" borderId="0" xfId="2055" applyNumberFormat="1" applyFont="1" applyFill="1" applyBorder="1" applyAlignment="1">
      <alignment horizontal="right" vertical="center" wrapText="1"/>
    </xf>
    <xf numFmtId="206" fontId="18" fillId="0" borderId="6" xfId="0" applyNumberFormat="1" applyFont="1" applyFill="1" applyBorder="1" applyAlignment="1">
      <alignment horizontal="center" vertical="center" wrapText="1"/>
    </xf>
  </cellXfs>
  <cellStyles count="31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鹎%U龡&amp;H?_x0008__x001c__x001c_?_x0007__x0001__x0001_" xfId="49"/>
    <cellStyle name="_0202" xfId="50"/>
    <cellStyle name="_20100326高清市院遂宁检察院1080P配置清单26日改" xfId="51"/>
    <cellStyle name="_Book1" xfId="52"/>
    <cellStyle name="_Book1_1" xfId="53"/>
    <cellStyle name="_Book1_2" xfId="54"/>
    <cellStyle name="_Book1_3" xfId="55"/>
    <cellStyle name="_ET_STYLE_NoName_00_" xfId="56"/>
    <cellStyle name="_ET_STYLE_NoName_00__Book1" xfId="57"/>
    <cellStyle name="_ET_STYLE_NoName_00__Book1_1" xfId="58"/>
    <cellStyle name="_ET_STYLE_NoName_00__Sheet3" xfId="59"/>
    <cellStyle name="_分县1" xfId="60"/>
    <cellStyle name="_分县2" xfId="61"/>
    <cellStyle name="_计财部审批要件" xfId="62"/>
    <cellStyle name="_弱电系统设备配置报价清单" xfId="63"/>
    <cellStyle name="0,0_x000d_&#10;NA_x000d_&#10;" xfId="64"/>
    <cellStyle name="20% - Accent1" xfId="65"/>
    <cellStyle name="20% - Accent1 2" xfId="66"/>
    <cellStyle name="20% - Accent1 3" xfId="67"/>
    <cellStyle name="20% - Accent1 4" xfId="68"/>
    <cellStyle name="20% - Accent1 5" xfId="69"/>
    <cellStyle name="20% - Accent1 6" xfId="70"/>
    <cellStyle name="20% - Accent1 7" xfId="71"/>
    <cellStyle name="20% - Accent1 8" xfId="72"/>
    <cellStyle name="20% - Accent1 9" xfId="73"/>
    <cellStyle name="20% - Accent2" xfId="74"/>
    <cellStyle name="20% - Accent2 2" xfId="75"/>
    <cellStyle name="20% - Accent2 3" xfId="76"/>
    <cellStyle name="20% - Accent2 4" xfId="77"/>
    <cellStyle name="20% - Accent2 5" xfId="78"/>
    <cellStyle name="20% - Accent2 6" xfId="79"/>
    <cellStyle name="20% - Accent2 7" xfId="80"/>
    <cellStyle name="20% - Accent2 8" xfId="81"/>
    <cellStyle name="20% - Accent2 9" xfId="82"/>
    <cellStyle name="20% - Accent3" xfId="83"/>
    <cellStyle name="20% - Accent3 2" xfId="84"/>
    <cellStyle name="20% - Accent3 3" xfId="85"/>
    <cellStyle name="20% - Accent3 4" xfId="86"/>
    <cellStyle name="20% - Accent3 5" xfId="87"/>
    <cellStyle name="20% - Accent3 6" xfId="88"/>
    <cellStyle name="20% - Accent3 7" xfId="89"/>
    <cellStyle name="20% - Accent3 8" xfId="90"/>
    <cellStyle name="20% - Accent3 9" xfId="91"/>
    <cellStyle name="20% - Accent4" xfId="92"/>
    <cellStyle name="20% - Accent4 2" xfId="93"/>
    <cellStyle name="20% - Accent4 3" xfId="94"/>
    <cellStyle name="20% - Accent4 4" xfId="95"/>
    <cellStyle name="20% - Accent4 5" xfId="96"/>
    <cellStyle name="20% - Accent4 6" xfId="97"/>
    <cellStyle name="20% - Accent4 7" xfId="98"/>
    <cellStyle name="20% - Accent4 8" xfId="99"/>
    <cellStyle name="20% - Accent4 9" xfId="100"/>
    <cellStyle name="20% - Accent5" xfId="101"/>
    <cellStyle name="20% - Accent5 2" xfId="102"/>
    <cellStyle name="20% - Accent5 3" xfId="103"/>
    <cellStyle name="20% - Accent5 4" xfId="104"/>
    <cellStyle name="20% - Accent5 5" xfId="105"/>
    <cellStyle name="20% - Accent5 6" xfId="106"/>
    <cellStyle name="20% - Accent5 7" xfId="107"/>
    <cellStyle name="20% - Accent5 8" xfId="108"/>
    <cellStyle name="20% - Accent5 9" xfId="109"/>
    <cellStyle name="20% - Accent6" xfId="110"/>
    <cellStyle name="20% - Accent6 2" xfId="111"/>
    <cellStyle name="20% - Accent6 3" xfId="112"/>
    <cellStyle name="20% - Accent6 4" xfId="113"/>
    <cellStyle name="20% - Accent6 5" xfId="114"/>
    <cellStyle name="20% - Accent6 6" xfId="115"/>
    <cellStyle name="20% - Accent6 7" xfId="116"/>
    <cellStyle name="20% - Accent6 8" xfId="117"/>
    <cellStyle name="20% - Accent6 9" xfId="118"/>
    <cellStyle name="20% - 强调文字颜色 1 10" xfId="119"/>
    <cellStyle name="20% - 强调文字颜色 1 2" xfId="120"/>
    <cellStyle name="20% - 强调文字颜色 1 3" xfId="121"/>
    <cellStyle name="20% - 强调文字颜色 1 3 2" xfId="122"/>
    <cellStyle name="20% - 强调文字颜色 1 3 3" xfId="123"/>
    <cellStyle name="20% - 强调文字颜色 1 3 4" xfId="124"/>
    <cellStyle name="20% - 强调文字颜色 1 3 5" xfId="125"/>
    <cellStyle name="20% - 强调文字颜色 1 3 6" xfId="126"/>
    <cellStyle name="20% - 强调文字颜色 1 3 7" xfId="127"/>
    <cellStyle name="20% - 强调文字颜色 1 4" xfId="128"/>
    <cellStyle name="20% - 强调文字颜色 1 4 2" xfId="129"/>
    <cellStyle name="20% - 强调文字颜色 1 5" xfId="130"/>
    <cellStyle name="20% - 强调文字颜色 1 5 2" xfId="131"/>
    <cellStyle name="20% - 强调文字颜色 1 6" xfId="132"/>
    <cellStyle name="20% - 强调文字颜色 1 6 2" xfId="133"/>
    <cellStyle name="20% - 强调文字颜色 1 7" xfId="134"/>
    <cellStyle name="20% - 强调文字颜色 1 7 2" xfId="135"/>
    <cellStyle name="20% - 强调文字颜色 1 8" xfId="136"/>
    <cellStyle name="20% - 强调文字颜色 1 8 2" xfId="137"/>
    <cellStyle name="20% - 强调文字颜色 1 9" xfId="138"/>
    <cellStyle name="20% - 强调文字颜色 1 9 2" xfId="139"/>
    <cellStyle name="20% - 强调文字颜色 2 10" xfId="140"/>
    <cellStyle name="20% - 强调文字颜色 2 2" xfId="141"/>
    <cellStyle name="20% - 强调文字颜色 2 3" xfId="142"/>
    <cellStyle name="20% - 强调文字颜色 2 3 2" xfId="143"/>
    <cellStyle name="20% - 强调文字颜色 2 3 3" xfId="144"/>
    <cellStyle name="20% - 强调文字颜色 2 3 4" xfId="145"/>
    <cellStyle name="20% - 强调文字颜色 2 3 5" xfId="146"/>
    <cellStyle name="20% - 强调文字颜色 2 3 6" xfId="147"/>
    <cellStyle name="20% - 强调文字颜色 2 3 7" xfId="148"/>
    <cellStyle name="20% - 强调文字颜色 2 4" xfId="149"/>
    <cellStyle name="20% - 强调文字颜色 2 4 2" xfId="150"/>
    <cellStyle name="20% - 强调文字颜色 2 5" xfId="151"/>
    <cellStyle name="20% - 强调文字颜色 2 5 2" xfId="152"/>
    <cellStyle name="20% - 强调文字颜色 2 6" xfId="153"/>
    <cellStyle name="20% - 强调文字颜色 2 6 2" xfId="154"/>
    <cellStyle name="20% - 强调文字颜色 2 7" xfId="155"/>
    <cellStyle name="20% - 强调文字颜色 2 7 2" xfId="156"/>
    <cellStyle name="20% - 强调文字颜色 2 8" xfId="157"/>
    <cellStyle name="20% - 强调文字颜色 2 8 2" xfId="158"/>
    <cellStyle name="20% - 强调文字颜色 2 9" xfId="159"/>
    <cellStyle name="20% - 强调文字颜色 2 9 2" xfId="160"/>
    <cellStyle name="20% - 强调文字颜色 3 10" xfId="161"/>
    <cellStyle name="20% - 强调文字颜色 3 2" xfId="162"/>
    <cellStyle name="20% - 强调文字颜色 3 3" xfId="163"/>
    <cellStyle name="20% - 强调文字颜色 3 3 2" xfId="164"/>
    <cellStyle name="20% - 强调文字颜色 3 3 3" xfId="165"/>
    <cellStyle name="20% - 强调文字颜色 3 3 4" xfId="166"/>
    <cellStyle name="20% - 强调文字颜色 3 3 5" xfId="167"/>
    <cellStyle name="20% - 强调文字颜色 3 3 6" xfId="168"/>
    <cellStyle name="20% - 强调文字颜色 3 3 7" xfId="169"/>
    <cellStyle name="20% - 强调文字颜色 3 4" xfId="170"/>
    <cellStyle name="20% - 强调文字颜色 3 4 2" xfId="171"/>
    <cellStyle name="20% - 强调文字颜色 3 5" xfId="172"/>
    <cellStyle name="20% - 强调文字颜色 3 5 2" xfId="173"/>
    <cellStyle name="20% - 强调文字颜色 3 6" xfId="174"/>
    <cellStyle name="20% - 强调文字颜色 3 6 2" xfId="175"/>
    <cellStyle name="20% - 强调文字颜色 3 7" xfId="176"/>
    <cellStyle name="20% - 强调文字颜色 3 7 2" xfId="177"/>
    <cellStyle name="20% - 强调文字颜色 3 8" xfId="178"/>
    <cellStyle name="20% - 强调文字颜色 3 8 2" xfId="179"/>
    <cellStyle name="20% - 强调文字颜色 3 9" xfId="180"/>
    <cellStyle name="20% - 强调文字颜色 3 9 2" xfId="181"/>
    <cellStyle name="20% - 强调文字颜色 4 10" xfId="182"/>
    <cellStyle name="20% - 强调文字颜色 4 2" xfId="183"/>
    <cellStyle name="20% - 强调文字颜色 4 3" xfId="184"/>
    <cellStyle name="20% - 强调文字颜色 4 3 2" xfId="185"/>
    <cellStyle name="20% - 强调文字颜色 4 3 3" xfId="186"/>
    <cellStyle name="20% - 强调文字颜色 4 3 4" xfId="187"/>
    <cellStyle name="20% - 强调文字颜色 4 3 5" xfId="188"/>
    <cellStyle name="20% - 强调文字颜色 4 3 6" xfId="189"/>
    <cellStyle name="20% - 强调文字颜色 4 3 7" xfId="190"/>
    <cellStyle name="20% - 强调文字颜色 4 4" xfId="191"/>
    <cellStyle name="20% - 强调文字颜色 4 4 2" xfId="192"/>
    <cellStyle name="20% - 强调文字颜色 4 5" xfId="193"/>
    <cellStyle name="20% - 强调文字颜色 4 5 2" xfId="194"/>
    <cellStyle name="20% - 强调文字颜色 4 6" xfId="195"/>
    <cellStyle name="20% - 强调文字颜色 4 6 2" xfId="196"/>
    <cellStyle name="20% - 强调文字颜色 4 7" xfId="197"/>
    <cellStyle name="20% - 强调文字颜色 4 7 2" xfId="198"/>
    <cellStyle name="20% - 强调文字颜色 4 8" xfId="199"/>
    <cellStyle name="20% - 强调文字颜色 4 8 2" xfId="200"/>
    <cellStyle name="20% - 强调文字颜色 4 9" xfId="201"/>
    <cellStyle name="20% - 强调文字颜色 4 9 2" xfId="202"/>
    <cellStyle name="20% - 强调文字颜色 5 10" xfId="203"/>
    <cellStyle name="20% - 强调文字颜色 5 2" xfId="204"/>
    <cellStyle name="20% - 强调文字颜色 5 3" xfId="205"/>
    <cellStyle name="20% - 强调文字颜色 5 3 2" xfId="206"/>
    <cellStyle name="20% - 强调文字颜色 5 3 3" xfId="207"/>
    <cellStyle name="20% - 强调文字颜色 5 3 4" xfId="208"/>
    <cellStyle name="20% - 强调文字颜色 5 3 5" xfId="209"/>
    <cellStyle name="20% - 强调文字颜色 5 3 6" xfId="210"/>
    <cellStyle name="20% - 强调文字颜色 5 3 7" xfId="211"/>
    <cellStyle name="20% - 强调文字颜色 5 4" xfId="212"/>
    <cellStyle name="20% - 强调文字颜色 5 4 2" xfId="213"/>
    <cellStyle name="20% - 强调文字颜色 5 5" xfId="214"/>
    <cellStyle name="20% - 强调文字颜色 5 5 2" xfId="215"/>
    <cellStyle name="20% - 强调文字颜色 5 6" xfId="216"/>
    <cellStyle name="20% - 强调文字颜色 5 6 2" xfId="217"/>
    <cellStyle name="20% - 强调文字颜色 5 7" xfId="218"/>
    <cellStyle name="20% - 强调文字颜色 5 7 2" xfId="219"/>
    <cellStyle name="20% - 强调文字颜色 5 8" xfId="220"/>
    <cellStyle name="20% - 强调文字颜色 5 8 2" xfId="221"/>
    <cellStyle name="20% - 强调文字颜色 5 9" xfId="222"/>
    <cellStyle name="20% - 强调文字颜色 5 9 2" xfId="223"/>
    <cellStyle name="20% - 强调文字颜色 6 10" xfId="224"/>
    <cellStyle name="20% - 强调文字颜色 6 2" xfId="225"/>
    <cellStyle name="20% - 强调文字颜色 6 3" xfId="226"/>
    <cellStyle name="20% - 强调文字颜色 6 3 2" xfId="227"/>
    <cellStyle name="20% - 强调文字颜色 6 3 3" xfId="228"/>
    <cellStyle name="20% - 强调文字颜色 6 3 4" xfId="229"/>
    <cellStyle name="20% - 强调文字颜色 6 3 5" xfId="230"/>
    <cellStyle name="20% - 强调文字颜色 6 3 6" xfId="231"/>
    <cellStyle name="20% - 强调文字颜色 6 3 7" xfId="232"/>
    <cellStyle name="20% - 强调文字颜色 6 4" xfId="233"/>
    <cellStyle name="20% - 强调文字颜色 6 4 2" xfId="234"/>
    <cellStyle name="20% - 强调文字颜色 6 5" xfId="235"/>
    <cellStyle name="20% - 强调文字颜色 6 5 2" xfId="236"/>
    <cellStyle name="20% - 强调文字颜色 6 6" xfId="237"/>
    <cellStyle name="20% - 强调文字颜色 6 6 2" xfId="238"/>
    <cellStyle name="20% - 强调文字颜色 6 7" xfId="239"/>
    <cellStyle name="20% - 强调文字颜色 6 7 2" xfId="240"/>
    <cellStyle name="20% - 强调文字颜色 6 8" xfId="241"/>
    <cellStyle name="20% - 强调文字颜色 6 8 2" xfId="242"/>
    <cellStyle name="20% - 强调文字颜色 6 9" xfId="243"/>
    <cellStyle name="20% - 强调文字颜色 6 9 2" xfId="244"/>
    <cellStyle name="40% - Accent1" xfId="245"/>
    <cellStyle name="40% - Accent1 2" xfId="246"/>
    <cellStyle name="40% - Accent1 3" xfId="247"/>
    <cellStyle name="40% - Accent1 4" xfId="248"/>
    <cellStyle name="40% - Accent1 5" xfId="249"/>
    <cellStyle name="40% - Accent1 6" xfId="250"/>
    <cellStyle name="40% - Accent1 7" xfId="251"/>
    <cellStyle name="40% - Accent1 8" xfId="252"/>
    <cellStyle name="40% - Accent1 9" xfId="253"/>
    <cellStyle name="40% - Accent2" xfId="254"/>
    <cellStyle name="40% - Accent2 2" xfId="255"/>
    <cellStyle name="40% - Accent2 3" xfId="256"/>
    <cellStyle name="40% - Accent2 4" xfId="257"/>
    <cellStyle name="40% - Accent2 5" xfId="258"/>
    <cellStyle name="40% - Accent2 6" xfId="259"/>
    <cellStyle name="40% - Accent2 7" xfId="260"/>
    <cellStyle name="40% - Accent2 8" xfId="261"/>
    <cellStyle name="40% - Accent2 9" xfId="262"/>
    <cellStyle name="40% - Accent3" xfId="263"/>
    <cellStyle name="40% - Accent3 2" xfId="264"/>
    <cellStyle name="40% - Accent3 3" xfId="265"/>
    <cellStyle name="40% - Accent3 4" xfId="266"/>
    <cellStyle name="40% - Accent3 5" xfId="267"/>
    <cellStyle name="40% - Accent3 6" xfId="268"/>
    <cellStyle name="40% - Accent3 7" xfId="269"/>
    <cellStyle name="40% - Accent3 8" xfId="270"/>
    <cellStyle name="40% - Accent3 9" xfId="271"/>
    <cellStyle name="40% - Accent4" xfId="272"/>
    <cellStyle name="40% - Accent4 2" xfId="273"/>
    <cellStyle name="40% - Accent4 3" xfId="274"/>
    <cellStyle name="40% - Accent4 4" xfId="275"/>
    <cellStyle name="40% - Accent4 5" xfId="276"/>
    <cellStyle name="40% - Accent4 6" xfId="277"/>
    <cellStyle name="40% - Accent4 7" xfId="278"/>
    <cellStyle name="40% - Accent4 8" xfId="279"/>
    <cellStyle name="40% - Accent4 9" xfId="280"/>
    <cellStyle name="40% - Accent5" xfId="281"/>
    <cellStyle name="40% - Accent5 2" xfId="282"/>
    <cellStyle name="40% - Accent5 3" xfId="283"/>
    <cellStyle name="40% - Accent5 4" xfId="284"/>
    <cellStyle name="40% - Accent5 5" xfId="285"/>
    <cellStyle name="40% - Accent5 6" xfId="286"/>
    <cellStyle name="40% - Accent5 7" xfId="287"/>
    <cellStyle name="40% - Accent5 8" xfId="288"/>
    <cellStyle name="40% - Accent5 9" xfId="289"/>
    <cellStyle name="40% - Accent6" xfId="290"/>
    <cellStyle name="40% - Accent6 2" xfId="291"/>
    <cellStyle name="40% - Accent6 3" xfId="292"/>
    <cellStyle name="40% - Accent6 4" xfId="293"/>
    <cellStyle name="40% - Accent6 5" xfId="294"/>
    <cellStyle name="40% - Accent6 6" xfId="295"/>
    <cellStyle name="40% - Accent6 7" xfId="296"/>
    <cellStyle name="40% - Accent6 8" xfId="297"/>
    <cellStyle name="40% - Accent6 9" xfId="298"/>
    <cellStyle name="40% - 强调文字颜色 1 10" xfId="299"/>
    <cellStyle name="40% - 强调文字颜色 1 2" xfId="300"/>
    <cellStyle name="40% - 强调文字颜色 1 3" xfId="301"/>
    <cellStyle name="40% - 强调文字颜色 1 3 2" xfId="302"/>
    <cellStyle name="40% - 强调文字颜色 1 3 3" xfId="303"/>
    <cellStyle name="40% - 强调文字颜色 1 3 4" xfId="304"/>
    <cellStyle name="40% - 强调文字颜色 1 3 5" xfId="305"/>
    <cellStyle name="40% - 强调文字颜色 1 3 6" xfId="306"/>
    <cellStyle name="40% - 强调文字颜色 1 3 7" xfId="307"/>
    <cellStyle name="40% - 强调文字颜色 1 4" xfId="308"/>
    <cellStyle name="40% - 强调文字颜色 1 4 2" xfId="309"/>
    <cellStyle name="40% - 强调文字颜色 1 5" xfId="310"/>
    <cellStyle name="40% - 强调文字颜色 1 5 2" xfId="311"/>
    <cellStyle name="40% - 强调文字颜色 1 6" xfId="312"/>
    <cellStyle name="40% - 强调文字颜色 1 6 2" xfId="313"/>
    <cellStyle name="40% - 强调文字颜色 1 7" xfId="314"/>
    <cellStyle name="40% - 强调文字颜色 1 7 2" xfId="315"/>
    <cellStyle name="40% - 强调文字颜色 1 8" xfId="316"/>
    <cellStyle name="40% - 强调文字颜色 1 8 2" xfId="317"/>
    <cellStyle name="40% - 强调文字颜色 1 9" xfId="318"/>
    <cellStyle name="40% - 强调文字颜色 1 9 2" xfId="319"/>
    <cellStyle name="40% - 强调文字颜色 2 10" xfId="320"/>
    <cellStyle name="40% - 强调文字颜色 2 2" xfId="321"/>
    <cellStyle name="40% - 强调文字颜色 2 3" xfId="322"/>
    <cellStyle name="40% - 强调文字颜色 2 3 2" xfId="323"/>
    <cellStyle name="40% - 强调文字颜色 2 3 3" xfId="324"/>
    <cellStyle name="40% - 强调文字颜色 2 3 4" xfId="325"/>
    <cellStyle name="40% - 强调文字颜色 2 3 5" xfId="326"/>
    <cellStyle name="40% - 强调文字颜色 2 3 6" xfId="327"/>
    <cellStyle name="40% - 强调文字颜色 2 3 7" xfId="328"/>
    <cellStyle name="40% - 强调文字颜色 2 4" xfId="329"/>
    <cellStyle name="40% - 强调文字颜色 2 4 2" xfId="330"/>
    <cellStyle name="40% - 强调文字颜色 2 5" xfId="331"/>
    <cellStyle name="40% - 强调文字颜色 2 5 2" xfId="332"/>
    <cellStyle name="40% - 强调文字颜色 2 6" xfId="333"/>
    <cellStyle name="40% - 强调文字颜色 2 6 2" xfId="334"/>
    <cellStyle name="40% - 强调文字颜色 2 7" xfId="335"/>
    <cellStyle name="40% - 强调文字颜色 2 7 2" xfId="336"/>
    <cellStyle name="40% - 强调文字颜色 2 8" xfId="337"/>
    <cellStyle name="40% - 强调文字颜色 2 8 2" xfId="338"/>
    <cellStyle name="40% - 强调文字颜色 2 9" xfId="339"/>
    <cellStyle name="40% - 强调文字颜色 2 9 2" xfId="340"/>
    <cellStyle name="40% - 强调文字颜色 3 10" xfId="341"/>
    <cellStyle name="40% - 强调文字颜色 3 2" xfId="342"/>
    <cellStyle name="40% - 强调文字颜色 3 3" xfId="343"/>
    <cellStyle name="40% - 强调文字颜色 3 3 2" xfId="344"/>
    <cellStyle name="40% - 强调文字颜色 3 3 3" xfId="345"/>
    <cellStyle name="40% - 强调文字颜色 3 3 4" xfId="346"/>
    <cellStyle name="40% - 强调文字颜色 3 3 5" xfId="347"/>
    <cellStyle name="40% - 强调文字颜色 3 3 6" xfId="348"/>
    <cellStyle name="40% - 强调文字颜色 3 3 7" xfId="349"/>
    <cellStyle name="40% - 强调文字颜色 3 4" xfId="350"/>
    <cellStyle name="40% - 强调文字颜色 3 4 2" xfId="351"/>
    <cellStyle name="40% - 强调文字颜色 3 5" xfId="352"/>
    <cellStyle name="40% - 强调文字颜色 3 5 2" xfId="353"/>
    <cellStyle name="40% - 强调文字颜色 3 6" xfId="354"/>
    <cellStyle name="40% - 强调文字颜色 3 6 2" xfId="355"/>
    <cellStyle name="40% - 强调文字颜色 3 7" xfId="356"/>
    <cellStyle name="40% - 强调文字颜色 3 7 2" xfId="357"/>
    <cellStyle name="40% - 强调文字颜色 3 8" xfId="358"/>
    <cellStyle name="40% - 强调文字颜色 3 8 2" xfId="359"/>
    <cellStyle name="40% - 强调文字颜色 3 9" xfId="360"/>
    <cellStyle name="40% - 强调文字颜色 3 9 2" xfId="361"/>
    <cellStyle name="40% - 强调文字颜色 4 10" xfId="362"/>
    <cellStyle name="40% - 强调文字颜色 4 2" xfId="363"/>
    <cellStyle name="40% - 强调文字颜色 4 3" xfId="364"/>
    <cellStyle name="40% - 强调文字颜色 4 3 2" xfId="365"/>
    <cellStyle name="40% - 强调文字颜色 4 3 3" xfId="366"/>
    <cellStyle name="40% - 强调文字颜色 4 3 4" xfId="367"/>
    <cellStyle name="40% - 强调文字颜色 4 3 5" xfId="368"/>
    <cellStyle name="40% - 强调文字颜色 4 3 6" xfId="369"/>
    <cellStyle name="40% - 强调文字颜色 4 3 7" xfId="370"/>
    <cellStyle name="40% - 强调文字颜色 4 4" xfId="371"/>
    <cellStyle name="40% - 强调文字颜色 4 4 2" xfId="372"/>
    <cellStyle name="40% - 强调文字颜色 4 5" xfId="373"/>
    <cellStyle name="40% - 强调文字颜色 4 5 2" xfId="374"/>
    <cellStyle name="40% - 强调文字颜色 4 6" xfId="375"/>
    <cellStyle name="40% - 强调文字颜色 4 6 2" xfId="376"/>
    <cellStyle name="40% - 强调文字颜色 4 7" xfId="377"/>
    <cellStyle name="40% - 强调文字颜色 4 7 2" xfId="378"/>
    <cellStyle name="40% - 强调文字颜色 4 8" xfId="379"/>
    <cellStyle name="40% - 强调文字颜色 4 8 2" xfId="380"/>
    <cellStyle name="40% - 强调文字颜色 4 9" xfId="381"/>
    <cellStyle name="40% - 强调文字颜色 4 9 2" xfId="382"/>
    <cellStyle name="40% - 强调文字颜色 5 10" xfId="383"/>
    <cellStyle name="40% - 强调文字颜色 5 2" xfId="384"/>
    <cellStyle name="40% - 强调文字颜色 5 3" xfId="385"/>
    <cellStyle name="40% - 强调文字颜色 5 3 2" xfId="386"/>
    <cellStyle name="40% - 强调文字颜色 5 3 3" xfId="387"/>
    <cellStyle name="40% - 强调文字颜色 5 3 4" xfId="388"/>
    <cellStyle name="40% - 强调文字颜色 5 3 5" xfId="389"/>
    <cellStyle name="40% - 强调文字颜色 5 3 6" xfId="390"/>
    <cellStyle name="40% - 强调文字颜色 5 3 7" xfId="391"/>
    <cellStyle name="40% - 强调文字颜色 5 4" xfId="392"/>
    <cellStyle name="40% - 强调文字颜色 5 4 2" xfId="393"/>
    <cellStyle name="40% - 强调文字颜色 5 5" xfId="394"/>
    <cellStyle name="40% - 强调文字颜色 5 5 2" xfId="395"/>
    <cellStyle name="40% - 强调文字颜色 5 6" xfId="396"/>
    <cellStyle name="40% - 强调文字颜色 5 6 2" xfId="397"/>
    <cellStyle name="40% - 强调文字颜色 5 7" xfId="398"/>
    <cellStyle name="40% - 强调文字颜色 5 7 2" xfId="399"/>
    <cellStyle name="40% - 强调文字颜色 5 8" xfId="400"/>
    <cellStyle name="40% - 强调文字颜色 5 8 2" xfId="401"/>
    <cellStyle name="40% - 强调文字颜色 5 9" xfId="402"/>
    <cellStyle name="40% - 强调文字颜色 5 9 2" xfId="403"/>
    <cellStyle name="40% - 强调文字颜色 6 10" xfId="404"/>
    <cellStyle name="40% - 强调文字颜色 6 2" xfId="405"/>
    <cellStyle name="40% - 强调文字颜色 6 3" xfId="406"/>
    <cellStyle name="40% - 强调文字颜色 6 3 2" xfId="407"/>
    <cellStyle name="40% - 强调文字颜色 6 3 3" xfId="408"/>
    <cellStyle name="40% - 强调文字颜色 6 3 4" xfId="409"/>
    <cellStyle name="40% - 强调文字颜色 6 3 5" xfId="410"/>
    <cellStyle name="40% - 强调文字颜色 6 3 6" xfId="411"/>
    <cellStyle name="40% - 强调文字颜色 6 3 7" xfId="412"/>
    <cellStyle name="40% - 强调文字颜色 6 4" xfId="413"/>
    <cellStyle name="40% - 强调文字颜色 6 4 2" xfId="414"/>
    <cellStyle name="40% - 强调文字颜色 6 5" xfId="415"/>
    <cellStyle name="40% - 强调文字颜色 6 5 2" xfId="416"/>
    <cellStyle name="40% - 强调文字颜色 6 6" xfId="417"/>
    <cellStyle name="40% - 强调文字颜色 6 6 2" xfId="418"/>
    <cellStyle name="40% - 强调文字颜色 6 7" xfId="419"/>
    <cellStyle name="40% - 强调文字颜色 6 7 2" xfId="420"/>
    <cellStyle name="40% - 强调文字颜色 6 8" xfId="421"/>
    <cellStyle name="40% - 强调文字颜色 6 8 2" xfId="422"/>
    <cellStyle name="40% - 强调文字颜色 6 9" xfId="423"/>
    <cellStyle name="40% - 强调文字颜色 6 9 2" xfId="424"/>
    <cellStyle name="60% - Accent1" xfId="425"/>
    <cellStyle name="60% - Accent1 2" xfId="426"/>
    <cellStyle name="60% - Accent1 3" xfId="427"/>
    <cellStyle name="60% - Accent1 4" xfId="428"/>
    <cellStyle name="60% - Accent1 5" xfId="429"/>
    <cellStyle name="60% - Accent1 6" xfId="430"/>
    <cellStyle name="60% - Accent1 7" xfId="431"/>
    <cellStyle name="60% - Accent1 8" xfId="432"/>
    <cellStyle name="60% - Accent1 9" xfId="433"/>
    <cellStyle name="60% - Accent2" xfId="434"/>
    <cellStyle name="60% - Accent2 2" xfId="435"/>
    <cellStyle name="60% - Accent2 3" xfId="436"/>
    <cellStyle name="60% - Accent2 4" xfId="437"/>
    <cellStyle name="60% - Accent2 5" xfId="438"/>
    <cellStyle name="60% - Accent2 6" xfId="439"/>
    <cellStyle name="60% - Accent2 7" xfId="440"/>
    <cellStyle name="60% - Accent2 8" xfId="441"/>
    <cellStyle name="60% - Accent2 9" xfId="442"/>
    <cellStyle name="60% - Accent3" xfId="443"/>
    <cellStyle name="60% - Accent3 2" xfId="444"/>
    <cellStyle name="60% - Accent3 3" xfId="445"/>
    <cellStyle name="60% - Accent3 4" xfId="446"/>
    <cellStyle name="60% - Accent3 5" xfId="447"/>
    <cellStyle name="60% - Accent3 6" xfId="448"/>
    <cellStyle name="60% - Accent3 7" xfId="449"/>
    <cellStyle name="60% - Accent3 8" xfId="450"/>
    <cellStyle name="60% - Accent3 9" xfId="451"/>
    <cellStyle name="60% - Accent4" xfId="452"/>
    <cellStyle name="60% - Accent4 2" xfId="453"/>
    <cellStyle name="60% - Accent4 3" xfId="454"/>
    <cellStyle name="60% - Accent4 4" xfId="455"/>
    <cellStyle name="60% - Accent4 5" xfId="456"/>
    <cellStyle name="60% - Accent4 6" xfId="457"/>
    <cellStyle name="60% - Accent4 7" xfId="458"/>
    <cellStyle name="60% - Accent4 8" xfId="459"/>
    <cellStyle name="60% - Accent4 9" xfId="460"/>
    <cellStyle name="60% - Accent5" xfId="461"/>
    <cellStyle name="60% - Accent5 2" xfId="462"/>
    <cellStyle name="60% - Accent5 3" xfId="463"/>
    <cellStyle name="60% - Accent5 4" xfId="464"/>
    <cellStyle name="60% - Accent5 5" xfId="465"/>
    <cellStyle name="60% - Accent5 6" xfId="466"/>
    <cellStyle name="60% - Accent5 7" xfId="467"/>
    <cellStyle name="60% - Accent5 8" xfId="468"/>
    <cellStyle name="60% - Accent5 9" xfId="469"/>
    <cellStyle name="60% - Accent6" xfId="470"/>
    <cellStyle name="60% - Accent6 2" xfId="471"/>
    <cellStyle name="60% - Accent6 3" xfId="472"/>
    <cellStyle name="60% - Accent6 4" xfId="473"/>
    <cellStyle name="60% - Accent6 5" xfId="474"/>
    <cellStyle name="60% - Accent6 6" xfId="475"/>
    <cellStyle name="60% - Accent6 7" xfId="476"/>
    <cellStyle name="60% - Accent6 8" xfId="477"/>
    <cellStyle name="60% - Accent6 9" xfId="478"/>
    <cellStyle name="60% - 强调文字颜色 1 10" xfId="479"/>
    <cellStyle name="60% - 强调文字颜色 1 2" xfId="480"/>
    <cellStyle name="60% - 强调文字颜色 1 3" xfId="481"/>
    <cellStyle name="60% - 强调文字颜色 1 3 2" xfId="482"/>
    <cellStyle name="60% - 强调文字颜色 1 3 3" xfId="483"/>
    <cellStyle name="60% - 强调文字颜色 1 3 4" xfId="484"/>
    <cellStyle name="60% - 强调文字颜色 1 3 5" xfId="485"/>
    <cellStyle name="60% - 强调文字颜色 1 3 6" xfId="486"/>
    <cellStyle name="60% - 强调文字颜色 1 3 7" xfId="487"/>
    <cellStyle name="60% - 强调文字颜色 1 4" xfId="488"/>
    <cellStyle name="60% - 强调文字颜色 1 4 2" xfId="489"/>
    <cellStyle name="60% - 强调文字颜色 1 5" xfId="490"/>
    <cellStyle name="60% - 强调文字颜色 1 5 2" xfId="491"/>
    <cellStyle name="60% - 强调文字颜色 1 6" xfId="492"/>
    <cellStyle name="60% - 强调文字颜色 1 6 2" xfId="493"/>
    <cellStyle name="60% - 强调文字颜色 1 7" xfId="494"/>
    <cellStyle name="60% - 强调文字颜色 1 7 2" xfId="495"/>
    <cellStyle name="60% - 强调文字颜色 1 8" xfId="496"/>
    <cellStyle name="60% - 强调文字颜色 1 8 2" xfId="497"/>
    <cellStyle name="60% - 强调文字颜色 1 9" xfId="498"/>
    <cellStyle name="60% - 强调文字颜色 1 9 2" xfId="499"/>
    <cellStyle name="60% - 强调文字颜色 2 10" xfId="500"/>
    <cellStyle name="60% - 强调文字颜色 2 2" xfId="501"/>
    <cellStyle name="60% - 强调文字颜色 2 3" xfId="502"/>
    <cellStyle name="60% - 强调文字颜色 2 3 2" xfId="503"/>
    <cellStyle name="60% - 强调文字颜色 2 3 3" xfId="504"/>
    <cellStyle name="60% - 强调文字颜色 2 3 4" xfId="505"/>
    <cellStyle name="60% - 强调文字颜色 2 3 5" xfId="506"/>
    <cellStyle name="60% - 强调文字颜色 2 3 6" xfId="507"/>
    <cellStyle name="60% - 强调文字颜色 2 3 7" xfId="508"/>
    <cellStyle name="60% - 强调文字颜色 2 4" xfId="509"/>
    <cellStyle name="60% - 强调文字颜色 2 4 2" xfId="510"/>
    <cellStyle name="60% - 强调文字颜色 2 5" xfId="511"/>
    <cellStyle name="60% - 强调文字颜色 2 5 2" xfId="512"/>
    <cellStyle name="60% - 强调文字颜色 2 6" xfId="513"/>
    <cellStyle name="60% - 强调文字颜色 2 6 2" xfId="514"/>
    <cellStyle name="60% - 强调文字颜色 2 7" xfId="515"/>
    <cellStyle name="60% - 强调文字颜色 2 7 2" xfId="516"/>
    <cellStyle name="60% - 强调文字颜色 2 8" xfId="517"/>
    <cellStyle name="60% - 强调文字颜色 2 8 2" xfId="518"/>
    <cellStyle name="60% - 强调文字颜色 2 9" xfId="519"/>
    <cellStyle name="60% - 强调文字颜色 2 9 2" xfId="520"/>
    <cellStyle name="60% - 强调文字颜色 3 10" xfId="521"/>
    <cellStyle name="60% - 强调文字颜色 3 2" xfId="522"/>
    <cellStyle name="60% - 强调文字颜色 3 3" xfId="523"/>
    <cellStyle name="60% - 强调文字颜色 3 3 2" xfId="524"/>
    <cellStyle name="60% - 强调文字颜色 3 3 3" xfId="525"/>
    <cellStyle name="60% - 强调文字颜色 3 3 4" xfId="526"/>
    <cellStyle name="60% - 强调文字颜色 3 3 5" xfId="527"/>
    <cellStyle name="60% - 强调文字颜色 3 3 6" xfId="528"/>
    <cellStyle name="60% - 强调文字颜色 3 3 7" xfId="529"/>
    <cellStyle name="60% - 强调文字颜色 3 4" xfId="530"/>
    <cellStyle name="60% - 强调文字颜色 3 4 2" xfId="531"/>
    <cellStyle name="60% - 强调文字颜色 3 5" xfId="532"/>
    <cellStyle name="60% - 强调文字颜色 3 5 2" xfId="533"/>
    <cellStyle name="60% - 强调文字颜色 3 6" xfId="534"/>
    <cellStyle name="60% - 强调文字颜色 3 6 2" xfId="535"/>
    <cellStyle name="60% - 强调文字颜色 3 7" xfId="536"/>
    <cellStyle name="60% - 强调文字颜色 3 7 2" xfId="537"/>
    <cellStyle name="60% - 强调文字颜色 3 8" xfId="538"/>
    <cellStyle name="60% - 强调文字颜色 3 8 2" xfId="539"/>
    <cellStyle name="60% - 强调文字颜色 3 9" xfId="540"/>
    <cellStyle name="60% - 强调文字颜色 3 9 2" xfId="541"/>
    <cellStyle name="60% - 强调文字颜色 4 10" xfId="542"/>
    <cellStyle name="60% - 强调文字颜色 4 2" xfId="543"/>
    <cellStyle name="60% - 强调文字颜色 4 3" xfId="544"/>
    <cellStyle name="60% - 强调文字颜色 4 3 2" xfId="545"/>
    <cellStyle name="60% - 强调文字颜色 4 3 3" xfId="546"/>
    <cellStyle name="60% - 强调文字颜色 4 3 4" xfId="547"/>
    <cellStyle name="60% - 强调文字颜色 4 3 5" xfId="548"/>
    <cellStyle name="60% - 强调文字颜色 4 3 6" xfId="549"/>
    <cellStyle name="60% - 强调文字颜色 4 3 7" xfId="550"/>
    <cellStyle name="60% - 强调文字颜色 4 4" xfId="551"/>
    <cellStyle name="60% - 强调文字颜色 4 4 2" xfId="552"/>
    <cellStyle name="60% - 强调文字颜色 4 5" xfId="553"/>
    <cellStyle name="60% - 强调文字颜色 4 5 2" xfId="554"/>
    <cellStyle name="60% - 强调文字颜色 4 6" xfId="555"/>
    <cellStyle name="60% - 强调文字颜色 4 6 2" xfId="556"/>
    <cellStyle name="60% - 强调文字颜色 4 7" xfId="557"/>
    <cellStyle name="60% - 强调文字颜色 4 7 2" xfId="558"/>
    <cellStyle name="60% - 强调文字颜色 4 8" xfId="559"/>
    <cellStyle name="60% - 强调文字颜色 4 8 2" xfId="560"/>
    <cellStyle name="60% - 强调文字颜色 4 9" xfId="561"/>
    <cellStyle name="60% - 强调文字颜色 4 9 2" xfId="562"/>
    <cellStyle name="60% - 强调文字颜色 5 10" xfId="563"/>
    <cellStyle name="60% - 强调文字颜色 5 2" xfId="564"/>
    <cellStyle name="60% - 强调文字颜色 5 3" xfId="565"/>
    <cellStyle name="60% - 强调文字颜色 5 3 2" xfId="566"/>
    <cellStyle name="60% - 强调文字颜色 5 3 3" xfId="567"/>
    <cellStyle name="60% - 强调文字颜色 5 3 4" xfId="568"/>
    <cellStyle name="60% - 强调文字颜色 5 3 5" xfId="569"/>
    <cellStyle name="60% - 强调文字颜色 5 3 6" xfId="570"/>
    <cellStyle name="60% - 强调文字颜色 5 3 7" xfId="571"/>
    <cellStyle name="60% - 强调文字颜色 5 4" xfId="572"/>
    <cellStyle name="60% - 强调文字颜色 5 4 2" xfId="573"/>
    <cellStyle name="60% - 强调文字颜色 5 5" xfId="574"/>
    <cellStyle name="60% - 强调文字颜色 5 5 2" xfId="575"/>
    <cellStyle name="60% - 强调文字颜色 5 6" xfId="576"/>
    <cellStyle name="60% - 强调文字颜色 5 6 2" xfId="577"/>
    <cellStyle name="60% - 强调文字颜色 5 7" xfId="578"/>
    <cellStyle name="60% - 强调文字颜色 5 7 2" xfId="579"/>
    <cellStyle name="60% - 强调文字颜色 5 8" xfId="580"/>
    <cellStyle name="60% - 强调文字颜色 5 8 2" xfId="581"/>
    <cellStyle name="60% - 强调文字颜色 5 9" xfId="582"/>
    <cellStyle name="60% - 强调文字颜色 5 9 2" xfId="583"/>
    <cellStyle name="60% - 强调文字颜色 6 10" xfId="584"/>
    <cellStyle name="60% - 强调文字颜色 6 2" xfId="585"/>
    <cellStyle name="60% - 强调文字颜色 6 3" xfId="586"/>
    <cellStyle name="60% - 强调文字颜色 6 3 2" xfId="587"/>
    <cellStyle name="60% - 强调文字颜色 6 3 3" xfId="588"/>
    <cellStyle name="60% - 强调文字颜色 6 3 4" xfId="589"/>
    <cellStyle name="60% - 强调文字颜色 6 3 5" xfId="590"/>
    <cellStyle name="60% - 强调文字颜色 6 3 6" xfId="591"/>
    <cellStyle name="60% - 强调文字颜色 6 3 7" xfId="592"/>
    <cellStyle name="60% - 强调文字颜色 6 4" xfId="593"/>
    <cellStyle name="60% - 强调文字颜色 6 4 2" xfId="594"/>
    <cellStyle name="60% - 强调文字颜色 6 5" xfId="595"/>
    <cellStyle name="60% - 强调文字颜色 6 5 2" xfId="596"/>
    <cellStyle name="60% - 强调文字颜色 6 6" xfId="597"/>
    <cellStyle name="60% - 强调文字颜色 6 6 2" xfId="598"/>
    <cellStyle name="60% - 强调文字颜色 6 7" xfId="599"/>
    <cellStyle name="60% - 强调文字颜色 6 7 2" xfId="600"/>
    <cellStyle name="60% - 强调文字颜色 6 8" xfId="601"/>
    <cellStyle name="60% - 强调文字颜色 6 8 2" xfId="602"/>
    <cellStyle name="60% - 强调文字颜色 6 9" xfId="603"/>
    <cellStyle name="60% - 强调文字颜色 6 9 2" xfId="604"/>
    <cellStyle name="6mal" xfId="605"/>
    <cellStyle name="Accent1" xfId="606"/>
    <cellStyle name="Accent1 - 20%" xfId="607"/>
    <cellStyle name="Accent1 - 20% 2" xfId="608"/>
    <cellStyle name="Accent1 - 20% 3" xfId="609"/>
    <cellStyle name="Accent1 - 20% 4" xfId="610"/>
    <cellStyle name="Accent1 - 20% 5" xfId="611"/>
    <cellStyle name="Accent1 - 20% 6" xfId="612"/>
    <cellStyle name="Accent1 - 20% 7" xfId="613"/>
    <cellStyle name="Accent1 - 20% 8" xfId="614"/>
    <cellStyle name="Accent1 - 20% 9" xfId="615"/>
    <cellStyle name="Accent1 - 40%" xfId="616"/>
    <cellStyle name="Accent1 - 40% 2" xfId="617"/>
    <cellStyle name="Accent1 - 40% 3" xfId="618"/>
    <cellStyle name="Accent1 - 40% 4" xfId="619"/>
    <cellStyle name="Accent1 - 40% 5" xfId="620"/>
    <cellStyle name="Accent1 - 40% 6" xfId="621"/>
    <cellStyle name="Accent1 - 40% 7" xfId="622"/>
    <cellStyle name="Accent1 - 40% 8" xfId="623"/>
    <cellStyle name="Accent1 - 40% 9" xfId="624"/>
    <cellStyle name="Accent1 - 60%" xfId="625"/>
    <cellStyle name="Accent1 - 60% 2" xfId="626"/>
    <cellStyle name="Accent1 - 60% 3" xfId="627"/>
    <cellStyle name="Accent1 - 60% 4" xfId="628"/>
    <cellStyle name="Accent1 - 60% 5" xfId="629"/>
    <cellStyle name="Accent1 - 60% 6" xfId="630"/>
    <cellStyle name="Accent1 - 60% 7" xfId="631"/>
    <cellStyle name="Accent1 - 60% 8" xfId="632"/>
    <cellStyle name="Accent1 - 60% 9" xfId="633"/>
    <cellStyle name="Accent1 2" xfId="634"/>
    <cellStyle name="Accent1 3" xfId="635"/>
    <cellStyle name="Accent1 4" xfId="636"/>
    <cellStyle name="Accent1 5" xfId="637"/>
    <cellStyle name="Accent1 6" xfId="638"/>
    <cellStyle name="Accent1 7" xfId="639"/>
    <cellStyle name="Accent1 8" xfId="640"/>
    <cellStyle name="Accent1 9" xfId="641"/>
    <cellStyle name="Accent1_公安安全支出补充表5.14" xfId="642"/>
    <cellStyle name="Accent2" xfId="643"/>
    <cellStyle name="Accent2 - 20%" xfId="644"/>
    <cellStyle name="Accent2 - 20% 2" xfId="645"/>
    <cellStyle name="Accent2 - 20% 3" xfId="646"/>
    <cellStyle name="Accent2 - 20% 4" xfId="647"/>
    <cellStyle name="Accent2 - 20% 5" xfId="648"/>
    <cellStyle name="Accent2 - 20% 6" xfId="649"/>
    <cellStyle name="Accent2 - 20% 7" xfId="650"/>
    <cellStyle name="Accent2 - 20% 8" xfId="651"/>
    <cellStyle name="Accent2 - 20% 9" xfId="652"/>
    <cellStyle name="Accent2 - 40%" xfId="653"/>
    <cellStyle name="Accent2 - 40% 2" xfId="654"/>
    <cellStyle name="Accent2 - 40% 3" xfId="655"/>
    <cellStyle name="Accent2 - 40% 4" xfId="656"/>
    <cellStyle name="Accent2 - 40% 5" xfId="657"/>
    <cellStyle name="Accent2 - 40% 6" xfId="658"/>
    <cellStyle name="Accent2 - 40% 7" xfId="659"/>
    <cellStyle name="Accent2 - 40% 8" xfId="660"/>
    <cellStyle name="Accent2 - 40% 9" xfId="661"/>
    <cellStyle name="Accent2 - 60%" xfId="662"/>
    <cellStyle name="Accent2 - 60% 2" xfId="663"/>
    <cellStyle name="Accent2 - 60% 3" xfId="664"/>
    <cellStyle name="Accent2 - 60% 4" xfId="665"/>
    <cellStyle name="Accent2 - 60% 5" xfId="666"/>
    <cellStyle name="Accent2 - 60% 6" xfId="667"/>
    <cellStyle name="Accent2 - 60% 7" xfId="668"/>
    <cellStyle name="Accent2 - 60% 8" xfId="669"/>
    <cellStyle name="Accent2 - 60% 9" xfId="670"/>
    <cellStyle name="Accent2 2" xfId="671"/>
    <cellStyle name="Accent2 3" xfId="672"/>
    <cellStyle name="Accent2 4" xfId="673"/>
    <cellStyle name="Accent2 5" xfId="674"/>
    <cellStyle name="Accent2 6" xfId="675"/>
    <cellStyle name="Accent2 7" xfId="676"/>
    <cellStyle name="Accent2 8" xfId="677"/>
    <cellStyle name="Accent2 9" xfId="678"/>
    <cellStyle name="Accent2_公安安全支出补充表5.14" xfId="679"/>
    <cellStyle name="Accent3" xfId="680"/>
    <cellStyle name="Accent3 - 20%" xfId="681"/>
    <cellStyle name="Accent3 - 20% 2" xfId="682"/>
    <cellStyle name="Accent3 - 20% 3" xfId="683"/>
    <cellStyle name="Accent3 - 20% 4" xfId="684"/>
    <cellStyle name="Accent3 - 20% 5" xfId="685"/>
    <cellStyle name="Accent3 - 20% 6" xfId="686"/>
    <cellStyle name="Accent3 - 20% 7" xfId="687"/>
    <cellStyle name="Accent3 - 20% 8" xfId="688"/>
    <cellStyle name="Accent3 - 20% 9" xfId="689"/>
    <cellStyle name="Accent3 - 40%" xfId="690"/>
    <cellStyle name="Accent3 - 40% 2" xfId="691"/>
    <cellStyle name="Accent3 - 40% 3" xfId="692"/>
    <cellStyle name="Accent3 - 40% 4" xfId="693"/>
    <cellStyle name="Accent3 - 40% 5" xfId="694"/>
    <cellStyle name="Accent3 - 40% 6" xfId="695"/>
    <cellStyle name="Accent3 - 40% 7" xfId="696"/>
    <cellStyle name="Accent3 - 40% 8" xfId="697"/>
    <cellStyle name="Accent3 - 40% 9" xfId="698"/>
    <cellStyle name="Accent3 - 60%" xfId="699"/>
    <cellStyle name="Accent3 - 60% 2" xfId="700"/>
    <cellStyle name="Accent3 - 60% 3" xfId="701"/>
    <cellStyle name="Accent3 - 60% 4" xfId="702"/>
    <cellStyle name="Accent3 - 60% 5" xfId="703"/>
    <cellStyle name="Accent3 - 60% 6" xfId="704"/>
    <cellStyle name="Accent3 - 60% 7" xfId="705"/>
    <cellStyle name="Accent3 - 60% 8" xfId="706"/>
    <cellStyle name="Accent3 - 60% 9" xfId="707"/>
    <cellStyle name="Accent3 2" xfId="708"/>
    <cellStyle name="Accent3 3" xfId="709"/>
    <cellStyle name="Accent3 4" xfId="710"/>
    <cellStyle name="Accent3 5" xfId="711"/>
    <cellStyle name="Accent3 6" xfId="712"/>
    <cellStyle name="Accent3 7" xfId="713"/>
    <cellStyle name="Accent3 8" xfId="714"/>
    <cellStyle name="Accent3 9" xfId="715"/>
    <cellStyle name="Accent3_公安安全支出补充表5.14" xfId="716"/>
    <cellStyle name="Accent4" xfId="717"/>
    <cellStyle name="Accent4 - 20%" xfId="718"/>
    <cellStyle name="Accent4 - 20% 2" xfId="719"/>
    <cellStyle name="Accent4 - 20% 3" xfId="720"/>
    <cellStyle name="Accent4 - 20% 4" xfId="721"/>
    <cellStyle name="Accent4 - 20% 5" xfId="722"/>
    <cellStyle name="Accent4 - 20% 6" xfId="723"/>
    <cellStyle name="Accent4 - 20% 7" xfId="724"/>
    <cellStyle name="Accent4 - 20% 8" xfId="725"/>
    <cellStyle name="Accent4 - 20% 9" xfId="726"/>
    <cellStyle name="Accent4 - 40%" xfId="727"/>
    <cellStyle name="Accent4 - 40% 2" xfId="728"/>
    <cellStyle name="Accent4 - 40% 3" xfId="729"/>
    <cellStyle name="Accent4 - 40% 4" xfId="730"/>
    <cellStyle name="Accent4 - 40% 5" xfId="731"/>
    <cellStyle name="Accent4 - 40% 6" xfId="732"/>
    <cellStyle name="Accent4 - 40% 7" xfId="733"/>
    <cellStyle name="Accent4 - 40% 8" xfId="734"/>
    <cellStyle name="Accent4 - 40% 9" xfId="735"/>
    <cellStyle name="Accent4 - 60%" xfId="736"/>
    <cellStyle name="Accent4 - 60% 2" xfId="737"/>
    <cellStyle name="Accent4 - 60% 3" xfId="738"/>
    <cellStyle name="Accent4 - 60% 4" xfId="739"/>
    <cellStyle name="Accent4 - 60% 5" xfId="740"/>
    <cellStyle name="Accent4 - 60% 6" xfId="741"/>
    <cellStyle name="Accent4 - 60% 7" xfId="742"/>
    <cellStyle name="Accent4 - 60% 8" xfId="743"/>
    <cellStyle name="Accent4 - 60% 9" xfId="744"/>
    <cellStyle name="Accent4 2" xfId="745"/>
    <cellStyle name="Accent4 3" xfId="746"/>
    <cellStyle name="Accent4 4" xfId="747"/>
    <cellStyle name="Accent4 5" xfId="748"/>
    <cellStyle name="Accent4 6" xfId="749"/>
    <cellStyle name="Accent4 7" xfId="750"/>
    <cellStyle name="Accent4 8" xfId="751"/>
    <cellStyle name="Accent4 9" xfId="752"/>
    <cellStyle name="Accent4_公安安全支出补充表5.14" xfId="753"/>
    <cellStyle name="Accent5" xfId="754"/>
    <cellStyle name="Accent5 - 20%" xfId="755"/>
    <cellStyle name="Accent5 - 20% 2" xfId="756"/>
    <cellStyle name="Accent5 - 20% 3" xfId="757"/>
    <cellStyle name="Accent5 - 20% 4" xfId="758"/>
    <cellStyle name="Accent5 - 20% 5" xfId="759"/>
    <cellStyle name="Accent5 - 20% 6" xfId="760"/>
    <cellStyle name="Accent5 - 20% 7" xfId="761"/>
    <cellStyle name="Accent5 - 20% 8" xfId="762"/>
    <cellStyle name="Accent5 - 20% 9" xfId="763"/>
    <cellStyle name="Accent5 - 40%" xfId="764"/>
    <cellStyle name="Accent5 - 40% 2" xfId="765"/>
    <cellStyle name="Accent5 - 40% 3" xfId="766"/>
    <cellStyle name="Accent5 - 40% 4" xfId="767"/>
    <cellStyle name="Accent5 - 40% 5" xfId="768"/>
    <cellStyle name="Accent5 - 40% 6" xfId="769"/>
    <cellStyle name="Accent5 - 40% 7" xfId="770"/>
    <cellStyle name="Accent5 - 40% 8" xfId="771"/>
    <cellStyle name="Accent5 - 40% 9" xfId="772"/>
    <cellStyle name="Accent5 - 60%" xfId="773"/>
    <cellStyle name="Accent5 - 60% 2" xfId="774"/>
    <cellStyle name="Accent5 - 60% 3" xfId="775"/>
    <cellStyle name="Accent5 - 60% 4" xfId="776"/>
    <cellStyle name="Accent5 - 60% 5" xfId="777"/>
    <cellStyle name="Accent5 - 60% 6" xfId="778"/>
    <cellStyle name="Accent5 - 60% 7" xfId="779"/>
    <cellStyle name="Accent5 - 60% 8" xfId="780"/>
    <cellStyle name="Accent5 - 60% 9" xfId="781"/>
    <cellStyle name="Accent5 2" xfId="782"/>
    <cellStyle name="Accent5 3" xfId="783"/>
    <cellStyle name="Accent5 4" xfId="784"/>
    <cellStyle name="Accent5 5" xfId="785"/>
    <cellStyle name="Accent5 6" xfId="786"/>
    <cellStyle name="Accent5 7" xfId="787"/>
    <cellStyle name="Accent5 8" xfId="788"/>
    <cellStyle name="Accent5 9" xfId="789"/>
    <cellStyle name="Accent5_公安安全支出补充表5.14" xfId="790"/>
    <cellStyle name="Accent6" xfId="791"/>
    <cellStyle name="Accent6 - 20%" xfId="792"/>
    <cellStyle name="Accent6 - 20% 2" xfId="793"/>
    <cellStyle name="Accent6 - 20% 3" xfId="794"/>
    <cellStyle name="Accent6 - 20% 4" xfId="795"/>
    <cellStyle name="Accent6 - 20% 5" xfId="796"/>
    <cellStyle name="Accent6 - 20% 6" xfId="797"/>
    <cellStyle name="Accent6 - 20% 7" xfId="798"/>
    <cellStyle name="Accent6 - 20% 8" xfId="799"/>
    <cellStyle name="Accent6 - 20% 9" xfId="800"/>
    <cellStyle name="Accent6 - 40%" xfId="801"/>
    <cellStyle name="Accent6 - 40% 2" xfId="802"/>
    <cellStyle name="Accent6 - 40% 3" xfId="803"/>
    <cellStyle name="Accent6 - 40% 4" xfId="804"/>
    <cellStyle name="Accent6 - 40% 5" xfId="805"/>
    <cellStyle name="Accent6 - 40% 6" xfId="806"/>
    <cellStyle name="Accent6 - 40% 7" xfId="807"/>
    <cellStyle name="Accent6 - 40% 8" xfId="808"/>
    <cellStyle name="Accent6 - 40% 9" xfId="809"/>
    <cellStyle name="Accent6 - 60%" xfId="810"/>
    <cellStyle name="Accent6 - 60% 2" xfId="811"/>
    <cellStyle name="Accent6 - 60% 3" xfId="812"/>
    <cellStyle name="Accent6 - 60% 4" xfId="813"/>
    <cellStyle name="Accent6 - 60% 5" xfId="814"/>
    <cellStyle name="Accent6 - 60% 6" xfId="815"/>
    <cellStyle name="Accent6 - 60% 7" xfId="816"/>
    <cellStyle name="Accent6 - 60% 8" xfId="817"/>
    <cellStyle name="Accent6 - 60% 9" xfId="818"/>
    <cellStyle name="Accent6 2" xfId="819"/>
    <cellStyle name="Accent6 3" xfId="820"/>
    <cellStyle name="Accent6 4" xfId="821"/>
    <cellStyle name="Accent6 5" xfId="822"/>
    <cellStyle name="Accent6 6" xfId="823"/>
    <cellStyle name="Accent6 7" xfId="824"/>
    <cellStyle name="Accent6 8" xfId="825"/>
    <cellStyle name="Accent6 9" xfId="826"/>
    <cellStyle name="Accent6_公安安全支出补充表5.14" xfId="827"/>
    <cellStyle name="args.style" xfId="828"/>
    <cellStyle name="Bad" xfId="829"/>
    <cellStyle name="Bad 2" xfId="830"/>
    <cellStyle name="Bad 3" xfId="831"/>
    <cellStyle name="Bad 4" xfId="832"/>
    <cellStyle name="Bad 5" xfId="833"/>
    <cellStyle name="Bad 6" xfId="834"/>
    <cellStyle name="Bad 7" xfId="835"/>
    <cellStyle name="Bad 8" xfId="836"/>
    <cellStyle name="Bad 9" xfId="837"/>
    <cellStyle name="Calc Currency (0)" xfId="838"/>
    <cellStyle name="Calculation" xfId="839"/>
    <cellStyle name="Calculation 2" xfId="840"/>
    <cellStyle name="Calculation 3" xfId="841"/>
    <cellStyle name="Calculation 4" xfId="842"/>
    <cellStyle name="Calculation 5" xfId="843"/>
    <cellStyle name="Calculation 6" xfId="844"/>
    <cellStyle name="Calculation 7" xfId="845"/>
    <cellStyle name="Calculation 8" xfId="846"/>
    <cellStyle name="Calculation 9" xfId="847"/>
    <cellStyle name="Check Cell" xfId="848"/>
    <cellStyle name="Check Cell 2" xfId="849"/>
    <cellStyle name="Check Cell 3" xfId="850"/>
    <cellStyle name="Check Cell 4" xfId="851"/>
    <cellStyle name="Check Cell 5" xfId="852"/>
    <cellStyle name="Check Cell 6" xfId="853"/>
    <cellStyle name="Check Cell 7" xfId="854"/>
    <cellStyle name="Check Cell 8" xfId="855"/>
    <cellStyle name="Check Cell 9" xfId="856"/>
    <cellStyle name="ColLevel_0" xfId="857"/>
    <cellStyle name="Comma [0]" xfId="858"/>
    <cellStyle name="comma zerodec" xfId="859"/>
    <cellStyle name="Comma_!!!GO" xfId="860"/>
    <cellStyle name="Currency [0]" xfId="861"/>
    <cellStyle name="Currency_!!!GO" xfId="862"/>
    <cellStyle name="Currency1" xfId="863"/>
    <cellStyle name="Date" xfId="864"/>
    <cellStyle name="Dollar (zero dec)" xfId="865"/>
    <cellStyle name="Explanatory Text" xfId="866"/>
    <cellStyle name="Explanatory Text 2" xfId="867"/>
    <cellStyle name="Explanatory Text 3" xfId="868"/>
    <cellStyle name="Explanatory Text 4" xfId="869"/>
    <cellStyle name="Explanatory Text 5" xfId="870"/>
    <cellStyle name="Explanatory Text 6" xfId="871"/>
    <cellStyle name="Explanatory Text 7" xfId="872"/>
    <cellStyle name="Explanatory Text 8" xfId="873"/>
    <cellStyle name="Explanatory Text 9" xfId="874"/>
    <cellStyle name="Fixed" xfId="875"/>
    <cellStyle name="Good" xfId="876"/>
    <cellStyle name="Good 2" xfId="877"/>
    <cellStyle name="Good 3" xfId="878"/>
    <cellStyle name="Good 4" xfId="879"/>
    <cellStyle name="Good 5" xfId="880"/>
    <cellStyle name="Good 6" xfId="881"/>
    <cellStyle name="Good 7" xfId="882"/>
    <cellStyle name="Good 8" xfId="883"/>
    <cellStyle name="Good 9" xfId="884"/>
    <cellStyle name="Grey" xfId="885"/>
    <cellStyle name="Header1" xfId="886"/>
    <cellStyle name="Header2" xfId="887"/>
    <cellStyle name="Heading 1" xfId="888"/>
    <cellStyle name="Heading 1 2" xfId="889"/>
    <cellStyle name="Heading 1 3" xfId="890"/>
    <cellStyle name="Heading 1 4" xfId="891"/>
    <cellStyle name="Heading 1 5" xfId="892"/>
    <cellStyle name="Heading 1 6" xfId="893"/>
    <cellStyle name="Heading 1 7" xfId="894"/>
    <cellStyle name="Heading 1 8" xfId="895"/>
    <cellStyle name="Heading 1 9" xfId="896"/>
    <cellStyle name="Heading 2" xfId="897"/>
    <cellStyle name="Heading 2 2" xfId="898"/>
    <cellStyle name="Heading 2 3" xfId="899"/>
    <cellStyle name="Heading 2 4" xfId="900"/>
    <cellStyle name="Heading 2 5" xfId="901"/>
    <cellStyle name="Heading 2 6" xfId="902"/>
    <cellStyle name="Heading 2 7" xfId="903"/>
    <cellStyle name="Heading 2 8" xfId="904"/>
    <cellStyle name="Heading 2 9" xfId="905"/>
    <cellStyle name="Heading 3" xfId="906"/>
    <cellStyle name="Heading 3 2" xfId="907"/>
    <cellStyle name="Heading 3 3" xfId="908"/>
    <cellStyle name="Heading 3 4" xfId="909"/>
    <cellStyle name="Heading 3 5" xfId="910"/>
    <cellStyle name="Heading 3 6" xfId="911"/>
    <cellStyle name="Heading 3 7" xfId="912"/>
    <cellStyle name="Heading 3 8" xfId="913"/>
    <cellStyle name="Heading 3 9" xfId="914"/>
    <cellStyle name="Heading 4" xfId="915"/>
    <cellStyle name="Heading 4 2" xfId="916"/>
    <cellStyle name="Heading 4 3" xfId="917"/>
    <cellStyle name="Heading 4 4" xfId="918"/>
    <cellStyle name="Heading 4 5" xfId="919"/>
    <cellStyle name="Heading 4 6" xfId="920"/>
    <cellStyle name="Heading 4 7" xfId="921"/>
    <cellStyle name="Heading 4 8" xfId="922"/>
    <cellStyle name="Heading 4 9" xfId="923"/>
    <cellStyle name="HEADING1" xfId="924"/>
    <cellStyle name="HEADING2" xfId="925"/>
    <cellStyle name="Input" xfId="926"/>
    <cellStyle name="Input [yellow]" xfId="927"/>
    <cellStyle name="Input 2" xfId="928"/>
    <cellStyle name="Input 3" xfId="929"/>
    <cellStyle name="Input 4" xfId="930"/>
    <cellStyle name="Input 5" xfId="931"/>
    <cellStyle name="Input 6" xfId="932"/>
    <cellStyle name="Input 7" xfId="933"/>
    <cellStyle name="Input 8" xfId="934"/>
    <cellStyle name="Input 9" xfId="935"/>
    <cellStyle name="Input Cells" xfId="936"/>
    <cellStyle name="Linked Cell" xfId="937"/>
    <cellStyle name="Linked Cell 2" xfId="938"/>
    <cellStyle name="Linked Cell 3" xfId="939"/>
    <cellStyle name="Linked Cell 4" xfId="940"/>
    <cellStyle name="Linked Cell 5" xfId="941"/>
    <cellStyle name="Linked Cell 6" xfId="942"/>
    <cellStyle name="Linked Cell 7" xfId="943"/>
    <cellStyle name="Linked Cell 8" xfId="944"/>
    <cellStyle name="Linked Cell 9" xfId="945"/>
    <cellStyle name="Linked Cells" xfId="946"/>
    <cellStyle name="Millares [0]_96 Risk" xfId="947"/>
    <cellStyle name="Millares_96 Risk" xfId="948"/>
    <cellStyle name="Milliers [0]_!!!GO" xfId="949"/>
    <cellStyle name="Milliers_!!!GO" xfId="950"/>
    <cellStyle name="Moneda [0]_96 Risk" xfId="951"/>
    <cellStyle name="Moneda_96 Risk" xfId="952"/>
    <cellStyle name="Mon閠aire [0]_!!!GO" xfId="953"/>
    <cellStyle name="Mon閠aire_!!!GO" xfId="954"/>
    <cellStyle name="Neutral" xfId="955"/>
    <cellStyle name="Neutral 2" xfId="956"/>
    <cellStyle name="Neutral 3" xfId="957"/>
    <cellStyle name="Neutral 4" xfId="958"/>
    <cellStyle name="Neutral 5" xfId="959"/>
    <cellStyle name="Neutral 6" xfId="960"/>
    <cellStyle name="Neutral 7" xfId="961"/>
    <cellStyle name="Neutral 8" xfId="962"/>
    <cellStyle name="Neutral 9" xfId="963"/>
    <cellStyle name="New Times Roman" xfId="964"/>
    <cellStyle name="no dec" xfId="965"/>
    <cellStyle name="Norma,_laroux_4_营业在建 (2)_E21" xfId="966"/>
    <cellStyle name="Normal - Style1" xfId="967"/>
    <cellStyle name="Normal_!!!GO" xfId="968"/>
    <cellStyle name="Normal_3H8" xfId="969"/>
    <cellStyle name="Note" xfId="970"/>
    <cellStyle name="Note 2" xfId="971"/>
    <cellStyle name="Note 3" xfId="972"/>
    <cellStyle name="Note 4" xfId="973"/>
    <cellStyle name="Note 5" xfId="974"/>
    <cellStyle name="Note 6" xfId="975"/>
    <cellStyle name="Note 7" xfId="976"/>
    <cellStyle name="Note 8" xfId="977"/>
    <cellStyle name="Note 9" xfId="978"/>
    <cellStyle name="Output" xfId="979"/>
    <cellStyle name="Output 2" xfId="980"/>
    <cellStyle name="Output 3" xfId="981"/>
    <cellStyle name="Output 4" xfId="982"/>
    <cellStyle name="Output 5" xfId="983"/>
    <cellStyle name="Output 6" xfId="984"/>
    <cellStyle name="Output 7" xfId="985"/>
    <cellStyle name="Output 8" xfId="986"/>
    <cellStyle name="Output 9" xfId="987"/>
    <cellStyle name="per.style" xfId="988"/>
    <cellStyle name="Percent [2]" xfId="989"/>
    <cellStyle name="Percent_!!!GO" xfId="990"/>
    <cellStyle name="Pourcentage_pldt" xfId="991"/>
    <cellStyle name="PSChar" xfId="992"/>
    <cellStyle name="PSDate" xfId="993"/>
    <cellStyle name="PSDec" xfId="994"/>
    <cellStyle name="PSHeading" xfId="995"/>
    <cellStyle name="PSInt" xfId="996"/>
    <cellStyle name="PSSpacer" xfId="997"/>
    <cellStyle name="RowLevel_0" xfId="998"/>
    <cellStyle name="sstot" xfId="999"/>
    <cellStyle name="Standard_AREAS" xfId="1000"/>
    <cellStyle name="t" xfId="1001"/>
    <cellStyle name="t_HVAC Equipment (3)" xfId="1002"/>
    <cellStyle name="Title" xfId="1003"/>
    <cellStyle name="Title 2" xfId="1004"/>
    <cellStyle name="Title 3" xfId="1005"/>
    <cellStyle name="Title 4" xfId="1006"/>
    <cellStyle name="Title 5" xfId="1007"/>
    <cellStyle name="Title 6" xfId="1008"/>
    <cellStyle name="Title 7" xfId="1009"/>
    <cellStyle name="Title 8" xfId="1010"/>
    <cellStyle name="Title 9" xfId="1011"/>
    <cellStyle name="Total" xfId="1012"/>
    <cellStyle name="Warning Text" xfId="1013"/>
    <cellStyle name="Warning Text 2" xfId="1014"/>
    <cellStyle name="Warning Text 3" xfId="1015"/>
    <cellStyle name="Warning Text 4" xfId="1016"/>
    <cellStyle name="Warning Text 5" xfId="1017"/>
    <cellStyle name="Warning Text 6" xfId="1018"/>
    <cellStyle name="Warning Text 7" xfId="1019"/>
    <cellStyle name="Warning Text 8" xfId="1020"/>
    <cellStyle name="Warning Text 9" xfId="1021"/>
    <cellStyle name="百分比 10" xfId="1022"/>
    <cellStyle name="百分比 10 2" xfId="1023"/>
    <cellStyle name="百分比 2" xfId="1024"/>
    <cellStyle name="百分比 2 2" xfId="1025"/>
    <cellStyle name="百分比 2 3" xfId="1026"/>
    <cellStyle name="百分比 2 4" xfId="1027"/>
    <cellStyle name="百分比 2 5" xfId="1028"/>
    <cellStyle name="百分比 2 6" xfId="1029"/>
    <cellStyle name="百分比 2 7" xfId="1030"/>
    <cellStyle name="百分比 2 8" xfId="1031"/>
    <cellStyle name="百分比 2 9" xfId="1032"/>
    <cellStyle name="百分比 3" xfId="1033"/>
    <cellStyle name="百分比 3 2" xfId="1034"/>
    <cellStyle name="百分比 3 3" xfId="1035"/>
    <cellStyle name="百分比 3 4" xfId="1036"/>
    <cellStyle name="百分比 3 5" xfId="1037"/>
    <cellStyle name="百分比 3 6" xfId="1038"/>
    <cellStyle name="百分比 3 7" xfId="1039"/>
    <cellStyle name="百分比 3 8" xfId="1040"/>
    <cellStyle name="百分比 3 9" xfId="1041"/>
    <cellStyle name="百分比 4" xfId="1042"/>
    <cellStyle name="百分比 4 2" xfId="1043"/>
    <cellStyle name="百分比 4 3" xfId="1044"/>
    <cellStyle name="百分比 4 4" xfId="1045"/>
    <cellStyle name="百分比 4 5" xfId="1046"/>
    <cellStyle name="百分比 4 6" xfId="1047"/>
    <cellStyle name="百分比 4 7" xfId="1048"/>
    <cellStyle name="百分比 4 8" xfId="1049"/>
    <cellStyle name="百分比 4 9" xfId="1050"/>
    <cellStyle name="百分比 5" xfId="1051"/>
    <cellStyle name="百分比 5 2" xfId="1052"/>
    <cellStyle name="百分比 6" xfId="1053"/>
    <cellStyle name="百分比 6 2" xfId="1054"/>
    <cellStyle name="百分比 7" xfId="1055"/>
    <cellStyle name="百分比 7 2" xfId="1056"/>
    <cellStyle name="百分比 8" xfId="1057"/>
    <cellStyle name="百分比 8 2" xfId="1058"/>
    <cellStyle name="百分比 9" xfId="1059"/>
    <cellStyle name="百分比 9 2" xfId="1060"/>
    <cellStyle name="捠壿 [0.00]_Region Orders (2)" xfId="1061"/>
    <cellStyle name="捠壿_Region Orders (2)" xfId="1062"/>
    <cellStyle name="编号" xfId="1063"/>
    <cellStyle name="标题 1 10" xfId="1064"/>
    <cellStyle name="标题 1 2" xfId="1065"/>
    <cellStyle name="标题 1 3" xfId="1066"/>
    <cellStyle name="标题 1 3 2" xfId="1067"/>
    <cellStyle name="标题 1 3 3" xfId="1068"/>
    <cellStyle name="标题 1 3 4" xfId="1069"/>
    <cellStyle name="标题 1 3 5" xfId="1070"/>
    <cellStyle name="标题 1 3 6" xfId="1071"/>
    <cellStyle name="标题 1 3 7" xfId="1072"/>
    <cellStyle name="标题 1 4" xfId="1073"/>
    <cellStyle name="标题 1 4 2" xfId="1074"/>
    <cellStyle name="标题 1 5" xfId="1075"/>
    <cellStyle name="标题 1 5 2" xfId="1076"/>
    <cellStyle name="标题 1 6" xfId="1077"/>
    <cellStyle name="标题 1 6 2" xfId="1078"/>
    <cellStyle name="标题 1 7" xfId="1079"/>
    <cellStyle name="标题 1 7 2" xfId="1080"/>
    <cellStyle name="标题 1 8" xfId="1081"/>
    <cellStyle name="标题 1 8 2" xfId="1082"/>
    <cellStyle name="标题 1 9" xfId="1083"/>
    <cellStyle name="标题 1 9 2" xfId="1084"/>
    <cellStyle name="标题 10" xfId="1085"/>
    <cellStyle name="标题 10 2" xfId="1086"/>
    <cellStyle name="标题 11" xfId="1087"/>
    <cellStyle name="标题 11 2" xfId="1088"/>
    <cellStyle name="标题 12" xfId="1089"/>
    <cellStyle name="标题 12 2" xfId="1090"/>
    <cellStyle name="标题 13" xfId="1091"/>
    <cellStyle name="标题 2 10" xfId="1092"/>
    <cellStyle name="标题 2 2" xfId="1093"/>
    <cellStyle name="标题 2 3" xfId="1094"/>
    <cellStyle name="标题 2 3 2" xfId="1095"/>
    <cellStyle name="标题 2 3 3" xfId="1096"/>
    <cellStyle name="标题 2 3 4" xfId="1097"/>
    <cellStyle name="标题 2 3 5" xfId="1098"/>
    <cellStyle name="标题 2 3 6" xfId="1099"/>
    <cellStyle name="标题 2 3 7" xfId="1100"/>
    <cellStyle name="标题 2 4" xfId="1101"/>
    <cellStyle name="标题 2 4 2" xfId="1102"/>
    <cellStyle name="标题 2 5" xfId="1103"/>
    <cellStyle name="标题 2 5 2" xfId="1104"/>
    <cellStyle name="标题 2 6" xfId="1105"/>
    <cellStyle name="标题 2 6 2" xfId="1106"/>
    <cellStyle name="标题 2 7" xfId="1107"/>
    <cellStyle name="标题 2 7 2" xfId="1108"/>
    <cellStyle name="标题 2 8" xfId="1109"/>
    <cellStyle name="标题 2 8 2" xfId="1110"/>
    <cellStyle name="标题 2 9" xfId="1111"/>
    <cellStyle name="标题 2 9 2" xfId="1112"/>
    <cellStyle name="标题 3 10" xfId="1113"/>
    <cellStyle name="标题 3 2" xfId="1114"/>
    <cellStyle name="标题 3 3" xfId="1115"/>
    <cellStyle name="标题 3 3 2" xfId="1116"/>
    <cellStyle name="标题 3 3 3" xfId="1117"/>
    <cellStyle name="标题 3 3 4" xfId="1118"/>
    <cellStyle name="标题 3 3 5" xfId="1119"/>
    <cellStyle name="标题 3 3 6" xfId="1120"/>
    <cellStyle name="标题 3 3 7" xfId="1121"/>
    <cellStyle name="标题 3 4" xfId="1122"/>
    <cellStyle name="标题 3 4 2" xfId="1123"/>
    <cellStyle name="标题 3 5" xfId="1124"/>
    <cellStyle name="标题 3 5 2" xfId="1125"/>
    <cellStyle name="标题 3 6" xfId="1126"/>
    <cellStyle name="标题 3 6 2" xfId="1127"/>
    <cellStyle name="标题 3 7" xfId="1128"/>
    <cellStyle name="标题 3 7 2" xfId="1129"/>
    <cellStyle name="标题 3 8" xfId="1130"/>
    <cellStyle name="标题 3 8 2" xfId="1131"/>
    <cellStyle name="标题 3 9" xfId="1132"/>
    <cellStyle name="标题 3 9 2" xfId="1133"/>
    <cellStyle name="标题 4 10" xfId="1134"/>
    <cellStyle name="标题 4 2" xfId="1135"/>
    <cellStyle name="标题 4 3" xfId="1136"/>
    <cellStyle name="标题 4 3 2" xfId="1137"/>
    <cellStyle name="标题 4 3 3" xfId="1138"/>
    <cellStyle name="标题 4 3 4" xfId="1139"/>
    <cellStyle name="标题 4 3 5" xfId="1140"/>
    <cellStyle name="标题 4 3 6" xfId="1141"/>
    <cellStyle name="标题 4 3 7" xfId="1142"/>
    <cellStyle name="标题 4 4" xfId="1143"/>
    <cellStyle name="标题 4 4 2" xfId="1144"/>
    <cellStyle name="标题 4 5" xfId="1145"/>
    <cellStyle name="标题 4 5 2" xfId="1146"/>
    <cellStyle name="标题 4 6" xfId="1147"/>
    <cellStyle name="标题 4 6 2" xfId="1148"/>
    <cellStyle name="标题 4 7" xfId="1149"/>
    <cellStyle name="标题 4 7 2" xfId="1150"/>
    <cellStyle name="标题 4 8" xfId="1151"/>
    <cellStyle name="标题 4 8 2" xfId="1152"/>
    <cellStyle name="标题 4 9" xfId="1153"/>
    <cellStyle name="标题 4 9 2" xfId="1154"/>
    <cellStyle name="标题 5" xfId="1155"/>
    <cellStyle name="标题 5 2" xfId="1156"/>
    <cellStyle name="标题 5 3" xfId="1157"/>
    <cellStyle name="标题 5 4" xfId="1158"/>
    <cellStyle name="标题 5 5" xfId="1159"/>
    <cellStyle name="标题 5 6" xfId="1160"/>
    <cellStyle name="标题 5 7" xfId="1161"/>
    <cellStyle name="标题 5 8" xfId="1162"/>
    <cellStyle name="标题 5 9" xfId="1163"/>
    <cellStyle name="标题 6" xfId="1164"/>
    <cellStyle name="标题 6 2" xfId="1165"/>
    <cellStyle name="标题 6 3" xfId="1166"/>
    <cellStyle name="标题 6 4" xfId="1167"/>
    <cellStyle name="标题 6 5" xfId="1168"/>
    <cellStyle name="标题 6 6" xfId="1169"/>
    <cellStyle name="标题 6 7" xfId="1170"/>
    <cellStyle name="标题 7" xfId="1171"/>
    <cellStyle name="标题 7 2" xfId="1172"/>
    <cellStyle name="标题 8" xfId="1173"/>
    <cellStyle name="标题 8 2" xfId="1174"/>
    <cellStyle name="标题 9" xfId="1175"/>
    <cellStyle name="标题 9 2" xfId="1176"/>
    <cellStyle name="标题1" xfId="1177"/>
    <cellStyle name="表标题" xfId="1178"/>
    <cellStyle name="表标题 2" xfId="1179"/>
    <cellStyle name="表标题 3" xfId="1180"/>
    <cellStyle name="表标题 4" xfId="1181"/>
    <cellStyle name="表标题 5" xfId="1182"/>
    <cellStyle name="表标题 6" xfId="1183"/>
    <cellStyle name="表标题 7" xfId="1184"/>
    <cellStyle name="表标题 8" xfId="1185"/>
    <cellStyle name="表标题 9" xfId="1186"/>
    <cellStyle name="部门" xfId="1187"/>
    <cellStyle name="差 10" xfId="1188"/>
    <cellStyle name="差 2" xfId="1189"/>
    <cellStyle name="差 3" xfId="1190"/>
    <cellStyle name="差 3 2" xfId="1191"/>
    <cellStyle name="差 3 3" xfId="1192"/>
    <cellStyle name="差 3 4" xfId="1193"/>
    <cellStyle name="差 3 5" xfId="1194"/>
    <cellStyle name="差 3 6" xfId="1195"/>
    <cellStyle name="差 3 7" xfId="1196"/>
    <cellStyle name="差 4" xfId="1197"/>
    <cellStyle name="差 4 2" xfId="1198"/>
    <cellStyle name="差 5" xfId="1199"/>
    <cellStyle name="差 5 2" xfId="1200"/>
    <cellStyle name="差 6" xfId="1201"/>
    <cellStyle name="差 6 2" xfId="1202"/>
    <cellStyle name="差 7" xfId="1203"/>
    <cellStyle name="差 7 2" xfId="1204"/>
    <cellStyle name="差 8" xfId="1205"/>
    <cellStyle name="差 8 2" xfId="1206"/>
    <cellStyle name="差 9" xfId="1207"/>
    <cellStyle name="差 9 2" xfId="1208"/>
    <cellStyle name="差_~4190974" xfId="1209"/>
    <cellStyle name="差_~4190974 2" xfId="1210"/>
    <cellStyle name="差_~4190974 3" xfId="1211"/>
    <cellStyle name="差_~4190974 4" xfId="1212"/>
    <cellStyle name="差_~4190974 5" xfId="1213"/>
    <cellStyle name="差_~4190974 6" xfId="1214"/>
    <cellStyle name="差_~4190974 7" xfId="1215"/>
    <cellStyle name="差_~4190974 8" xfId="1216"/>
    <cellStyle name="差_~4190974 9" xfId="1217"/>
    <cellStyle name="差_~5676413" xfId="1218"/>
    <cellStyle name="差_~5676413 2" xfId="1219"/>
    <cellStyle name="差_~5676413 3" xfId="1220"/>
    <cellStyle name="差_~5676413 4" xfId="1221"/>
    <cellStyle name="差_~5676413 5" xfId="1222"/>
    <cellStyle name="差_~5676413 6" xfId="1223"/>
    <cellStyle name="差_~5676413 7" xfId="1224"/>
    <cellStyle name="差_~5676413 8" xfId="1225"/>
    <cellStyle name="差_~5676413 9" xfId="1226"/>
    <cellStyle name="差_00省级(打印)" xfId="1227"/>
    <cellStyle name="差_00省级(打印) 2" xfId="1228"/>
    <cellStyle name="差_00省级(打印) 3" xfId="1229"/>
    <cellStyle name="差_00省级(打印) 4" xfId="1230"/>
    <cellStyle name="差_00省级(打印) 5" xfId="1231"/>
    <cellStyle name="差_00省级(打印) 6" xfId="1232"/>
    <cellStyle name="差_00省级(打印) 7" xfId="1233"/>
    <cellStyle name="差_00省级(打印) 8" xfId="1234"/>
    <cellStyle name="差_00省级(打印) 9" xfId="1235"/>
    <cellStyle name="差_00省级(定稿)" xfId="1236"/>
    <cellStyle name="差_00省级(定稿) 2" xfId="1237"/>
    <cellStyle name="差_00省级(定稿) 3" xfId="1238"/>
    <cellStyle name="差_00省级(定稿) 4" xfId="1239"/>
    <cellStyle name="差_00省级(定稿) 5" xfId="1240"/>
    <cellStyle name="差_00省级(定稿) 6" xfId="1241"/>
    <cellStyle name="差_00省级(定稿) 7" xfId="1242"/>
    <cellStyle name="差_00省级(定稿) 8" xfId="1243"/>
    <cellStyle name="差_00省级(定稿) 9" xfId="1244"/>
    <cellStyle name="差_03昭通" xfId="1245"/>
    <cellStyle name="差_03昭通 2" xfId="1246"/>
    <cellStyle name="差_03昭通 3" xfId="1247"/>
    <cellStyle name="差_03昭通 4" xfId="1248"/>
    <cellStyle name="差_03昭通 5" xfId="1249"/>
    <cellStyle name="差_03昭通 6" xfId="1250"/>
    <cellStyle name="差_03昭通 7" xfId="1251"/>
    <cellStyle name="差_03昭通 8" xfId="1252"/>
    <cellStyle name="差_03昭通 9" xfId="1253"/>
    <cellStyle name="差_0502通海县" xfId="1254"/>
    <cellStyle name="差_0502通海县 2" xfId="1255"/>
    <cellStyle name="差_0502通海县 3" xfId="1256"/>
    <cellStyle name="差_0502通海县 4" xfId="1257"/>
    <cellStyle name="差_0502通海县 5" xfId="1258"/>
    <cellStyle name="差_0502通海县 6" xfId="1259"/>
    <cellStyle name="差_0502通海县 7" xfId="1260"/>
    <cellStyle name="差_0502通海县 8" xfId="1261"/>
    <cellStyle name="差_0502通海县 9" xfId="1262"/>
    <cellStyle name="差_05玉溪" xfId="1263"/>
    <cellStyle name="差_05玉溪 2" xfId="1264"/>
    <cellStyle name="差_05玉溪 3" xfId="1265"/>
    <cellStyle name="差_05玉溪 4" xfId="1266"/>
    <cellStyle name="差_05玉溪 5" xfId="1267"/>
    <cellStyle name="差_05玉溪 6" xfId="1268"/>
    <cellStyle name="差_05玉溪 7" xfId="1269"/>
    <cellStyle name="差_05玉溪 8" xfId="1270"/>
    <cellStyle name="差_05玉溪 9" xfId="1271"/>
    <cellStyle name="差_0605石屏县" xfId="1272"/>
    <cellStyle name="差_0605石屏县 2" xfId="1273"/>
    <cellStyle name="差_0605石屏县 3" xfId="1274"/>
    <cellStyle name="差_0605石屏县 4" xfId="1275"/>
    <cellStyle name="差_0605石屏县 5" xfId="1276"/>
    <cellStyle name="差_0605石屏县 6" xfId="1277"/>
    <cellStyle name="差_0605石屏县 7" xfId="1278"/>
    <cellStyle name="差_0605石屏县 8" xfId="1279"/>
    <cellStyle name="差_0605石屏县 9" xfId="1280"/>
    <cellStyle name="差_1003牟定县" xfId="1281"/>
    <cellStyle name="差_1003牟定县 2" xfId="1282"/>
    <cellStyle name="差_1003牟定县 3" xfId="1283"/>
    <cellStyle name="差_1003牟定县 4" xfId="1284"/>
    <cellStyle name="差_1003牟定县 5" xfId="1285"/>
    <cellStyle name="差_1003牟定县 6" xfId="1286"/>
    <cellStyle name="差_1003牟定县 7" xfId="1287"/>
    <cellStyle name="差_1003牟定县 8" xfId="1288"/>
    <cellStyle name="差_1003牟定县 9" xfId="1289"/>
    <cellStyle name="差_1110洱源县" xfId="1290"/>
    <cellStyle name="差_1110洱源县 2" xfId="1291"/>
    <cellStyle name="差_1110洱源县 3" xfId="1292"/>
    <cellStyle name="差_1110洱源县 4" xfId="1293"/>
    <cellStyle name="差_1110洱源县 5" xfId="1294"/>
    <cellStyle name="差_1110洱源县 6" xfId="1295"/>
    <cellStyle name="差_1110洱源县 7" xfId="1296"/>
    <cellStyle name="差_1110洱源县 8" xfId="1297"/>
    <cellStyle name="差_1110洱源县 9" xfId="1298"/>
    <cellStyle name="差_11大理" xfId="1299"/>
    <cellStyle name="差_11大理 2" xfId="1300"/>
    <cellStyle name="差_11大理 3" xfId="1301"/>
    <cellStyle name="差_11大理 4" xfId="1302"/>
    <cellStyle name="差_11大理 5" xfId="1303"/>
    <cellStyle name="差_11大理 6" xfId="1304"/>
    <cellStyle name="差_11大理 7" xfId="1305"/>
    <cellStyle name="差_11大理 8" xfId="1306"/>
    <cellStyle name="差_11大理 9" xfId="1307"/>
    <cellStyle name="差_2、土地面积、人口、粮食产量基本情况" xfId="1308"/>
    <cellStyle name="差_2、土地面积、人口、粮食产量基本情况 2" xfId="1309"/>
    <cellStyle name="差_2、土地面积、人口、粮食产量基本情况 3" xfId="1310"/>
    <cellStyle name="差_2、土地面积、人口、粮食产量基本情况 4" xfId="1311"/>
    <cellStyle name="差_2、土地面积、人口、粮食产量基本情况 5" xfId="1312"/>
    <cellStyle name="差_2、土地面积、人口、粮食产量基本情况 6" xfId="1313"/>
    <cellStyle name="差_2、土地面积、人口、粮食产量基本情况 7" xfId="1314"/>
    <cellStyle name="差_2、土地面积、人口、粮食产量基本情况 8" xfId="1315"/>
    <cellStyle name="差_2、土地面积、人口、粮食产量基本情况 9" xfId="1316"/>
    <cellStyle name="差_2006年分析表" xfId="1317"/>
    <cellStyle name="差_2006年基础数据" xfId="1318"/>
    <cellStyle name="差_2006年基础数据 2" xfId="1319"/>
    <cellStyle name="差_2006年基础数据 3" xfId="1320"/>
    <cellStyle name="差_2006年基础数据 4" xfId="1321"/>
    <cellStyle name="差_2006年基础数据 5" xfId="1322"/>
    <cellStyle name="差_2006年基础数据 6" xfId="1323"/>
    <cellStyle name="差_2006年基础数据 7" xfId="1324"/>
    <cellStyle name="差_2006年基础数据 8" xfId="1325"/>
    <cellStyle name="差_2006年基础数据 9" xfId="1326"/>
    <cellStyle name="差_2006年全省财力计算表（中央、决算）" xfId="1327"/>
    <cellStyle name="差_2006年全省财力计算表（中央、决算） 2" xfId="1328"/>
    <cellStyle name="差_2006年全省财力计算表（中央、决算） 3" xfId="1329"/>
    <cellStyle name="差_2006年全省财力计算表（中央、决算） 4" xfId="1330"/>
    <cellStyle name="差_2006年全省财力计算表（中央、决算） 5" xfId="1331"/>
    <cellStyle name="差_2006年全省财力计算表（中央、决算） 6" xfId="1332"/>
    <cellStyle name="差_2006年全省财力计算表（中央、决算） 7" xfId="1333"/>
    <cellStyle name="差_2006年全省财力计算表（中央、决算） 8" xfId="1334"/>
    <cellStyle name="差_2006年全省财力计算表（中央、决算） 9" xfId="1335"/>
    <cellStyle name="差_2006年水利统计指标统计表" xfId="1336"/>
    <cellStyle name="差_2006年水利统计指标统计表 2" xfId="1337"/>
    <cellStyle name="差_2006年水利统计指标统计表 3" xfId="1338"/>
    <cellStyle name="差_2006年水利统计指标统计表 4" xfId="1339"/>
    <cellStyle name="差_2006年水利统计指标统计表 5" xfId="1340"/>
    <cellStyle name="差_2006年水利统计指标统计表 6" xfId="1341"/>
    <cellStyle name="差_2006年水利统计指标统计表 7" xfId="1342"/>
    <cellStyle name="差_2006年水利统计指标统计表 8" xfId="1343"/>
    <cellStyle name="差_2006年水利统计指标统计表 9" xfId="1344"/>
    <cellStyle name="差_2006年在职人员情况" xfId="1345"/>
    <cellStyle name="差_2006年在职人员情况 2" xfId="1346"/>
    <cellStyle name="差_2006年在职人员情况 3" xfId="1347"/>
    <cellStyle name="差_2006年在职人员情况 4" xfId="1348"/>
    <cellStyle name="差_2006年在职人员情况 5" xfId="1349"/>
    <cellStyle name="差_2006年在职人员情况 6" xfId="1350"/>
    <cellStyle name="差_2006年在职人员情况 7" xfId="1351"/>
    <cellStyle name="差_2006年在职人员情况 8" xfId="1352"/>
    <cellStyle name="差_2006年在职人员情况 9" xfId="1353"/>
    <cellStyle name="差_2007年检察院案件数" xfId="1354"/>
    <cellStyle name="差_2007年检察院案件数 2" xfId="1355"/>
    <cellStyle name="差_2007年检察院案件数 3" xfId="1356"/>
    <cellStyle name="差_2007年检察院案件数 4" xfId="1357"/>
    <cellStyle name="差_2007年检察院案件数 5" xfId="1358"/>
    <cellStyle name="差_2007年检察院案件数 6" xfId="1359"/>
    <cellStyle name="差_2007年检察院案件数 7" xfId="1360"/>
    <cellStyle name="差_2007年检察院案件数 8" xfId="1361"/>
    <cellStyle name="差_2007年检察院案件数 9" xfId="1362"/>
    <cellStyle name="差_2007年可用财力" xfId="1363"/>
    <cellStyle name="差_2007年人员分部门统计表" xfId="1364"/>
    <cellStyle name="差_2007年人员分部门统计表 2" xfId="1365"/>
    <cellStyle name="差_2007年人员分部门统计表 3" xfId="1366"/>
    <cellStyle name="差_2007年人员分部门统计表 4" xfId="1367"/>
    <cellStyle name="差_2007年人员分部门统计表 5" xfId="1368"/>
    <cellStyle name="差_2007年人员分部门统计表 6" xfId="1369"/>
    <cellStyle name="差_2007年人员分部门统计表 7" xfId="1370"/>
    <cellStyle name="差_2007年人员分部门统计表 8" xfId="1371"/>
    <cellStyle name="差_2007年人员分部门统计表 9" xfId="1372"/>
    <cellStyle name="差_2007年政法部门业务指标" xfId="1373"/>
    <cellStyle name="差_2007年政法部门业务指标 2" xfId="1374"/>
    <cellStyle name="差_2007年政法部门业务指标 3" xfId="1375"/>
    <cellStyle name="差_2007年政法部门业务指标 4" xfId="1376"/>
    <cellStyle name="差_2007年政法部门业务指标 5" xfId="1377"/>
    <cellStyle name="差_2007年政法部门业务指标 6" xfId="1378"/>
    <cellStyle name="差_2007年政法部门业务指标 7" xfId="1379"/>
    <cellStyle name="差_2007年政法部门业务指标 8" xfId="1380"/>
    <cellStyle name="差_2007年政法部门业务指标 9" xfId="1381"/>
    <cellStyle name="差_2008年县级公安保障标准落实奖励经费分配测算" xfId="1382"/>
    <cellStyle name="差_2008云南省分县市中小学教职工统计表（教育厅提供）" xfId="1383"/>
    <cellStyle name="差_2008云南省分县市中小学教职工统计表（教育厅提供） 2" xfId="1384"/>
    <cellStyle name="差_2008云南省分县市中小学教职工统计表（教育厅提供） 3" xfId="1385"/>
    <cellStyle name="差_2008云南省分县市中小学教职工统计表（教育厅提供） 4" xfId="1386"/>
    <cellStyle name="差_2008云南省分县市中小学教职工统计表（教育厅提供） 5" xfId="1387"/>
    <cellStyle name="差_2008云南省分县市中小学教职工统计表（教育厅提供） 6" xfId="1388"/>
    <cellStyle name="差_2008云南省分县市中小学教职工统计表（教育厅提供） 7" xfId="1389"/>
    <cellStyle name="差_2008云南省分县市中小学教职工统计表（教育厅提供） 8" xfId="1390"/>
    <cellStyle name="差_2008云南省分县市中小学教职工统计表（教育厅提供） 9" xfId="1391"/>
    <cellStyle name="差_2009年一般性转移支付标准工资" xfId="1392"/>
    <cellStyle name="差_2009年一般性转移支付标准工资 2" xfId="1393"/>
    <cellStyle name="差_2009年一般性转移支付标准工资 3" xfId="1394"/>
    <cellStyle name="差_2009年一般性转移支付标准工资 4" xfId="1395"/>
    <cellStyle name="差_2009年一般性转移支付标准工资 5" xfId="1396"/>
    <cellStyle name="差_2009年一般性转移支付标准工资 6" xfId="1397"/>
    <cellStyle name="差_2009年一般性转移支付标准工资 7" xfId="1398"/>
    <cellStyle name="差_2009年一般性转移支付标准工资 8" xfId="1399"/>
    <cellStyle name="差_2009年一般性转移支付标准工资 9" xfId="1400"/>
    <cellStyle name="差_2009年一般性转移支付标准工资_~4190974" xfId="1401"/>
    <cellStyle name="差_2009年一般性转移支付标准工资_~4190974 2" xfId="1402"/>
    <cellStyle name="差_2009年一般性转移支付标准工资_~4190974 3" xfId="1403"/>
    <cellStyle name="差_2009年一般性转移支付标准工资_~4190974 4" xfId="1404"/>
    <cellStyle name="差_2009年一般性转移支付标准工资_~4190974 5" xfId="1405"/>
    <cellStyle name="差_2009年一般性转移支付标准工资_~4190974 6" xfId="1406"/>
    <cellStyle name="差_2009年一般性转移支付标准工资_~4190974 7" xfId="1407"/>
    <cellStyle name="差_2009年一般性转移支付标准工资_~4190974 8" xfId="1408"/>
    <cellStyle name="差_2009年一般性转移支付标准工资_~4190974 9" xfId="1409"/>
    <cellStyle name="差_2009年一般性转移支付标准工资_~5676413" xfId="1410"/>
    <cellStyle name="差_2009年一般性转移支付标准工资_~5676413 2" xfId="1411"/>
    <cellStyle name="差_2009年一般性转移支付标准工资_~5676413 3" xfId="1412"/>
    <cellStyle name="差_2009年一般性转移支付标准工资_~5676413 4" xfId="1413"/>
    <cellStyle name="差_2009年一般性转移支付标准工资_~5676413 5" xfId="1414"/>
    <cellStyle name="差_2009年一般性转移支付标准工资_~5676413 6" xfId="1415"/>
    <cellStyle name="差_2009年一般性转移支付标准工资_~5676413 7" xfId="1416"/>
    <cellStyle name="差_2009年一般性转移支付标准工资_~5676413 8" xfId="1417"/>
    <cellStyle name="差_2009年一般性转移支付标准工资_~5676413 9" xfId="1418"/>
    <cellStyle name="差_2009年一般性转移支付标准工资_不用软件计算9.1不考虑经费管理评价xl" xfId="1419"/>
    <cellStyle name="差_2009年一般性转移支付标准工资_不用软件计算9.1不考虑经费管理评价xl 2" xfId="1420"/>
    <cellStyle name="差_2009年一般性转移支付标准工资_不用软件计算9.1不考虑经费管理评价xl 3" xfId="1421"/>
    <cellStyle name="差_2009年一般性转移支付标准工资_不用软件计算9.1不考虑经费管理评价xl 4" xfId="1422"/>
    <cellStyle name="差_2009年一般性转移支付标准工资_不用软件计算9.1不考虑经费管理评价xl 5" xfId="1423"/>
    <cellStyle name="差_2009年一般性转移支付标准工资_不用软件计算9.1不考虑经费管理评价xl 6" xfId="1424"/>
    <cellStyle name="差_2009年一般性转移支付标准工资_不用软件计算9.1不考虑经费管理评价xl 7" xfId="1425"/>
    <cellStyle name="差_2009年一般性转移支付标准工资_不用软件计算9.1不考虑经费管理评价xl 8" xfId="1426"/>
    <cellStyle name="差_2009年一般性转移支付标准工资_不用软件计算9.1不考虑经费管理评价xl 9" xfId="1427"/>
    <cellStyle name="差_2009年一般性转移支付标准工资_地方配套按人均增幅控制8.30xl" xfId="1428"/>
    <cellStyle name="差_2009年一般性转移支付标准工资_地方配套按人均增幅控制8.30xl 2" xfId="1429"/>
    <cellStyle name="差_2009年一般性转移支付标准工资_地方配套按人均增幅控制8.30xl 3" xfId="1430"/>
    <cellStyle name="差_2009年一般性转移支付标准工资_地方配套按人均增幅控制8.30xl 4" xfId="1431"/>
    <cellStyle name="差_2009年一般性转移支付标准工资_地方配套按人均增幅控制8.30xl 5" xfId="1432"/>
    <cellStyle name="差_2009年一般性转移支付标准工资_地方配套按人均增幅控制8.30xl 6" xfId="1433"/>
    <cellStyle name="差_2009年一般性转移支付标准工资_地方配套按人均增幅控制8.30xl 7" xfId="1434"/>
    <cellStyle name="差_2009年一般性转移支付标准工资_地方配套按人均增幅控制8.30xl 8" xfId="1435"/>
    <cellStyle name="差_2009年一般性转移支付标准工资_地方配套按人均增幅控制8.30xl 9" xfId="1436"/>
    <cellStyle name="差_2009年一般性转移支付标准工资_地方配套按人均增幅控制8.30一般预算平均增幅、人均可用财力平均增幅两次控制、社会治安系数调整、案件数调整xl" xfId="1437"/>
    <cellStyle name="差_2009年一般性转移支付标准工资_地方配套按人均增幅控制8.30一般预算平均增幅、人均可用财力平均增幅两次控制、社会治安系数调整、案件数调整xl 2" xfId="1438"/>
    <cellStyle name="差_2009年一般性转移支付标准工资_地方配套按人均增幅控制8.30一般预算平均增幅、人均可用财力平均增幅两次控制、社会治安系数调整、案件数调整xl 3" xfId="1439"/>
    <cellStyle name="差_2009年一般性转移支付标准工资_地方配套按人均增幅控制8.30一般预算平均增幅、人均可用财力平均增幅两次控制、社会治安系数调整、案件数调整xl 4" xfId="1440"/>
    <cellStyle name="差_2009年一般性转移支付标准工资_地方配套按人均增幅控制8.30一般预算平均增幅、人均可用财力平均增幅两次控制、社会治安系数调整、案件数调整xl 5" xfId="1441"/>
    <cellStyle name="差_2009年一般性转移支付标准工资_地方配套按人均增幅控制8.30一般预算平均增幅、人均可用财力平均增幅两次控制、社会治安系数调整、案件数调整xl 6" xfId="1442"/>
    <cellStyle name="差_2009年一般性转移支付标准工资_地方配套按人均增幅控制8.30一般预算平均增幅、人均可用财力平均增幅两次控制、社会治安系数调整、案件数调整xl 7" xfId="1443"/>
    <cellStyle name="差_2009年一般性转移支付标准工资_地方配套按人均增幅控制8.30一般预算平均增幅、人均可用财力平均增幅两次控制、社会治安系数调整、案件数调整xl 8" xfId="1444"/>
    <cellStyle name="差_2009年一般性转移支付标准工资_地方配套按人均增幅控制8.30一般预算平均增幅、人均可用财力平均增幅两次控制、社会治安系数调整、案件数调整xl 9" xfId="1445"/>
    <cellStyle name="差_2009年一般性转移支付标准工资_地方配套按人均增幅控制8.31（调整结案率后）xl" xfId="1446"/>
    <cellStyle name="差_2009年一般性转移支付标准工资_地方配套按人均增幅控制8.31（调整结案率后）xl 2" xfId="1447"/>
    <cellStyle name="差_2009年一般性转移支付标准工资_地方配套按人均增幅控制8.31（调整结案率后）xl 3" xfId="1448"/>
    <cellStyle name="差_2009年一般性转移支付标准工资_地方配套按人均增幅控制8.31（调整结案率后）xl 4" xfId="1449"/>
    <cellStyle name="差_2009年一般性转移支付标准工资_地方配套按人均增幅控制8.31（调整结案率后）xl 5" xfId="1450"/>
    <cellStyle name="差_2009年一般性转移支付标准工资_地方配套按人均增幅控制8.31（调整结案率后）xl 6" xfId="1451"/>
    <cellStyle name="差_2009年一般性转移支付标准工资_地方配套按人均增幅控制8.31（调整结案率后）xl 7" xfId="1452"/>
    <cellStyle name="差_2009年一般性转移支付标准工资_地方配套按人均增幅控制8.31（调整结案率后）xl 8" xfId="1453"/>
    <cellStyle name="差_2009年一般性转移支付标准工资_地方配套按人均增幅控制8.31（调整结案率后）xl 9" xfId="1454"/>
    <cellStyle name="差_2009年一般性转移支付标准工资_奖励补助测算5.22测试" xfId="1455"/>
    <cellStyle name="差_2009年一般性转移支付标准工资_奖励补助测算5.22测试 2" xfId="1456"/>
    <cellStyle name="差_2009年一般性转移支付标准工资_奖励补助测算5.22测试 3" xfId="1457"/>
    <cellStyle name="差_2009年一般性转移支付标准工资_奖励补助测算5.22测试 4" xfId="1458"/>
    <cellStyle name="差_2009年一般性转移支付标准工资_奖励补助测算5.22测试 5" xfId="1459"/>
    <cellStyle name="差_2009年一般性转移支付标准工资_奖励补助测算5.22测试 6" xfId="1460"/>
    <cellStyle name="差_2009年一般性转移支付标准工资_奖励补助测算5.22测试 7" xfId="1461"/>
    <cellStyle name="差_2009年一般性转移支付标准工资_奖励补助测算5.22测试 8" xfId="1462"/>
    <cellStyle name="差_2009年一般性转移支付标准工资_奖励补助测算5.22测试 9" xfId="1463"/>
    <cellStyle name="差_2009年一般性转移支付标准工资_奖励补助测算5.23新" xfId="1464"/>
    <cellStyle name="差_2009年一般性转移支付标准工资_奖励补助测算5.23新 2" xfId="1465"/>
    <cellStyle name="差_2009年一般性转移支付标准工资_奖励补助测算5.23新 3" xfId="1466"/>
    <cellStyle name="差_2009年一般性转移支付标准工资_奖励补助测算5.23新 4" xfId="1467"/>
    <cellStyle name="差_2009年一般性转移支付标准工资_奖励补助测算5.23新 5" xfId="1468"/>
    <cellStyle name="差_2009年一般性转移支付标准工资_奖励补助测算5.23新 6" xfId="1469"/>
    <cellStyle name="差_2009年一般性转移支付标准工资_奖励补助测算5.23新 7" xfId="1470"/>
    <cellStyle name="差_2009年一般性转移支付标准工资_奖励补助测算5.23新 8" xfId="1471"/>
    <cellStyle name="差_2009年一般性转移支付标准工资_奖励补助测算5.23新 9" xfId="1472"/>
    <cellStyle name="差_2009年一般性转移支付标准工资_奖励补助测算5.24冯铸" xfId="1473"/>
    <cellStyle name="差_2009年一般性转移支付标准工资_奖励补助测算5.24冯铸 2" xfId="1474"/>
    <cellStyle name="差_2009年一般性转移支付标准工资_奖励补助测算5.24冯铸 3" xfId="1475"/>
    <cellStyle name="差_2009年一般性转移支付标准工资_奖励补助测算5.24冯铸 4" xfId="1476"/>
    <cellStyle name="差_2009年一般性转移支付标准工资_奖励补助测算5.24冯铸 5" xfId="1477"/>
    <cellStyle name="差_2009年一般性转移支付标准工资_奖励补助测算5.24冯铸 6" xfId="1478"/>
    <cellStyle name="差_2009年一般性转移支付标准工资_奖励补助测算5.24冯铸 7" xfId="1479"/>
    <cellStyle name="差_2009年一般性转移支付标准工资_奖励补助测算5.24冯铸 8" xfId="1480"/>
    <cellStyle name="差_2009年一般性转移支付标准工资_奖励补助测算5.24冯铸 9" xfId="1481"/>
    <cellStyle name="差_2009年一般性转移支付标准工资_奖励补助测算7.23" xfId="1482"/>
    <cellStyle name="差_2009年一般性转移支付标准工资_奖励补助测算7.23 2" xfId="1483"/>
    <cellStyle name="差_2009年一般性转移支付标准工资_奖励补助测算7.23 3" xfId="1484"/>
    <cellStyle name="差_2009年一般性转移支付标准工资_奖励补助测算7.23 4" xfId="1485"/>
    <cellStyle name="差_2009年一般性转移支付标准工资_奖励补助测算7.23 5" xfId="1486"/>
    <cellStyle name="差_2009年一般性转移支付标准工资_奖励补助测算7.23 6" xfId="1487"/>
    <cellStyle name="差_2009年一般性转移支付标准工资_奖励补助测算7.23 7" xfId="1488"/>
    <cellStyle name="差_2009年一般性转移支付标准工资_奖励补助测算7.23 8" xfId="1489"/>
    <cellStyle name="差_2009年一般性转移支付标准工资_奖励补助测算7.23 9" xfId="1490"/>
    <cellStyle name="差_2009年一般性转移支付标准工资_奖励补助测算7.25" xfId="1491"/>
    <cellStyle name="差_2009年一般性转移支付标准工资_奖励补助测算7.25 (version 1) (version 1)" xfId="1492"/>
    <cellStyle name="差_2009年一般性转移支付标准工资_奖励补助测算7.25 (version 1) (version 1) 2" xfId="1493"/>
    <cellStyle name="差_2009年一般性转移支付标准工资_奖励补助测算7.25 (version 1) (version 1) 3" xfId="1494"/>
    <cellStyle name="差_2009年一般性转移支付标准工资_奖励补助测算7.25 (version 1) (version 1) 4" xfId="1495"/>
    <cellStyle name="差_2009年一般性转移支付标准工资_奖励补助测算7.25 (version 1) (version 1) 5" xfId="1496"/>
    <cellStyle name="差_2009年一般性转移支付标准工资_奖励补助测算7.25 (version 1) (version 1) 6" xfId="1497"/>
    <cellStyle name="差_2009年一般性转移支付标准工资_奖励补助测算7.25 (version 1) (version 1) 7" xfId="1498"/>
    <cellStyle name="差_2009年一般性转移支付标准工资_奖励补助测算7.25 (version 1) (version 1) 8" xfId="1499"/>
    <cellStyle name="差_2009年一般性转移支付标准工资_奖励补助测算7.25 (version 1) (version 1) 9" xfId="1500"/>
    <cellStyle name="差_2009年一般性转移支付标准工资_奖励补助测算7.25 2" xfId="1501"/>
    <cellStyle name="差_2009年一般性转移支付标准工资_奖励补助测算7.25 3" xfId="1502"/>
    <cellStyle name="差_2009年一般性转移支付标准工资_奖励补助测算7.25 4" xfId="1503"/>
    <cellStyle name="差_2009年一般性转移支付标准工资_奖励补助测算7.25 5" xfId="1504"/>
    <cellStyle name="差_2009年一般性转移支付标准工资_奖励补助测算7.25 6" xfId="1505"/>
    <cellStyle name="差_2009年一般性转移支付标准工资_奖励补助测算7.25 7" xfId="1506"/>
    <cellStyle name="差_2009年一般性转移支付标准工资_奖励补助测算7.25 8" xfId="1507"/>
    <cellStyle name="差_2009年一般性转移支付标准工资_奖励补助测算7.25 9" xfId="1508"/>
    <cellStyle name="差_530623_2006年县级财政报表附表" xfId="1509"/>
    <cellStyle name="差_530623_2006年县级财政报表附表 2" xfId="1510"/>
    <cellStyle name="差_530623_2006年县级财政报表附表 3" xfId="1511"/>
    <cellStyle name="差_530623_2006年县级财政报表附表 4" xfId="1512"/>
    <cellStyle name="差_530623_2006年县级财政报表附表 5" xfId="1513"/>
    <cellStyle name="差_530623_2006年县级财政报表附表 6" xfId="1514"/>
    <cellStyle name="差_530623_2006年县级财政报表附表 7" xfId="1515"/>
    <cellStyle name="差_530623_2006年县级财政报表附表 8" xfId="1516"/>
    <cellStyle name="差_530623_2006年县级财政报表附表 9" xfId="1517"/>
    <cellStyle name="差_530629_2006年县级财政报表附表" xfId="1518"/>
    <cellStyle name="差_530629_2006年县级财政报表附表 2" xfId="1519"/>
    <cellStyle name="差_530629_2006年县级财政报表附表 3" xfId="1520"/>
    <cellStyle name="差_530629_2006年县级财政报表附表 4" xfId="1521"/>
    <cellStyle name="差_530629_2006年县级财政报表附表 5" xfId="1522"/>
    <cellStyle name="差_530629_2006年县级财政报表附表 6" xfId="1523"/>
    <cellStyle name="差_530629_2006年县级财政报表附表 7" xfId="1524"/>
    <cellStyle name="差_530629_2006年县级财政报表附表 8" xfId="1525"/>
    <cellStyle name="差_530629_2006年县级财政报表附表 9" xfId="1526"/>
    <cellStyle name="差_5334_2006年迪庆县级财政报表附表" xfId="1527"/>
    <cellStyle name="差_5334_2006年迪庆县级财政报表附表 2" xfId="1528"/>
    <cellStyle name="差_5334_2006年迪庆县级财政报表附表 3" xfId="1529"/>
    <cellStyle name="差_5334_2006年迪庆县级财政报表附表 4" xfId="1530"/>
    <cellStyle name="差_5334_2006年迪庆县级财政报表附表 5" xfId="1531"/>
    <cellStyle name="差_5334_2006年迪庆县级财政报表附表 6" xfId="1532"/>
    <cellStyle name="差_5334_2006年迪庆县级财政报表附表 7" xfId="1533"/>
    <cellStyle name="差_5334_2006年迪庆县级财政报表附表 8" xfId="1534"/>
    <cellStyle name="差_5334_2006年迪庆县级财政报表附表 9" xfId="1535"/>
    <cellStyle name="差_Book1" xfId="1536"/>
    <cellStyle name="差_Book1 2" xfId="1537"/>
    <cellStyle name="差_Book1 3" xfId="1538"/>
    <cellStyle name="差_Book1 4" xfId="1539"/>
    <cellStyle name="差_Book1 5" xfId="1540"/>
    <cellStyle name="差_Book1 6" xfId="1541"/>
    <cellStyle name="差_Book1 7" xfId="1542"/>
    <cellStyle name="差_Book1 8" xfId="1543"/>
    <cellStyle name="差_Book1 9" xfId="1544"/>
    <cellStyle name="差_Book1_1" xfId="1545"/>
    <cellStyle name="差_Book1_1 2" xfId="1546"/>
    <cellStyle name="差_Book1_1 3" xfId="1547"/>
    <cellStyle name="差_Book1_1 4" xfId="1548"/>
    <cellStyle name="差_Book1_1 5" xfId="1549"/>
    <cellStyle name="差_Book1_1 6" xfId="1550"/>
    <cellStyle name="差_Book1_1 7" xfId="1551"/>
    <cellStyle name="差_Book1_1 8" xfId="1552"/>
    <cellStyle name="差_Book1_1 9" xfId="1553"/>
    <cellStyle name="差_Book2" xfId="1554"/>
    <cellStyle name="差_Book2 2" xfId="1555"/>
    <cellStyle name="差_Book2 3" xfId="1556"/>
    <cellStyle name="差_Book2 4" xfId="1557"/>
    <cellStyle name="差_Book2 5" xfId="1558"/>
    <cellStyle name="差_Book2 6" xfId="1559"/>
    <cellStyle name="差_Book2 7" xfId="1560"/>
    <cellStyle name="差_Book2 8" xfId="1561"/>
    <cellStyle name="差_Book2 9" xfId="1562"/>
    <cellStyle name="差_M01-2(州市补助收入)" xfId="1563"/>
    <cellStyle name="差_M01-2(州市补助收入) 2" xfId="1564"/>
    <cellStyle name="差_M01-2(州市补助收入) 3" xfId="1565"/>
    <cellStyle name="差_M01-2(州市补助收入) 4" xfId="1566"/>
    <cellStyle name="差_M01-2(州市补助收入) 5" xfId="1567"/>
    <cellStyle name="差_M01-2(州市补助收入) 6" xfId="1568"/>
    <cellStyle name="差_M01-2(州市补助收入) 7" xfId="1569"/>
    <cellStyle name="差_M01-2(州市补助收入) 8" xfId="1570"/>
    <cellStyle name="差_M01-2(州市补助收入) 9" xfId="1571"/>
    <cellStyle name="差_M03" xfId="1572"/>
    <cellStyle name="差_M03 2" xfId="1573"/>
    <cellStyle name="差_M03 3" xfId="1574"/>
    <cellStyle name="差_M03 4" xfId="1575"/>
    <cellStyle name="差_M03 5" xfId="1576"/>
    <cellStyle name="差_M03 6" xfId="1577"/>
    <cellStyle name="差_M03 7" xfId="1578"/>
    <cellStyle name="差_M03 8" xfId="1579"/>
    <cellStyle name="差_M03 9" xfId="1580"/>
    <cellStyle name="差_不用软件计算9.1不考虑经费管理评价xl" xfId="1581"/>
    <cellStyle name="差_不用软件计算9.1不考虑经费管理评价xl 2" xfId="1582"/>
    <cellStyle name="差_不用软件计算9.1不考虑经费管理评价xl 3" xfId="1583"/>
    <cellStyle name="差_不用软件计算9.1不考虑经费管理评价xl 4" xfId="1584"/>
    <cellStyle name="差_不用软件计算9.1不考虑经费管理评价xl 5" xfId="1585"/>
    <cellStyle name="差_不用软件计算9.1不考虑经费管理评价xl 6" xfId="1586"/>
    <cellStyle name="差_不用软件计算9.1不考虑经费管理评价xl 7" xfId="1587"/>
    <cellStyle name="差_不用软件计算9.1不考虑经费管理评价xl 8" xfId="1588"/>
    <cellStyle name="差_不用软件计算9.1不考虑经费管理评价xl 9" xfId="1589"/>
    <cellStyle name="差_财政供养人员" xfId="1590"/>
    <cellStyle name="差_财政供养人员 2" xfId="1591"/>
    <cellStyle name="差_财政供养人员 3" xfId="1592"/>
    <cellStyle name="差_财政供养人员 4" xfId="1593"/>
    <cellStyle name="差_财政供养人员 5" xfId="1594"/>
    <cellStyle name="差_财政供养人员 6" xfId="1595"/>
    <cellStyle name="差_财政供养人员 7" xfId="1596"/>
    <cellStyle name="差_财政供养人员 8" xfId="1597"/>
    <cellStyle name="差_财政供养人员 9" xfId="1598"/>
    <cellStyle name="差_财政支出对上级的依赖程度" xfId="1599"/>
    <cellStyle name="差_城建部门" xfId="1600"/>
    <cellStyle name="差_地方配套按人均增幅控制8.30xl" xfId="1601"/>
    <cellStyle name="差_地方配套按人均增幅控制8.30xl 2" xfId="1602"/>
    <cellStyle name="差_地方配套按人均增幅控制8.30xl 3" xfId="1603"/>
    <cellStyle name="差_地方配套按人均增幅控制8.30xl 4" xfId="1604"/>
    <cellStyle name="差_地方配套按人均增幅控制8.30xl 5" xfId="1605"/>
    <cellStyle name="差_地方配套按人均增幅控制8.30xl 6" xfId="1606"/>
    <cellStyle name="差_地方配套按人均增幅控制8.30xl 7" xfId="1607"/>
    <cellStyle name="差_地方配套按人均增幅控制8.30xl 8" xfId="1608"/>
    <cellStyle name="差_地方配套按人均增幅控制8.30xl 9" xfId="1609"/>
    <cellStyle name="差_地方配套按人均增幅控制8.30一般预算平均增幅、人均可用财力平均增幅两次控制、社会治安系数调整、案件数调整xl" xfId="1610"/>
    <cellStyle name="差_地方配套按人均增幅控制8.30一般预算平均增幅、人均可用财力平均增幅两次控制、社会治安系数调整、案件数调整xl 2" xfId="1611"/>
    <cellStyle name="差_地方配套按人均增幅控制8.30一般预算平均增幅、人均可用财力平均增幅两次控制、社会治安系数调整、案件数调整xl 3" xfId="1612"/>
    <cellStyle name="差_地方配套按人均增幅控制8.30一般预算平均增幅、人均可用财力平均增幅两次控制、社会治安系数调整、案件数调整xl 4" xfId="1613"/>
    <cellStyle name="差_地方配套按人均增幅控制8.30一般预算平均增幅、人均可用财力平均增幅两次控制、社会治安系数调整、案件数调整xl 5" xfId="1614"/>
    <cellStyle name="差_地方配套按人均增幅控制8.30一般预算平均增幅、人均可用财力平均增幅两次控制、社会治安系数调整、案件数调整xl 6" xfId="1615"/>
    <cellStyle name="差_地方配套按人均增幅控制8.30一般预算平均增幅、人均可用财力平均增幅两次控制、社会治安系数调整、案件数调整xl 7" xfId="1616"/>
    <cellStyle name="差_地方配套按人均增幅控制8.30一般预算平均增幅、人均可用财力平均增幅两次控制、社会治安系数调整、案件数调整xl 8" xfId="1617"/>
    <cellStyle name="差_地方配套按人均增幅控制8.30一般预算平均增幅、人均可用财力平均增幅两次控制、社会治安系数调整、案件数调整xl 9" xfId="1618"/>
    <cellStyle name="差_地方配套按人均增幅控制8.31（调整结案率后）xl" xfId="1619"/>
    <cellStyle name="差_地方配套按人均增幅控制8.31（调整结案率后）xl 2" xfId="1620"/>
    <cellStyle name="差_地方配套按人均增幅控制8.31（调整结案率后）xl 3" xfId="1621"/>
    <cellStyle name="差_地方配套按人均增幅控制8.31（调整结案率后）xl 4" xfId="1622"/>
    <cellStyle name="差_地方配套按人均增幅控制8.31（调整结案率后）xl 5" xfId="1623"/>
    <cellStyle name="差_地方配套按人均增幅控制8.31（调整结案率后）xl 6" xfId="1624"/>
    <cellStyle name="差_地方配套按人均增幅控制8.31（调整结案率后）xl 7" xfId="1625"/>
    <cellStyle name="差_地方配套按人均增幅控制8.31（调整结案率后）xl 8" xfId="1626"/>
    <cellStyle name="差_地方配套按人均增幅控制8.31（调整结案率后）xl 9" xfId="1627"/>
    <cellStyle name="差_第五部分(才淼、饶永宏）" xfId="1628"/>
    <cellStyle name="差_第五部分(才淼、饶永宏） 2" xfId="1629"/>
    <cellStyle name="差_第五部分(才淼、饶永宏） 3" xfId="1630"/>
    <cellStyle name="差_第五部分(才淼、饶永宏） 4" xfId="1631"/>
    <cellStyle name="差_第五部分(才淼、饶永宏） 5" xfId="1632"/>
    <cellStyle name="差_第五部分(才淼、饶永宏） 6" xfId="1633"/>
    <cellStyle name="差_第五部分(才淼、饶永宏） 7" xfId="1634"/>
    <cellStyle name="差_第五部分(才淼、饶永宏） 8" xfId="1635"/>
    <cellStyle name="差_第五部分(才淼、饶永宏） 9" xfId="1636"/>
    <cellStyle name="差_第一部分：综合全" xfId="1637"/>
    <cellStyle name="差_高中教师人数（教育厅1.6日提供）" xfId="1638"/>
    <cellStyle name="差_高中教师人数（教育厅1.6日提供） 2" xfId="1639"/>
    <cellStyle name="差_高中教师人数（教育厅1.6日提供） 3" xfId="1640"/>
    <cellStyle name="差_高中教师人数（教育厅1.6日提供） 4" xfId="1641"/>
    <cellStyle name="差_高中教师人数（教育厅1.6日提供） 5" xfId="1642"/>
    <cellStyle name="差_高中教师人数（教育厅1.6日提供） 6" xfId="1643"/>
    <cellStyle name="差_高中教师人数（教育厅1.6日提供） 7" xfId="1644"/>
    <cellStyle name="差_高中教师人数（教育厅1.6日提供） 8" xfId="1645"/>
    <cellStyle name="差_高中教师人数（教育厅1.6日提供） 9" xfId="1646"/>
    <cellStyle name="差_汇总" xfId="1647"/>
    <cellStyle name="差_汇总 2" xfId="1648"/>
    <cellStyle name="差_汇总 3" xfId="1649"/>
    <cellStyle name="差_汇总 4" xfId="1650"/>
    <cellStyle name="差_汇总 5" xfId="1651"/>
    <cellStyle name="差_汇总 6" xfId="1652"/>
    <cellStyle name="差_汇总 7" xfId="1653"/>
    <cellStyle name="差_汇总 8" xfId="1654"/>
    <cellStyle name="差_汇总 9" xfId="1655"/>
    <cellStyle name="差_汇总-县级财政报表附表" xfId="1656"/>
    <cellStyle name="差_汇总-县级财政报表附表 2" xfId="1657"/>
    <cellStyle name="差_汇总-县级财政报表附表 3" xfId="1658"/>
    <cellStyle name="差_汇总-县级财政报表附表 4" xfId="1659"/>
    <cellStyle name="差_汇总-县级财政报表附表 5" xfId="1660"/>
    <cellStyle name="差_汇总-县级财政报表附表 6" xfId="1661"/>
    <cellStyle name="差_汇总-县级财政报表附表 7" xfId="1662"/>
    <cellStyle name="差_汇总-县级财政报表附表 8" xfId="1663"/>
    <cellStyle name="差_汇总-县级财政报表附表 9" xfId="1664"/>
    <cellStyle name="差_基础数据分析" xfId="1665"/>
    <cellStyle name="差_基础数据分析 2" xfId="1666"/>
    <cellStyle name="差_基础数据分析 3" xfId="1667"/>
    <cellStyle name="差_基础数据分析 4" xfId="1668"/>
    <cellStyle name="差_基础数据分析 5" xfId="1669"/>
    <cellStyle name="差_基础数据分析 6" xfId="1670"/>
    <cellStyle name="差_基础数据分析 7" xfId="1671"/>
    <cellStyle name="差_基础数据分析 8" xfId="1672"/>
    <cellStyle name="差_基础数据分析 9" xfId="1673"/>
    <cellStyle name="差_检验表" xfId="1674"/>
    <cellStyle name="差_检验表（调整后）" xfId="1675"/>
    <cellStyle name="差_奖励补助测算5.22测试" xfId="1676"/>
    <cellStyle name="差_奖励补助测算5.22测试 2" xfId="1677"/>
    <cellStyle name="差_奖励补助测算5.22测试 3" xfId="1678"/>
    <cellStyle name="差_奖励补助测算5.22测试 4" xfId="1679"/>
    <cellStyle name="差_奖励补助测算5.22测试 5" xfId="1680"/>
    <cellStyle name="差_奖励补助测算5.22测试 6" xfId="1681"/>
    <cellStyle name="差_奖励补助测算5.22测试 7" xfId="1682"/>
    <cellStyle name="差_奖励补助测算5.22测试 8" xfId="1683"/>
    <cellStyle name="差_奖励补助测算5.22测试 9" xfId="1684"/>
    <cellStyle name="差_奖励补助测算5.23新" xfId="1685"/>
    <cellStyle name="差_奖励补助测算5.23新 2" xfId="1686"/>
    <cellStyle name="差_奖励补助测算5.23新 3" xfId="1687"/>
    <cellStyle name="差_奖励补助测算5.23新 4" xfId="1688"/>
    <cellStyle name="差_奖励补助测算5.23新 5" xfId="1689"/>
    <cellStyle name="差_奖励补助测算5.23新 6" xfId="1690"/>
    <cellStyle name="差_奖励补助测算5.23新 7" xfId="1691"/>
    <cellStyle name="差_奖励补助测算5.23新 8" xfId="1692"/>
    <cellStyle name="差_奖励补助测算5.23新 9" xfId="1693"/>
    <cellStyle name="差_奖励补助测算5.24冯铸" xfId="1694"/>
    <cellStyle name="差_奖励补助测算5.24冯铸 2" xfId="1695"/>
    <cellStyle name="差_奖励补助测算5.24冯铸 3" xfId="1696"/>
    <cellStyle name="差_奖励补助测算5.24冯铸 4" xfId="1697"/>
    <cellStyle name="差_奖励补助测算5.24冯铸 5" xfId="1698"/>
    <cellStyle name="差_奖励补助测算5.24冯铸 6" xfId="1699"/>
    <cellStyle name="差_奖励补助测算5.24冯铸 7" xfId="1700"/>
    <cellStyle name="差_奖励补助测算5.24冯铸 8" xfId="1701"/>
    <cellStyle name="差_奖励补助测算5.24冯铸 9" xfId="1702"/>
    <cellStyle name="差_奖励补助测算7.23" xfId="1703"/>
    <cellStyle name="差_奖励补助测算7.23 2" xfId="1704"/>
    <cellStyle name="差_奖励补助测算7.23 3" xfId="1705"/>
    <cellStyle name="差_奖励补助测算7.23 4" xfId="1706"/>
    <cellStyle name="差_奖励补助测算7.23 5" xfId="1707"/>
    <cellStyle name="差_奖励补助测算7.23 6" xfId="1708"/>
    <cellStyle name="差_奖励补助测算7.23 7" xfId="1709"/>
    <cellStyle name="差_奖励补助测算7.23 8" xfId="1710"/>
    <cellStyle name="差_奖励补助测算7.23 9" xfId="1711"/>
    <cellStyle name="差_奖励补助测算7.25" xfId="1712"/>
    <cellStyle name="差_奖励补助测算7.25 (version 1) (version 1)" xfId="1713"/>
    <cellStyle name="差_奖励补助测算7.25 (version 1) (version 1) 2" xfId="1714"/>
    <cellStyle name="差_奖励补助测算7.25 (version 1) (version 1) 3" xfId="1715"/>
    <cellStyle name="差_奖励补助测算7.25 (version 1) (version 1) 4" xfId="1716"/>
    <cellStyle name="差_奖励补助测算7.25 (version 1) (version 1) 5" xfId="1717"/>
    <cellStyle name="差_奖励补助测算7.25 (version 1) (version 1) 6" xfId="1718"/>
    <cellStyle name="差_奖励补助测算7.25 (version 1) (version 1) 7" xfId="1719"/>
    <cellStyle name="差_奖励补助测算7.25 (version 1) (version 1) 8" xfId="1720"/>
    <cellStyle name="差_奖励补助测算7.25 (version 1) (version 1) 9" xfId="1721"/>
    <cellStyle name="差_奖励补助测算7.25 2" xfId="1722"/>
    <cellStyle name="差_奖励补助测算7.25 3" xfId="1723"/>
    <cellStyle name="差_奖励补助测算7.25 4" xfId="1724"/>
    <cellStyle name="差_奖励补助测算7.25 5" xfId="1725"/>
    <cellStyle name="差_奖励补助测算7.25 6" xfId="1726"/>
    <cellStyle name="差_奖励补助测算7.25 7" xfId="1727"/>
    <cellStyle name="差_奖励补助测算7.25 8" xfId="1728"/>
    <cellStyle name="差_奖励补助测算7.25 9" xfId="1729"/>
    <cellStyle name="差_教师绩效工资测算表（离退休按各地上报数测算）2009年1月1日" xfId="1730"/>
    <cellStyle name="差_教育厅提供义务教育及高中教师人数（2009年1月6日）" xfId="1731"/>
    <cellStyle name="差_教育厅提供义务教育及高中教师人数（2009年1月6日） 2" xfId="1732"/>
    <cellStyle name="差_教育厅提供义务教育及高中教师人数（2009年1月6日） 3" xfId="1733"/>
    <cellStyle name="差_教育厅提供义务教育及高中教师人数（2009年1月6日） 4" xfId="1734"/>
    <cellStyle name="差_教育厅提供义务教育及高中教师人数（2009年1月6日） 5" xfId="1735"/>
    <cellStyle name="差_教育厅提供义务教育及高中教师人数（2009年1月6日） 6" xfId="1736"/>
    <cellStyle name="差_教育厅提供义务教育及高中教师人数（2009年1月6日） 7" xfId="1737"/>
    <cellStyle name="差_教育厅提供义务教育及高中教师人数（2009年1月6日） 8" xfId="1738"/>
    <cellStyle name="差_教育厅提供义务教育及高中教师人数（2009年1月6日） 9" xfId="1739"/>
    <cellStyle name="差_历年教师人数" xfId="1740"/>
    <cellStyle name="差_丽江汇总" xfId="1741"/>
    <cellStyle name="差_三季度－表二" xfId="1742"/>
    <cellStyle name="差_三季度－表二 2" xfId="1743"/>
    <cellStyle name="差_三季度－表二 3" xfId="1744"/>
    <cellStyle name="差_三季度－表二 4" xfId="1745"/>
    <cellStyle name="差_三季度－表二 5" xfId="1746"/>
    <cellStyle name="差_三季度－表二 6" xfId="1747"/>
    <cellStyle name="差_三季度－表二 7" xfId="1748"/>
    <cellStyle name="差_三季度－表二 8" xfId="1749"/>
    <cellStyle name="差_三季度－表二 9" xfId="1750"/>
    <cellStyle name="差_卫生部门" xfId="1751"/>
    <cellStyle name="差_卫生部门 2" xfId="1752"/>
    <cellStyle name="差_卫生部门 3" xfId="1753"/>
    <cellStyle name="差_卫生部门 4" xfId="1754"/>
    <cellStyle name="差_卫生部门 5" xfId="1755"/>
    <cellStyle name="差_卫生部门 6" xfId="1756"/>
    <cellStyle name="差_卫生部门 7" xfId="1757"/>
    <cellStyle name="差_卫生部门 8" xfId="1758"/>
    <cellStyle name="差_卫生部门 9" xfId="1759"/>
    <cellStyle name="差_文体广播部门" xfId="1760"/>
    <cellStyle name="差_下半年禁毒办案经费分配2544.3万元" xfId="1761"/>
    <cellStyle name="差_下半年禁吸戒毒经费1000万元" xfId="1762"/>
    <cellStyle name="差_下半年禁吸戒毒经费1000万元 2" xfId="1763"/>
    <cellStyle name="差_下半年禁吸戒毒经费1000万元 3" xfId="1764"/>
    <cellStyle name="差_下半年禁吸戒毒经费1000万元 4" xfId="1765"/>
    <cellStyle name="差_下半年禁吸戒毒经费1000万元 5" xfId="1766"/>
    <cellStyle name="差_下半年禁吸戒毒经费1000万元 6" xfId="1767"/>
    <cellStyle name="差_下半年禁吸戒毒经费1000万元 7" xfId="1768"/>
    <cellStyle name="差_下半年禁吸戒毒经费1000万元 8" xfId="1769"/>
    <cellStyle name="差_下半年禁吸戒毒经费1000万元 9" xfId="1770"/>
    <cellStyle name="差_县级公安机关公用经费标准奖励测算方案（定稿）" xfId="1771"/>
    <cellStyle name="差_县级公安机关公用经费标准奖励测算方案（定稿） 2" xfId="1772"/>
    <cellStyle name="差_县级公安机关公用经费标准奖励测算方案（定稿） 3" xfId="1773"/>
    <cellStyle name="差_县级公安机关公用经费标准奖励测算方案（定稿） 4" xfId="1774"/>
    <cellStyle name="差_县级公安机关公用经费标准奖励测算方案（定稿） 5" xfId="1775"/>
    <cellStyle name="差_县级公安机关公用经费标准奖励测算方案（定稿） 6" xfId="1776"/>
    <cellStyle name="差_县级公安机关公用经费标准奖励测算方案（定稿） 7" xfId="1777"/>
    <cellStyle name="差_县级公安机关公用经费标准奖励测算方案（定稿） 8" xfId="1778"/>
    <cellStyle name="差_县级公安机关公用经费标准奖励测算方案（定稿） 9" xfId="1779"/>
    <cellStyle name="差_县级基础数据" xfId="1780"/>
    <cellStyle name="差_业务工作量指标" xfId="1781"/>
    <cellStyle name="差_业务工作量指标 2" xfId="1782"/>
    <cellStyle name="差_业务工作量指标 3" xfId="1783"/>
    <cellStyle name="差_业务工作量指标 4" xfId="1784"/>
    <cellStyle name="差_业务工作量指标 5" xfId="1785"/>
    <cellStyle name="差_业务工作量指标 6" xfId="1786"/>
    <cellStyle name="差_业务工作量指标 7" xfId="1787"/>
    <cellStyle name="差_业务工作量指标 8" xfId="1788"/>
    <cellStyle name="差_业务工作量指标 9" xfId="1789"/>
    <cellStyle name="差_义务教育阶段教职工人数（教育厅提供最终）" xfId="1790"/>
    <cellStyle name="差_义务教育阶段教职工人数（教育厅提供最终） 2" xfId="1791"/>
    <cellStyle name="差_义务教育阶段教职工人数（教育厅提供最终） 3" xfId="1792"/>
    <cellStyle name="差_义务教育阶段教职工人数（教育厅提供最终） 4" xfId="1793"/>
    <cellStyle name="差_义务教育阶段教职工人数（教育厅提供最终） 5" xfId="1794"/>
    <cellStyle name="差_义务教育阶段教职工人数（教育厅提供最终） 6" xfId="1795"/>
    <cellStyle name="差_义务教育阶段教职工人数（教育厅提供最终） 7" xfId="1796"/>
    <cellStyle name="差_义务教育阶段教职工人数（教育厅提供最终） 8" xfId="1797"/>
    <cellStyle name="差_义务教育阶段教职工人数（教育厅提供最终） 9" xfId="1798"/>
    <cellStyle name="差_云南农村义务教育统计表" xfId="1799"/>
    <cellStyle name="差_云南农村义务教育统计表 2" xfId="1800"/>
    <cellStyle name="差_云南农村义务教育统计表 3" xfId="1801"/>
    <cellStyle name="差_云南农村义务教育统计表 4" xfId="1802"/>
    <cellStyle name="差_云南农村义务教育统计表 5" xfId="1803"/>
    <cellStyle name="差_云南农村义务教育统计表 6" xfId="1804"/>
    <cellStyle name="差_云南农村义务教育统计表 7" xfId="1805"/>
    <cellStyle name="差_云南农村义务教育统计表 8" xfId="1806"/>
    <cellStyle name="差_云南农村义务教育统计表 9" xfId="1807"/>
    <cellStyle name="差_云南省2008年中小学教师人数统计表" xfId="1808"/>
    <cellStyle name="差_云南省2008年中小学教职工情况（教育厅提供20090101加工整理）" xfId="1809"/>
    <cellStyle name="差_云南省2008年中小学教职工情况（教育厅提供20090101加工整理） 2" xfId="1810"/>
    <cellStyle name="差_云南省2008年中小学教职工情况（教育厅提供20090101加工整理） 3" xfId="1811"/>
    <cellStyle name="差_云南省2008年中小学教职工情况（教育厅提供20090101加工整理） 4" xfId="1812"/>
    <cellStyle name="差_云南省2008年中小学教职工情况（教育厅提供20090101加工整理） 5" xfId="1813"/>
    <cellStyle name="差_云南省2008年中小学教职工情况（教育厅提供20090101加工整理） 6" xfId="1814"/>
    <cellStyle name="差_云南省2008年中小学教职工情况（教育厅提供20090101加工整理） 7" xfId="1815"/>
    <cellStyle name="差_云南省2008年中小学教职工情况（教育厅提供20090101加工整理） 8" xfId="1816"/>
    <cellStyle name="差_云南省2008年中小学教职工情况（教育厅提供20090101加工整理） 9" xfId="1817"/>
    <cellStyle name="差_云南省2008年转移支付测算——州市本级考核部分及政策性测算" xfId="1818"/>
    <cellStyle name="差_云南省2008年转移支付测算——州市本级考核部分及政策性测算 2" xfId="1819"/>
    <cellStyle name="差_云南省2008年转移支付测算——州市本级考核部分及政策性测算 3" xfId="1820"/>
    <cellStyle name="差_云南省2008年转移支付测算——州市本级考核部分及政策性测算 4" xfId="1821"/>
    <cellStyle name="差_云南省2008年转移支付测算——州市本级考核部分及政策性测算 5" xfId="1822"/>
    <cellStyle name="差_云南省2008年转移支付测算——州市本级考核部分及政策性测算 6" xfId="1823"/>
    <cellStyle name="差_云南省2008年转移支付测算——州市本级考核部分及政策性测算 7" xfId="1824"/>
    <cellStyle name="差_云南省2008年转移支付测算——州市本级考核部分及政策性测算 8" xfId="1825"/>
    <cellStyle name="差_云南省2008年转移支付测算——州市本级考核部分及政策性测算 9" xfId="1826"/>
    <cellStyle name="差_指标四" xfId="1827"/>
    <cellStyle name="差_指标四 2" xfId="1828"/>
    <cellStyle name="差_指标四 3" xfId="1829"/>
    <cellStyle name="差_指标四 4" xfId="1830"/>
    <cellStyle name="差_指标四 5" xfId="1831"/>
    <cellStyle name="差_指标四 6" xfId="1832"/>
    <cellStyle name="差_指标四 7" xfId="1833"/>
    <cellStyle name="差_指标四 8" xfId="1834"/>
    <cellStyle name="差_指标四 9" xfId="1835"/>
    <cellStyle name="差_指标五" xfId="1836"/>
    <cellStyle name="常规 10" xfId="1837"/>
    <cellStyle name="常规 10 2" xfId="1838"/>
    <cellStyle name="常规 11" xfId="1839"/>
    <cellStyle name="常规 11 2" xfId="1840"/>
    <cellStyle name="常规 12" xfId="1841"/>
    <cellStyle name="常规 12 2" xfId="1842"/>
    <cellStyle name="常规 13" xfId="1843"/>
    <cellStyle name="常规 13 2" xfId="1844"/>
    <cellStyle name="常规 14" xfId="1845"/>
    <cellStyle name="常规 14 2" xfId="1846"/>
    <cellStyle name="常规 15" xfId="1847"/>
    <cellStyle name="常规 15 2" xfId="1848"/>
    <cellStyle name="常规 16" xfId="1849"/>
    <cellStyle name="常规 17" xfId="1850"/>
    <cellStyle name="常规 17 2" xfId="1851"/>
    <cellStyle name="常规 17 3" xfId="1852"/>
    <cellStyle name="常规 17 4" xfId="1853"/>
    <cellStyle name="常规 18" xfId="1854"/>
    <cellStyle name="常规 19" xfId="1855"/>
    <cellStyle name="常规 19 2" xfId="1856"/>
    <cellStyle name="常规 2" xfId="1857"/>
    <cellStyle name="常规 2 10" xfId="1858"/>
    <cellStyle name="常规 2 11" xfId="1859"/>
    <cellStyle name="常规 2 12" xfId="1860"/>
    <cellStyle name="常规 2 13" xfId="1861"/>
    <cellStyle name="常规 2 14" xfId="1862"/>
    <cellStyle name="常规 2 15" xfId="1863"/>
    <cellStyle name="常规 2 16" xfId="1864"/>
    <cellStyle name="常规 2 2" xfId="1865"/>
    <cellStyle name="常规 2 2 10" xfId="1866"/>
    <cellStyle name="常规 2 2 2" xfId="1867"/>
    <cellStyle name="常规 2 2 2 2" xfId="1868"/>
    <cellStyle name="常规 2 2 2 3" xfId="1869"/>
    <cellStyle name="常规 2 2 2 4" xfId="1870"/>
    <cellStyle name="常规 2 2 2 5" xfId="1871"/>
    <cellStyle name="常规 2 2 2 6" xfId="1872"/>
    <cellStyle name="常规 2 2 2 7" xfId="1873"/>
    <cellStyle name="常规 2 2 2 8" xfId="1874"/>
    <cellStyle name="常规 2 2 2 9" xfId="1875"/>
    <cellStyle name="常规 2 2 3" xfId="1876"/>
    <cellStyle name="常规 2 2 4" xfId="1877"/>
    <cellStyle name="常规 2 2 5" xfId="1878"/>
    <cellStyle name="常规 2 2 6" xfId="1879"/>
    <cellStyle name="常规 2 2 7" xfId="1880"/>
    <cellStyle name="常规 2 2 8" xfId="1881"/>
    <cellStyle name="常规 2 2 9" xfId="1882"/>
    <cellStyle name="常规 2 2_Book1" xfId="1883"/>
    <cellStyle name="常规 2 3" xfId="1884"/>
    <cellStyle name="常规 2 3 2" xfId="1885"/>
    <cellStyle name="常规 2 3 3" xfId="1886"/>
    <cellStyle name="常规 2 3 4" xfId="1887"/>
    <cellStyle name="常规 2 3 5" xfId="1888"/>
    <cellStyle name="常规 2 3 6" xfId="1889"/>
    <cellStyle name="常规 2 3 7" xfId="1890"/>
    <cellStyle name="常规 2 3 8" xfId="1891"/>
    <cellStyle name="常规 2 3 9" xfId="1892"/>
    <cellStyle name="常规 2 4" xfId="1893"/>
    <cellStyle name="常规 2 4 2" xfId="1894"/>
    <cellStyle name="常规 2 4 3" xfId="1895"/>
    <cellStyle name="常规 2 4 4" xfId="1896"/>
    <cellStyle name="常规 2 4 5" xfId="1897"/>
    <cellStyle name="常规 2 4 6" xfId="1898"/>
    <cellStyle name="常规 2 4 7" xfId="1899"/>
    <cellStyle name="常规 2 4 8" xfId="1900"/>
    <cellStyle name="常规 2 4 9" xfId="1901"/>
    <cellStyle name="常规 2 5" xfId="1902"/>
    <cellStyle name="常规 2 5 2" xfId="1903"/>
    <cellStyle name="常规 2 5 3" xfId="1904"/>
    <cellStyle name="常规 2 5 4" xfId="1905"/>
    <cellStyle name="常规 2 5 5" xfId="1906"/>
    <cellStyle name="常规 2 5 6" xfId="1907"/>
    <cellStyle name="常规 2 5 7" xfId="1908"/>
    <cellStyle name="常规 2 5 8" xfId="1909"/>
    <cellStyle name="常规 2 5 9" xfId="1910"/>
    <cellStyle name="常规 2 6" xfId="1911"/>
    <cellStyle name="常规 2 6 2" xfId="1912"/>
    <cellStyle name="常规 2 6 3" xfId="1913"/>
    <cellStyle name="常规 2 6 4" xfId="1914"/>
    <cellStyle name="常规 2 6 5" xfId="1915"/>
    <cellStyle name="常规 2 6 6" xfId="1916"/>
    <cellStyle name="常规 2 6 7" xfId="1917"/>
    <cellStyle name="常规 2 6 8" xfId="1918"/>
    <cellStyle name="常规 2 6 9" xfId="1919"/>
    <cellStyle name="常规 2 7" xfId="1920"/>
    <cellStyle name="常规 2 7 2" xfId="1921"/>
    <cellStyle name="常规 2 7 3" xfId="1922"/>
    <cellStyle name="常规 2 7 4" xfId="1923"/>
    <cellStyle name="常规 2 7 5" xfId="1924"/>
    <cellStyle name="常规 2 7 6" xfId="1925"/>
    <cellStyle name="常规 2 7 7" xfId="1926"/>
    <cellStyle name="常规 2 7 8" xfId="1927"/>
    <cellStyle name="常规 2 7 9" xfId="1928"/>
    <cellStyle name="常规 2 8" xfId="1929"/>
    <cellStyle name="常规 2 8 2" xfId="1930"/>
    <cellStyle name="常规 2 8 3" xfId="1931"/>
    <cellStyle name="常规 2 8 4" xfId="1932"/>
    <cellStyle name="常规 2 8 5" xfId="1933"/>
    <cellStyle name="常规 2 8 6" xfId="1934"/>
    <cellStyle name="常规 2 8 7" xfId="1935"/>
    <cellStyle name="常规 2 8 8" xfId="1936"/>
    <cellStyle name="常规 2 8 9" xfId="1937"/>
    <cellStyle name="常规 2 9" xfId="1938"/>
    <cellStyle name="常规 2_Book1" xfId="1939"/>
    <cellStyle name="常规 20" xfId="1940"/>
    <cellStyle name="常规 21" xfId="1941"/>
    <cellStyle name="常规 22" xfId="1942"/>
    <cellStyle name="常规 23" xfId="1943"/>
    <cellStyle name="常规 24" xfId="1944"/>
    <cellStyle name="常规 25" xfId="1945"/>
    <cellStyle name="常规 26" xfId="1946"/>
    <cellStyle name="常规 27" xfId="1947"/>
    <cellStyle name="常规 28" xfId="1948"/>
    <cellStyle name="常规 29" xfId="1949"/>
    <cellStyle name="常规 3" xfId="1950"/>
    <cellStyle name="常规 3 10" xfId="1951"/>
    <cellStyle name="常规 3 11" xfId="1952"/>
    <cellStyle name="常规 3 2" xfId="1953"/>
    <cellStyle name="常规 3 2 2" xfId="1954"/>
    <cellStyle name="常规 3 2 3" xfId="1955"/>
    <cellStyle name="常规 3 2 4" xfId="1956"/>
    <cellStyle name="常规 3 2 5" xfId="1957"/>
    <cellStyle name="常规 3 2 6" xfId="1958"/>
    <cellStyle name="常规 3 2 7" xfId="1959"/>
    <cellStyle name="常规 3 2 8" xfId="1960"/>
    <cellStyle name="常规 3 2 9" xfId="1961"/>
    <cellStyle name="常规 3 3" xfId="1962"/>
    <cellStyle name="常规 3 3 2" xfId="1963"/>
    <cellStyle name="常规 3 3 3" xfId="1964"/>
    <cellStyle name="常规 3 3 4" xfId="1965"/>
    <cellStyle name="常规 3 3 5" xfId="1966"/>
    <cellStyle name="常规 3 3 6" xfId="1967"/>
    <cellStyle name="常规 3 3 7" xfId="1968"/>
    <cellStyle name="常规 3 3 8" xfId="1969"/>
    <cellStyle name="常规 3 3 9" xfId="1970"/>
    <cellStyle name="常规 3 4" xfId="1971"/>
    <cellStyle name="常规 3 5" xfId="1972"/>
    <cellStyle name="常规 3 6" xfId="1973"/>
    <cellStyle name="常规 3 7" xfId="1974"/>
    <cellStyle name="常规 3 8" xfId="1975"/>
    <cellStyle name="常规 3 9" xfId="1976"/>
    <cellStyle name="常规 3_Book1" xfId="1977"/>
    <cellStyle name="常规 30" xfId="1978"/>
    <cellStyle name="常规 31" xfId="1979"/>
    <cellStyle name="常规 32" xfId="1980"/>
    <cellStyle name="常规 33" xfId="1981"/>
    <cellStyle name="常规 34" xfId="1982"/>
    <cellStyle name="常规 35" xfId="1983"/>
    <cellStyle name="常规 36" xfId="1984"/>
    <cellStyle name="常规 37" xfId="1985"/>
    <cellStyle name="常规 38" xfId="1986"/>
    <cellStyle name="常规 39" xfId="1987"/>
    <cellStyle name="常规 4" xfId="1988"/>
    <cellStyle name="常规 4 2" xfId="1989"/>
    <cellStyle name="常规 4 3" xfId="1990"/>
    <cellStyle name="常规 4 4" xfId="1991"/>
    <cellStyle name="常规 4 5" xfId="1992"/>
    <cellStyle name="常规 4 6" xfId="1993"/>
    <cellStyle name="常规 4 7" xfId="1994"/>
    <cellStyle name="常规 4 8" xfId="1995"/>
    <cellStyle name="常规 4 9" xfId="1996"/>
    <cellStyle name="常规 40" xfId="1997"/>
    <cellStyle name="常规 41" xfId="1998"/>
    <cellStyle name="常规 42" xfId="1999"/>
    <cellStyle name="常规 43" xfId="2000"/>
    <cellStyle name="常规 44" xfId="2001"/>
    <cellStyle name="常规 45" xfId="2002"/>
    <cellStyle name="常规 5" xfId="2003"/>
    <cellStyle name="常规 5 10" xfId="2004"/>
    <cellStyle name="常规 5 2" xfId="2005"/>
    <cellStyle name="常规 5 2 2" xfId="2006"/>
    <cellStyle name="常规 5 2 3" xfId="2007"/>
    <cellStyle name="常规 5 2 4" xfId="2008"/>
    <cellStyle name="常规 5 2 5" xfId="2009"/>
    <cellStyle name="常规 5 2 6" xfId="2010"/>
    <cellStyle name="常规 5 2 7" xfId="2011"/>
    <cellStyle name="常规 5 2 8" xfId="2012"/>
    <cellStyle name="常规 5 2 9" xfId="2013"/>
    <cellStyle name="常规 5 3" xfId="2014"/>
    <cellStyle name="常规 5 4" xfId="2015"/>
    <cellStyle name="常规 5 5" xfId="2016"/>
    <cellStyle name="常规 5 6" xfId="2017"/>
    <cellStyle name="常规 5 7" xfId="2018"/>
    <cellStyle name="常规 5 8" xfId="2019"/>
    <cellStyle name="常规 5 9" xfId="2020"/>
    <cellStyle name="常规 5_Book1" xfId="2021"/>
    <cellStyle name="常规 6" xfId="2022"/>
    <cellStyle name="常规 6 2" xfId="2023"/>
    <cellStyle name="常规 6 3" xfId="2024"/>
    <cellStyle name="常规 6 4" xfId="2025"/>
    <cellStyle name="常规 6 5" xfId="2026"/>
    <cellStyle name="常规 6 6" xfId="2027"/>
    <cellStyle name="常规 6 7" xfId="2028"/>
    <cellStyle name="常规 6 8" xfId="2029"/>
    <cellStyle name="常规 6 9" xfId="2030"/>
    <cellStyle name="常规 65" xfId="2031"/>
    <cellStyle name="常规 7" xfId="2032"/>
    <cellStyle name="常规 7 2" xfId="2033"/>
    <cellStyle name="常规 7 3" xfId="2034"/>
    <cellStyle name="常规 7 4" xfId="2035"/>
    <cellStyle name="常规 7 5" xfId="2036"/>
    <cellStyle name="常规 7 6" xfId="2037"/>
    <cellStyle name="常规 7 7" xfId="2038"/>
    <cellStyle name="常规 7 8" xfId="2039"/>
    <cellStyle name="常规 7 9" xfId="2040"/>
    <cellStyle name="常规 73" xfId="2041"/>
    <cellStyle name="常规 76" xfId="2042"/>
    <cellStyle name="常规 8" xfId="2043"/>
    <cellStyle name="常规 8 2" xfId="2044"/>
    <cellStyle name="常规 8 3" xfId="2045"/>
    <cellStyle name="常规 8 4" xfId="2046"/>
    <cellStyle name="常规 8 5" xfId="2047"/>
    <cellStyle name="常规 8 6" xfId="2048"/>
    <cellStyle name="常规 8 7" xfId="2049"/>
    <cellStyle name="常规 8 8" xfId="2050"/>
    <cellStyle name="常规 8 9" xfId="2051"/>
    <cellStyle name="常规 80" xfId="2052"/>
    <cellStyle name="常规 9" xfId="2053"/>
    <cellStyle name="常规 9 2" xfId="2054"/>
    <cellStyle name="常规_2001-2002年报表制度" xfId="2055"/>
    <cellStyle name="常规_2010年2月投资月报" xfId="2056"/>
    <cellStyle name="常规_2011年全省各市主要指标排位" xfId="2057"/>
    <cellStyle name="常规_Sheet1" xfId="2058"/>
    <cellStyle name="常规_分市5" xfId="2059"/>
    <cellStyle name="常规_农业产值" xfId="2060"/>
    <cellStyle name="常规_农业生产情况" xfId="2061"/>
    <cellStyle name="分级显示行_1_13区汇总" xfId="2062"/>
    <cellStyle name="分级显示列_1_Book1" xfId="2063"/>
    <cellStyle name="归盒啦_95" xfId="2064"/>
    <cellStyle name="好 10" xfId="2065"/>
    <cellStyle name="好 2" xfId="2066"/>
    <cellStyle name="好 3" xfId="2067"/>
    <cellStyle name="好 3 2" xfId="2068"/>
    <cellStyle name="好 3 3" xfId="2069"/>
    <cellStyle name="好 3 4" xfId="2070"/>
    <cellStyle name="好 3 5" xfId="2071"/>
    <cellStyle name="好 3 6" xfId="2072"/>
    <cellStyle name="好 3 7" xfId="2073"/>
    <cellStyle name="好 4" xfId="2074"/>
    <cellStyle name="好 4 2" xfId="2075"/>
    <cellStyle name="好 5" xfId="2076"/>
    <cellStyle name="好 5 2" xfId="2077"/>
    <cellStyle name="好 6" xfId="2078"/>
    <cellStyle name="好 6 2" xfId="2079"/>
    <cellStyle name="好 7" xfId="2080"/>
    <cellStyle name="好 7 2" xfId="2081"/>
    <cellStyle name="好 8" xfId="2082"/>
    <cellStyle name="好 8 2" xfId="2083"/>
    <cellStyle name="好 9" xfId="2084"/>
    <cellStyle name="好 9 2" xfId="2085"/>
    <cellStyle name="好_~4190974" xfId="2086"/>
    <cellStyle name="好_~4190974 2" xfId="2087"/>
    <cellStyle name="好_~4190974 3" xfId="2088"/>
    <cellStyle name="好_~4190974 4" xfId="2089"/>
    <cellStyle name="好_~4190974 5" xfId="2090"/>
    <cellStyle name="好_~4190974 6" xfId="2091"/>
    <cellStyle name="好_~4190974 7" xfId="2092"/>
    <cellStyle name="好_~4190974 8" xfId="2093"/>
    <cellStyle name="好_~4190974 9" xfId="2094"/>
    <cellStyle name="好_~5676413" xfId="2095"/>
    <cellStyle name="好_~5676413 2" xfId="2096"/>
    <cellStyle name="好_~5676413 3" xfId="2097"/>
    <cellStyle name="好_~5676413 4" xfId="2098"/>
    <cellStyle name="好_~5676413 5" xfId="2099"/>
    <cellStyle name="好_~5676413 6" xfId="2100"/>
    <cellStyle name="好_~5676413 7" xfId="2101"/>
    <cellStyle name="好_~5676413 8" xfId="2102"/>
    <cellStyle name="好_~5676413 9" xfId="2103"/>
    <cellStyle name="好_00省级(打印)" xfId="2104"/>
    <cellStyle name="好_00省级(打印) 2" xfId="2105"/>
    <cellStyle name="好_00省级(打印) 3" xfId="2106"/>
    <cellStyle name="好_00省级(打印) 4" xfId="2107"/>
    <cellStyle name="好_00省级(打印) 5" xfId="2108"/>
    <cellStyle name="好_00省级(打印) 6" xfId="2109"/>
    <cellStyle name="好_00省级(打印) 7" xfId="2110"/>
    <cellStyle name="好_00省级(打印) 8" xfId="2111"/>
    <cellStyle name="好_00省级(打印) 9" xfId="2112"/>
    <cellStyle name="好_00省级(定稿)" xfId="2113"/>
    <cellStyle name="好_00省级(定稿) 2" xfId="2114"/>
    <cellStyle name="好_00省级(定稿) 3" xfId="2115"/>
    <cellStyle name="好_00省级(定稿) 4" xfId="2116"/>
    <cellStyle name="好_00省级(定稿) 5" xfId="2117"/>
    <cellStyle name="好_00省级(定稿) 6" xfId="2118"/>
    <cellStyle name="好_00省级(定稿) 7" xfId="2119"/>
    <cellStyle name="好_00省级(定稿) 8" xfId="2120"/>
    <cellStyle name="好_00省级(定稿) 9" xfId="2121"/>
    <cellStyle name="好_03昭通" xfId="2122"/>
    <cellStyle name="好_03昭通 2" xfId="2123"/>
    <cellStyle name="好_03昭通 3" xfId="2124"/>
    <cellStyle name="好_03昭通 4" xfId="2125"/>
    <cellStyle name="好_03昭通 5" xfId="2126"/>
    <cellStyle name="好_03昭通 6" xfId="2127"/>
    <cellStyle name="好_03昭通 7" xfId="2128"/>
    <cellStyle name="好_03昭通 8" xfId="2129"/>
    <cellStyle name="好_03昭通 9" xfId="2130"/>
    <cellStyle name="好_0502通海县" xfId="2131"/>
    <cellStyle name="好_0502通海县 2" xfId="2132"/>
    <cellStyle name="好_0502通海县 3" xfId="2133"/>
    <cellStyle name="好_0502通海县 4" xfId="2134"/>
    <cellStyle name="好_0502通海县 5" xfId="2135"/>
    <cellStyle name="好_0502通海县 6" xfId="2136"/>
    <cellStyle name="好_0502通海县 7" xfId="2137"/>
    <cellStyle name="好_0502通海县 8" xfId="2138"/>
    <cellStyle name="好_0502通海县 9" xfId="2139"/>
    <cellStyle name="好_05玉溪" xfId="2140"/>
    <cellStyle name="好_05玉溪 2" xfId="2141"/>
    <cellStyle name="好_05玉溪 3" xfId="2142"/>
    <cellStyle name="好_05玉溪 4" xfId="2143"/>
    <cellStyle name="好_05玉溪 5" xfId="2144"/>
    <cellStyle name="好_05玉溪 6" xfId="2145"/>
    <cellStyle name="好_05玉溪 7" xfId="2146"/>
    <cellStyle name="好_05玉溪 8" xfId="2147"/>
    <cellStyle name="好_05玉溪 9" xfId="2148"/>
    <cellStyle name="好_0605石屏县" xfId="2149"/>
    <cellStyle name="好_0605石屏县 2" xfId="2150"/>
    <cellStyle name="好_0605石屏县 3" xfId="2151"/>
    <cellStyle name="好_0605石屏县 4" xfId="2152"/>
    <cellStyle name="好_0605石屏县 5" xfId="2153"/>
    <cellStyle name="好_0605石屏县 6" xfId="2154"/>
    <cellStyle name="好_0605石屏县 7" xfId="2155"/>
    <cellStyle name="好_0605石屏县 8" xfId="2156"/>
    <cellStyle name="好_0605石屏县 9" xfId="2157"/>
    <cellStyle name="好_1003牟定县" xfId="2158"/>
    <cellStyle name="好_1003牟定县 2" xfId="2159"/>
    <cellStyle name="好_1003牟定县 3" xfId="2160"/>
    <cellStyle name="好_1003牟定县 4" xfId="2161"/>
    <cellStyle name="好_1003牟定县 5" xfId="2162"/>
    <cellStyle name="好_1003牟定县 6" xfId="2163"/>
    <cellStyle name="好_1003牟定县 7" xfId="2164"/>
    <cellStyle name="好_1003牟定县 8" xfId="2165"/>
    <cellStyle name="好_1003牟定县 9" xfId="2166"/>
    <cellStyle name="好_1110洱源县" xfId="2167"/>
    <cellStyle name="好_1110洱源县 2" xfId="2168"/>
    <cellStyle name="好_1110洱源县 3" xfId="2169"/>
    <cellStyle name="好_1110洱源县 4" xfId="2170"/>
    <cellStyle name="好_1110洱源县 5" xfId="2171"/>
    <cellStyle name="好_1110洱源县 6" xfId="2172"/>
    <cellStyle name="好_1110洱源县 7" xfId="2173"/>
    <cellStyle name="好_1110洱源县 8" xfId="2174"/>
    <cellStyle name="好_1110洱源县 9" xfId="2175"/>
    <cellStyle name="好_11大理" xfId="2176"/>
    <cellStyle name="好_11大理 2" xfId="2177"/>
    <cellStyle name="好_11大理 3" xfId="2178"/>
    <cellStyle name="好_11大理 4" xfId="2179"/>
    <cellStyle name="好_11大理 5" xfId="2180"/>
    <cellStyle name="好_11大理 6" xfId="2181"/>
    <cellStyle name="好_11大理 7" xfId="2182"/>
    <cellStyle name="好_11大理 8" xfId="2183"/>
    <cellStyle name="好_11大理 9" xfId="2184"/>
    <cellStyle name="好_2、土地面积、人口、粮食产量基本情况" xfId="2185"/>
    <cellStyle name="好_2、土地面积、人口、粮食产量基本情况 2" xfId="2186"/>
    <cellStyle name="好_2、土地面积、人口、粮食产量基本情况 3" xfId="2187"/>
    <cellStyle name="好_2、土地面积、人口、粮食产量基本情况 4" xfId="2188"/>
    <cellStyle name="好_2、土地面积、人口、粮食产量基本情况 5" xfId="2189"/>
    <cellStyle name="好_2、土地面积、人口、粮食产量基本情况 6" xfId="2190"/>
    <cellStyle name="好_2、土地面积、人口、粮食产量基本情况 7" xfId="2191"/>
    <cellStyle name="好_2、土地面积、人口、粮食产量基本情况 8" xfId="2192"/>
    <cellStyle name="好_2、土地面积、人口、粮食产量基本情况 9" xfId="2193"/>
    <cellStyle name="好_2006年分析表" xfId="2194"/>
    <cellStyle name="好_2006年基础数据" xfId="2195"/>
    <cellStyle name="好_2006年基础数据 2" xfId="2196"/>
    <cellStyle name="好_2006年基础数据 3" xfId="2197"/>
    <cellStyle name="好_2006年基础数据 4" xfId="2198"/>
    <cellStyle name="好_2006年基础数据 5" xfId="2199"/>
    <cellStyle name="好_2006年基础数据 6" xfId="2200"/>
    <cellStyle name="好_2006年基础数据 7" xfId="2201"/>
    <cellStyle name="好_2006年基础数据 8" xfId="2202"/>
    <cellStyle name="好_2006年基础数据 9" xfId="2203"/>
    <cellStyle name="好_2006年全省财力计算表（中央、决算）" xfId="2204"/>
    <cellStyle name="好_2006年全省财力计算表（中央、决算） 2" xfId="2205"/>
    <cellStyle name="好_2006年全省财力计算表（中央、决算） 3" xfId="2206"/>
    <cellStyle name="好_2006年全省财力计算表（中央、决算） 4" xfId="2207"/>
    <cellStyle name="好_2006年全省财力计算表（中央、决算） 5" xfId="2208"/>
    <cellStyle name="好_2006年全省财力计算表（中央、决算） 6" xfId="2209"/>
    <cellStyle name="好_2006年全省财力计算表（中央、决算） 7" xfId="2210"/>
    <cellStyle name="好_2006年全省财力计算表（中央、决算） 8" xfId="2211"/>
    <cellStyle name="好_2006年全省财力计算表（中央、决算） 9" xfId="2212"/>
    <cellStyle name="好_2006年水利统计指标统计表" xfId="2213"/>
    <cellStyle name="好_2006年水利统计指标统计表 2" xfId="2214"/>
    <cellStyle name="好_2006年水利统计指标统计表 3" xfId="2215"/>
    <cellStyle name="好_2006年水利统计指标统计表 4" xfId="2216"/>
    <cellStyle name="好_2006年水利统计指标统计表 5" xfId="2217"/>
    <cellStyle name="好_2006年水利统计指标统计表 6" xfId="2218"/>
    <cellStyle name="好_2006年水利统计指标统计表 7" xfId="2219"/>
    <cellStyle name="好_2006年水利统计指标统计表 8" xfId="2220"/>
    <cellStyle name="好_2006年水利统计指标统计表 9" xfId="2221"/>
    <cellStyle name="好_2006年在职人员情况" xfId="2222"/>
    <cellStyle name="好_2006年在职人员情况 2" xfId="2223"/>
    <cellStyle name="好_2006年在职人员情况 3" xfId="2224"/>
    <cellStyle name="好_2006年在职人员情况 4" xfId="2225"/>
    <cellStyle name="好_2006年在职人员情况 5" xfId="2226"/>
    <cellStyle name="好_2006年在职人员情况 6" xfId="2227"/>
    <cellStyle name="好_2006年在职人员情况 7" xfId="2228"/>
    <cellStyle name="好_2006年在职人员情况 8" xfId="2229"/>
    <cellStyle name="好_2006年在职人员情况 9" xfId="2230"/>
    <cellStyle name="好_2007年检察院案件数" xfId="2231"/>
    <cellStyle name="好_2007年检察院案件数 2" xfId="2232"/>
    <cellStyle name="好_2007年检察院案件数 3" xfId="2233"/>
    <cellStyle name="好_2007年检察院案件数 4" xfId="2234"/>
    <cellStyle name="好_2007年检察院案件数 5" xfId="2235"/>
    <cellStyle name="好_2007年检察院案件数 6" xfId="2236"/>
    <cellStyle name="好_2007年检察院案件数 7" xfId="2237"/>
    <cellStyle name="好_2007年检察院案件数 8" xfId="2238"/>
    <cellStyle name="好_2007年检察院案件数 9" xfId="2239"/>
    <cellStyle name="好_2007年可用财力" xfId="2240"/>
    <cellStyle name="好_2007年人员分部门统计表" xfId="2241"/>
    <cellStyle name="好_2007年人员分部门统计表 2" xfId="2242"/>
    <cellStyle name="好_2007年人员分部门统计表 3" xfId="2243"/>
    <cellStyle name="好_2007年人员分部门统计表 4" xfId="2244"/>
    <cellStyle name="好_2007年人员分部门统计表 5" xfId="2245"/>
    <cellStyle name="好_2007年人员分部门统计表 6" xfId="2246"/>
    <cellStyle name="好_2007年人员分部门统计表 7" xfId="2247"/>
    <cellStyle name="好_2007年人员分部门统计表 8" xfId="2248"/>
    <cellStyle name="好_2007年人员分部门统计表 9" xfId="2249"/>
    <cellStyle name="好_2007年政法部门业务指标" xfId="2250"/>
    <cellStyle name="好_2007年政法部门业务指标 2" xfId="2251"/>
    <cellStyle name="好_2007年政法部门业务指标 3" xfId="2252"/>
    <cellStyle name="好_2007年政法部门业务指标 4" xfId="2253"/>
    <cellStyle name="好_2007年政法部门业务指标 5" xfId="2254"/>
    <cellStyle name="好_2007年政法部门业务指标 6" xfId="2255"/>
    <cellStyle name="好_2007年政法部门业务指标 7" xfId="2256"/>
    <cellStyle name="好_2007年政法部门业务指标 8" xfId="2257"/>
    <cellStyle name="好_2007年政法部门业务指标 9" xfId="2258"/>
    <cellStyle name="好_2008年县级公安保障标准落实奖励经费分配测算" xfId="2259"/>
    <cellStyle name="好_2008云南省分县市中小学教职工统计表（教育厅提供）" xfId="2260"/>
    <cellStyle name="好_2008云南省分县市中小学教职工统计表（教育厅提供） 2" xfId="2261"/>
    <cellStyle name="好_2008云南省分县市中小学教职工统计表（教育厅提供） 3" xfId="2262"/>
    <cellStyle name="好_2008云南省分县市中小学教职工统计表（教育厅提供） 4" xfId="2263"/>
    <cellStyle name="好_2008云南省分县市中小学教职工统计表（教育厅提供） 5" xfId="2264"/>
    <cellStyle name="好_2008云南省分县市中小学教职工统计表（教育厅提供） 6" xfId="2265"/>
    <cellStyle name="好_2008云南省分县市中小学教职工统计表（教育厅提供） 7" xfId="2266"/>
    <cellStyle name="好_2008云南省分县市中小学教职工统计表（教育厅提供） 8" xfId="2267"/>
    <cellStyle name="好_2008云南省分县市中小学教职工统计表（教育厅提供） 9" xfId="2268"/>
    <cellStyle name="好_2009年一般性转移支付标准工资" xfId="2269"/>
    <cellStyle name="好_2009年一般性转移支付标准工资 2" xfId="2270"/>
    <cellStyle name="好_2009年一般性转移支付标准工资 3" xfId="2271"/>
    <cellStyle name="好_2009年一般性转移支付标准工资 4" xfId="2272"/>
    <cellStyle name="好_2009年一般性转移支付标准工资 5" xfId="2273"/>
    <cellStyle name="好_2009年一般性转移支付标准工资 6" xfId="2274"/>
    <cellStyle name="好_2009年一般性转移支付标准工资 7" xfId="2275"/>
    <cellStyle name="好_2009年一般性转移支付标准工资 8" xfId="2276"/>
    <cellStyle name="好_2009年一般性转移支付标准工资 9" xfId="2277"/>
    <cellStyle name="好_2009年一般性转移支付标准工资_~4190974" xfId="2278"/>
    <cellStyle name="好_2009年一般性转移支付标准工资_~4190974 2" xfId="2279"/>
    <cellStyle name="好_2009年一般性转移支付标准工资_~4190974 3" xfId="2280"/>
    <cellStyle name="好_2009年一般性转移支付标准工资_~4190974 4" xfId="2281"/>
    <cellStyle name="好_2009年一般性转移支付标准工资_~4190974 5" xfId="2282"/>
    <cellStyle name="好_2009年一般性转移支付标准工资_~4190974 6" xfId="2283"/>
    <cellStyle name="好_2009年一般性转移支付标准工资_~4190974 7" xfId="2284"/>
    <cellStyle name="好_2009年一般性转移支付标准工资_~4190974 8" xfId="2285"/>
    <cellStyle name="好_2009年一般性转移支付标准工资_~4190974 9" xfId="2286"/>
    <cellStyle name="好_2009年一般性转移支付标准工资_~5676413" xfId="2287"/>
    <cellStyle name="好_2009年一般性转移支付标准工资_~5676413 2" xfId="2288"/>
    <cellStyle name="好_2009年一般性转移支付标准工资_~5676413 3" xfId="2289"/>
    <cellStyle name="好_2009年一般性转移支付标准工资_~5676413 4" xfId="2290"/>
    <cellStyle name="好_2009年一般性转移支付标准工资_~5676413 5" xfId="2291"/>
    <cellStyle name="好_2009年一般性转移支付标准工资_~5676413 6" xfId="2292"/>
    <cellStyle name="好_2009年一般性转移支付标准工资_~5676413 7" xfId="2293"/>
    <cellStyle name="好_2009年一般性转移支付标准工资_~5676413 8" xfId="2294"/>
    <cellStyle name="好_2009年一般性转移支付标准工资_~5676413 9" xfId="2295"/>
    <cellStyle name="好_2009年一般性转移支付标准工资_不用软件计算9.1不考虑经费管理评价xl" xfId="2296"/>
    <cellStyle name="好_2009年一般性转移支付标准工资_不用软件计算9.1不考虑经费管理评价xl 2" xfId="2297"/>
    <cellStyle name="好_2009年一般性转移支付标准工资_不用软件计算9.1不考虑经费管理评价xl 3" xfId="2298"/>
    <cellStyle name="好_2009年一般性转移支付标准工资_不用软件计算9.1不考虑经费管理评价xl 4" xfId="2299"/>
    <cellStyle name="好_2009年一般性转移支付标准工资_不用软件计算9.1不考虑经费管理评价xl 5" xfId="2300"/>
    <cellStyle name="好_2009年一般性转移支付标准工资_不用软件计算9.1不考虑经费管理评价xl 6" xfId="2301"/>
    <cellStyle name="好_2009年一般性转移支付标准工资_不用软件计算9.1不考虑经费管理评价xl 7" xfId="2302"/>
    <cellStyle name="好_2009年一般性转移支付标准工资_不用软件计算9.1不考虑经费管理评价xl 8" xfId="2303"/>
    <cellStyle name="好_2009年一般性转移支付标准工资_不用软件计算9.1不考虑经费管理评价xl 9" xfId="2304"/>
    <cellStyle name="好_2009年一般性转移支付标准工资_地方配套按人均增幅控制8.30xl" xfId="2305"/>
    <cellStyle name="好_2009年一般性转移支付标准工资_地方配套按人均增幅控制8.30xl 2" xfId="2306"/>
    <cellStyle name="好_2009年一般性转移支付标准工资_地方配套按人均增幅控制8.30xl 3" xfId="2307"/>
    <cellStyle name="好_2009年一般性转移支付标准工资_地方配套按人均增幅控制8.30xl 4" xfId="2308"/>
    <cellStyle name="好_2009年一般性转移支付标准工资_地方配套按人均增幅控制8.30xl 5" xfId="2309"/>
    <cellStyle name="好_2009年一般性转移支付标准工资_地方配套按人均增幅控制8.30xl 6" xfId="2310"/>
    <cellStyle name="好_2009年一般性转移支付标准工资_地方配套按人均增幅控制8.30xl 7" xfId="2311"/>
    <cellStyle name="好_2009年一般性转移支付标准工资_地方配套按人均增幅控制8.30xl 8" xfId="2312"/>
    <cellStyle name="好_2009年一般性转移支付标准工资_地方配套按人均增幅控制8.30xl 9" xfId="2313"/>
    <cellStyle name="好_2009年一般性转移支付标准工资_地方配套按人均增幅控制8.30一般预算平均增幅、人均可用财力平均增幅两次控制、社会治安系数调整、案件数调整xl" xfId="2314"/>
    <cellStyle name="好_2009年一般性转移支付标准工资_地方配套按人均增幅控制8.30一般预算平均增幅、人均可用财力平均增幅两次控制、社会治安系数调整、案件数调整xl 2" xfId="2315"/>
    <cellStyle name="好_2009年一般性转移支付标准工资_地方配套按人均增幅控制8.30一般预算平均增幅、人均可用财力平均增幅两次控制、社会治安系数调整、案件数调整xl 3" xfId="2316"/>
    <cellStyle name="好_2009年一般性转移支付标准工资_地方配套按人均增幅控制8.30一般预算平均增幅、人均可用财力平均增幅两次控制、社会治安系数调整、案件数调整xl 4" xfId="2317"/>
    <cellStyle name="好_2009年一般性转移支付标准工资_地方配套按人均增幅控制8.30一般预算平均增幅、人均可用财力平均增幅两次控制、社会治安系数调整、案件数调整xl 5" xfId="2318"/>
    <cellStyle name="好_2009年一般性转移支付标准工资_地方配套按人均增幅控制8.30一般预算平均增幅、人均可用财力平均增幅两次控制、社会治安系数调整、案件数调整xl 6" xfId="2319"/>
    <cellStyle name="好_2009年一般性转移支付标准工资_地方配套按人均增幅控制8.30一般预算平均增幅、人均可用财力平均增幅两次控制、社会治安系数调整、案件数调整xl 7" xfId="2320"/>
    <cellStyle name="好_2009年一般性转移支付标准工资_地方配套按人均增幅控制8.30一般预算平均增幅、人均可用财力平均增幅两次控制、社会治安系数调整、案件数调整xl 8" xfId="2321"/>
    <cellStyle name="好_2009年一般性转移支付标准工资_地方配套按人均增幅控制8.30一般预算平均增幅、人均可用财力平均增幅两次控制、社会治安系数调整、案件数调整xl 9" xfId="2322"/>
    <cellStyle name="好_2009年一般性转移支付标准工资_地方配套按人均增幅控制8.31（调整结案率后）xl" xfId="2323"/>
    <cellStyle name="好_2009年一般性转移支付标准工资_地方配套按人均增幅控制8.31（调整结案率后）xl 2" xfId="2324"/>
    <cellStyle name="好_2009年一般性转移支付标准工资_地方配套按人均增幅控制8.31（调整结案率后）xl 3" xfId="2325"/>
    <cellStyle name="好_2009年一般性转移支付标准工资_地方配套按人均增幅控制8.31（调整结案率后）xl 4" xfId="2326"/>
    <cellStyle name="好_2009年一般性转移支付标准工资_地方配套按人均增幅控制8.31（调整结案率后）xl 5" xfId="2327"/>
    <cellStyle name="好_2009年一般性转移支付标准工资_地方配套按人均增幅控制8.31（调整结案率后）xl 6" xfId="2328"/>
    <cellStyle name="好_2009年一般性转移支付标准工资_地方配套按人均增幅控制8.31（调整结案率后）xl 7" xfId="2329"/>
    <cellStyle name="好_2009年一般性转移支付标准工资_地方配套按人均增幅控制8.31（调整结案率后）xl 8" xfId="2330"/>
    <cellStyle name="好_2009年一般性转移支付标准工资_地方配套按人均增幅控制8.31（调整结案率后）xl 9" xfId="2331"/>
    <cellStyle name="好_2009年一般性转移支付标准工资_奖励补助测算5.22测试" xfId="2332"/>
    <cellStyle name="好_2009年一般性转移支付标准工资_奖励补助测算5.22测试 2" xfId="2333"/>
    <cellStyle name="好_2009年一般性转移支付标准工资_奖励补助测算5.22测试 3" xfId="2334"/>
    <cellStyle name="好_2009年一般性转移支付标准工资_奖励补助测算5.22测试 4" xfId="2335"/>
    <cellStyle name="好_2009年一般性转移支付标准工资_奖励补助测算5.22测试 5" xfId="2336"/>
    <cellStyle name="好_2009年一般性转移支付标准工资_奖励补助测算5.22测试 6" xfId="2337"/>
    <cellStyle name="好_2009年一般性转移支付标准工资_奖励补助测算5.22测试 7" xfId="2338"/>
    <cellStyle name="好_2009年一般性转移支付标准工资_奖励补助测算5.22测试 8" xfId="2339"/>
    <cellStyle name="好_2009年一般性转移支付标准工资_奖励补助测算5.22测试 9" xfId="2340"/>
    <cellStyle name="好_2009年一般性转移支付标准工资_奖励补助测算5.23新" xfId="2341"/>
    <cellStyle name="好_2009年一般性转移支付标准工资_奖励补助测算5.23新 2" xfId="2342"/>
    <cellStyle name="好_2009年一般性转移支付标准工资_奖励补助测算5.23新 3" xfId="2343"/>
    <cellStyle name="好_2009年一般性转移支付标准工资_奖励补助测算5.23新 4" xfId="2344"/>
    <cellStyle name="好_2009年一般性转移支付标准工资_奖励补助测算5.23新 5" xfId="2345"/>
    <cellStyle name="好_2009年一般性转移支付标准工资_奖励补助测算5.23新 6" xfId="2346"/>
    <cellStyle name="好_2009年一般性转移支付标准工资_奖励补助测算5.23新 7" xfId="2347"/>
    <cellStyle name="好_2009年一般性转移支付标准工资_奖励补助测算5.23新 8" xfId="2348"/>
    <cellStyle name="好_2009年一般性转移支付标准工资_奖励补助测算5.23新 9" xfId="2349"/>
    <cellStyle name="好_2009年一般性转移支付标准工资_奖励补助测算5.24冯铸" xfId="2350"/>
    <cellStyle name="好_2009年一般性转移支付标准工资_奖励补助测算5.24冯铸 2" xfId="2351"/>
    <cellStyle name="好_2009年一般性转移支付标准工资_奖励补助测算5.24冯铸 3" xfId="2352"/>
    <cellStyle name="好_2009年一般性转移支付标准工资_奖励补助测算5.24冯铸 4" xfId="2353"/>
    <cellStyle name="好_2009年一般性转移支付标准工资_奖励补助测算5.24冯铸 5" xfId="2354"/>
    <cellStyle name="好_2009年一般性转移支付标准工资_奖励补助测算5.24冯铸 6" xfId="2355"/>
    <cellStyle name="好_2009年一般性转移支付标准工资_奖励补助测算5.24冯铸 7" xfId="2356"/>
    <cellStyle name="好_2009年一般性转移支付标准工资_奖励补助测算5.24冯铸 8" xfId="2357"/>
    <cellStyle name="好_2009年一般性转移支付标准工资_奖励补助测算5.24冯铸 9" xfId="2358"/>
    <cellStyle name="好_2009年一般性转移支付标准工资_奖励补助测算7.23" xfId="2359"/>
    <cellStyle name="好_2009年一般性转移支付标准工资_奖励补助测算7.23 2" xfId="2360"/>
    <cellStyle name="好_2009年一般性转移支付标准工资_奖励补助测算7.23 3" xfId="2361"/>
    <cellStyle name="好_2009年一般性转移支付标准工资_奖励补助测算7.23 4" xfId="2362"/>
    <cellStyle name="好_2009年一般性转移支付标准工资_奖励补助测算7.23 5" xfId="2363"/>
    <cellStyle name="好_2009年一般性转移支付标准工资_奖励补助测算7.23 6" xfId="2364"/>
    <cellStyle name="好_2009年一般性转移支付标准工资_奖励补助测算7.23 7" xfId="2365"/>
    <cellStyle name="好_2009年一般性转移支付标准工资_奖励补助测算7.23 8" xfId="2366"/>
    <cellStyle name="好_2009年一般性转移支付标准工资_奖励补助测算7.23 9" xfId="2367"/>
    <cellStyle name="好_2009年一般性转移支付标准工资_奖励补助测算7.25" xfId="2368"/>
    <cellStyle name="好_2009年一般性转移支付标准工资_奖励补助测算7.25 (version 1) (version 1)" xfId="2369"/>
    <cellStyle name="好_2009年一般性转移支付标准工资_奖励补助测算7.25 (version 1) (version 1) 2" xfId="2370"/>
    <cellStyle name="好_2009年一般性转移支付标准工资_奖励补助测算7.25 (version 1) (version 1) 3" xfId="2371"/>
    <cellStyle name="好_2009年一般性转移支付标准工资_奖励补助测算7.25 (version 1) (version 1) 4" xfId="2372"/>
    <cellStyle name="好_2009年一般性转移支付标准工资_奖励补助测算7.25 (version 1) (version 1) 5" xfId="2373"/>
    <cellStyle name="好_2009年一般性转移支付标准工资_奖励补助测算7.25 (version 1) (version 1) 6" xfId="2374"/>
    <cellStyle name="好_2009年一般性转移支付标准工资_奖励补助测算7.25 (version 1) (version 1) 7" xfId="2375"/>
    <cellStyle name="好_2009年一般性转移支付标准工资_奖励补助测算7.25 (version 1) (version 1) 8" xfId="2376"/>
    <cellStyle name="好_2009年一般性转移支付标准工资_奖励补助测算7.25 (version 1) (version 1) 9" xfId="2377"/>
    <cellStyle name="好_2009年一般性转移支付标准工资_奖励补助测算7.25 2" xfId="2378"/>
    <cellStyle name="好_2009年一般性转移支付标准工资_奖励补助测算7.25 3" xfId="2379"/>
    <cellStyle name="好_2009年一般性转移支付标准工资_奖励补助测算7.25 4" xfId="2380"/>
    <cellStyle name="好_2009年一般性转移支付标准工资_奖励补助测算7.25 5" xfId="2381"/>
    <cellStyle name="好_2009年一般性转移支付标准工资_奖励补助测算7.25 6" xfId="2382"/>
    <cellStyle name="好_2009年一般性转移支付标准工资_奖励补助测算7.25 7" xfId="2383"/>
    <cellStyle name="好_2009年一般性转移支付标准工资_奖励补助测算7.25 8" xfId="2384"/>
    <cellStyle name="好_2009年一般性转移支付标准工资_奖励补助测算7.25 9" xfId="2385"/>
    <cellStyle name="好_530623_2006年县级财政报表附表" xfId="2386"/>
    <cellStyle name="好_530623_2006年县级财政报表附表 2" xfId="2387"/>
    <cellStyle name="好_530623_2006年县级财政报表附表 3" xfId="2388"/>
    <cellStyle name="好_530623_2006年县级财政报表附表 4" xfId="2389"/>
    <cellStyle name="好_530623_2006年县级财政报表附表 5" xfId="2390"/>
    <cellStyle name="好_530623_2006年县级财政报表附表 6" xfId="2391"/>
    <cellStyle name="好_530623_2006年县级财政报表附表 7" xfId="2392"/>
    <cellStyle name="好_530623_2006年县级财政报表附表 8" xfId="2393"/>
    <cellStyle name="好_530623_2006年县级财政报表附表 9" xfId="2394"/>
    <cellStyle name="好_530629_2006年县级财政报表附表" xfId="2395"/>
    <cellStyle name="好_530629_2006年县级财政报表附表 2" xfId="2396"/>
    <cellStyle name="好_530629_2006年县级财政报表附表 3" xfId="2397"/>
    <cellStyle name="好_530629_2006年县级财政报表附表 4" xfId="2398"/>
    <cellStyle name="好_530629_2006年县级财政报表附表 5" xfId="2399"/>
    <cellStyle name="好_530629_2006年县级财政报表附表 6" xfId="2400"/>
    <cellStyle name="好_530629_2006年县级财政报表附表 7" xfId="2401"/>
    <cellStyle name="好_530629_2006年县级财政报表附表 8" xfId="2402"/>
    <cellStyle name="好_530629_2006年县级财政报表附表 9" xfId="2403"/>
    <cellStyle name="好_5334_2006年迪庆县级财政报表附表" xfId="2404"/>
    <cellStyle name="好_5334_2006年迪庆县级财政报表附表 2" xfId="2405"/>
    <cellStyle name="好_5334_2006年迪庆县级财政报表附表 3" xfId="2406"/>
    <cellStyle name="好_5334_2006年迪庆县级财政报表附表 4" xfId="2407"/>
    <cellStyle name="好_5334_2006年迪庆县级财政报表附表 5" xfId="2408"/>
    <cellStyle name="好_5334_2006年迪庆县级财政报表附表 6" xfId="2409"/>
    <cellStyle name="好_5334_2006年迪庆县级财政报表附表 7" xfId="2410"/>
    <cellStyle name="好_5334_2006年迪庆县级财政报表附表 8" xfId="2411"/>
    <cellStyle name="好_5334_2006年迪庆县级财政报表附表 9" xfId="2412"/>
    <cellStyle name="好_Book1" xfId="2413"/>
    <cellStyle name="好_Book1 2" xfId="2414"/>
    <cellStyle name="好_Book1 3" xfId="2415"/>
    <cellStyle name="好_Book1 4" xfId="2416"/>
    <cellStyle name="好_Book1 5" xfId="2417"/>
    <cellStyle name="好_Book1 6" xfId="2418"/>
    <cellStyle name="好_Book1 7" xfId="2419"/>
    <cellStyle name="好_Book1 8" xfId="2420"/>
    <cellStyle name="好_Book1 9" xfId="2421"/>
    <cellStyle name="好_Book1_1" xfId="2422"/>
    <cellStyle name="好_Book1_1 2" xfId="2423"/>
    <cellStyle name="好_Book1_1 3" xfId="2424"/>
    <cellStyle name="好_Book1_1 4" xfId="2425"/>
    <cellStyle name="好_Book1_1 5" xfId="2426"/>
    <cellStyle name="好_Book1_1 6" xfId="2427"/>
    <cellStyle name="好_Book1_1 7" xfId="2428"/>
    <cellStyle name="好_Book1_1 8" xfId="2429"/>
    <cellStyle name="好_Book1_1 9" xfId="2430"/>
    <cellStyle name="好_Book2" xfId="2431"/>
    <cellStyle name="好_Book2 2" xfId="2432"/>
    <cellStyle name="好_Book2 3" xfId="2433"/>
    <cellStyle name="好_Book2 4" xfId="2434"/>
    <cellStyle name="好_Book2 5" xfId="2435"/>
    <cellStyle name="好_Book2 6" xfId="2436"/>
    <cellStyle name="好_Book2 7" xfId="2437"/>
    <cellStyle name="好_Book2 8" xfId="2438"/>
    <cellStyle name="好_Book2 9" xfId="2439"/>
    <cellStyle name="好_M01-2(州市补助收入)" xfId="2440"/>
    <cellStyle name="好_M01-2(州市补助收入) 2" xfId="2441"/>
    <cellStyle name="好_M01-2(州市补助收入) 3" xfId="2442"/>
    <cellStyle name="好_M01-2(州市补助收入) 4" xfId="2443"/>
    <cellStyle name="好_M01-2(州市补助收入) 5" xfId="2444"/>
    <cellStyle name="好_M01-2(州市补助收入) 6" xfId="2445"/>
    <cellStyle name="好_M01-2(州市补助收入) 7" xfId="2446"/>
    <cellStyle name="好_M01-2(州市补助收入) 8" xfId="2447"/>
    <cellStyle name="好_M01-2(州市补助收入) 9" xfId="2448"/>
    <cellStyle name="好_M03" xfId="2449"/>
    <cellStyle name="好_M03 2" xfId="2450"/>
    <cellStyle name="好_M03 3" xfId="2451"/>
    <cellStyle name="好_M03 4" xfId="2452"/>
    <cellStyle name="好_M03 5" xfId="2453"/>
    <cellStyle name="好_M03 6" xfId="2454"/>
    <cellStyle name="好_M03 7" xfId="2455"/>
    <cellStyle name="好_M03 8" xfId="2456"/>
    <cellStyle name="好_M03 9" xfId="2457"/>
    <cellStyle name="好_不用软件计算9.1不考虑经费管理评价xl" xfId="2458"/>
    <cellStyle name="好_不用软件计算9.1不考虑经费管理评价xl 2" xfId="2459"/>
    <cellStyle name="好_不用软件计算9.1不考虑经费管理评价xl 3" xfId="2460"/>
    <cellStyle name="好_不用软件计算9.1不考虑经费管理评价xl 4" xfId="2461"/>
    <cellStyle name="好_不用软件计算9.1不考虑经费管理评价xl 5" xfId="2462"/>
    <cellStyle name="好_不用软件计算9.1不考虑经费管理评价xl 6" xfId="2463"/>
    <cellStyle name="好_不用软件计算9.1不考虑经费管理评价xl 7" xfId="2464"/>
    <cellStyle name="好_不用软件计算9.1不考虑经费管理评价xl 8" xfId="2465"/>
    <cellStyle name="好_不用软件计算9.1不考虑经费管理评价xl 9" xfId="2466"/>
    <cellStyle name="好_财政供养人员" xfId="2467"/>
    <cellStyle name="好_财政供养人员 2" xfId="2468"/>
    <cellStyle name="好_财政供养人员 3" xfId="2469"/>
    <cellStyle name="好_财政供养人员 4" xfId="2470"/>
    <cellStyle name="好_财政供养人员 5" xfId="2471"/>
    <cellStyle name="好_财政供养人员 6" xfId="2472"/>
    <cellStyle name="好_财政供养人员 7" xfId="2473"/>
    <cellStyle name="好_财政供养人员 8" xfId="2474"/>
    <cellStyle name="好_财政供养人员 9" xfId="2475"/>
    <cellStyle name="好_财政支出对上级的依赖程度" xfId="2476"/>
    <cellStyle name="好_城建部门" xfId="2477"/>
    <cellStyle name="好_地方配套按人均增幅控制8.30xl" xfId="2478"/>
    <cellStyle name="好_地方配套按人均增幅控制8.30xl 2" xfId="2479"/>
    <cellStyle name="好_地方配套按人均增幅控制8.30xl 3" xfId="2480"/>
    <cellStyle name="好_地方配套按人均增幅控制8.30xl 4" xfId="2481"/>
    <cellStyle name="好_地方配套按人均增幅控制8.30xl 5" xfId="2482"/>
    <cellStyle name="好_地方配套按人均增幅控制8.30xl 6" xfId="2483"/>
    <cellStyle name="好_地方配套按人均增幅控制8.30xl 7" xfId="2484"/>
    <cellStyle name="好_地方配套按人均增幅控制8.30xl 8" xfId="2485"/>
    <cellStyle name="好_地方配套按人均增幅控制8.30xl 9" xfId="2486"/>
    <cellStyle name="好_地方配套按人均增幅控制8.30一般预算平均增幅、人均可用财力平均增幅两次控制、社会治安系数调整、案件数调整xl" xfId="2487"/>
    <cellStyle name="好_地方配套按人均增幅控制8.30一般预算平均增幅、人均可用财力平均增幅两次控制、社会治安系数调整、案件数调整xl 2" xfId="2488"/>
    <cellStyle name="好_地方配套按人均增幅控制8.30一般预算平均增幅、人均可用财力平均增幅两次控制、社会治安系数调整、案件数调整xl 3" xfId="2489"/>
    <cellStyle name="好_地方配套按人均增幅控制8.30一般预算平均增幅、人均可用财力平均增幅两次控制、社会治安系数调整、案件数调整xl 4" xfId="2490"/>
    <cellStyle name="好_地方配套按人均增幅控制8.30一般预算平均增幅、人均可用财力平均增幅两次控制、社会治安系数调整、案件数调整xl 5" xfId="2491"/>
    <cellStyle name="好_地方配套按人均增幅控制8.30一般预算平均增幅、人均可用财力平均增幅两次控制、社会治安系数调整、案件数调整xl 6" xfId="2492"/>
    <cellStyle name="好_地方配套按人均增幅控制8.30一般预算平均增幅、人均可用财力平均增幅两次控制、社会治安系数调整、案件数调整xl 7" xfId="2493"/>
    <cellStyle name="好_地方配套按人均增幅控制8.30一般预算平均增幅、人均可用财力平均增幅两次控制、社会治安系数调整、案件数调整xl 8" xfId="2494"/>
    <cellStyle name="好_地方配套按人均增幅控制8.30一般预算平均增幅、人均可用财力平均增幅两次控制、社会治安系数调整、案件数调整xl 9" xfId="2495"/>
    <cellStyle name="好_地方配套按人均增幅控制8.31（调整结案率后）xl" xfId="2496"/>
    <cellStyle name="好_地方配套按人均增幅控制8.31（调整结案率后）xl 2" xfId="2497"/>
    <cellStyle name="好_地方配套按人均增幅控制8.31（调整结案率后）xl 3" xfId="2498"/>
    <cellStyle name="好_地方配套按人均增幅控制8.31（调整结案率后）xl 4" xfId="2499"/>
    <cellStyle name="好_地方配套按人均增幅控制8.31（调整结案率后）xl 5" xfId="2500"/>
    <cellStyle name="好_地方配套按人均增幅控制8.31（调整结案率后）xl 6" xfId="2501"/>
    <cellStyle name="好_地方配套按人均增幅控制8.31（调整结案率后）xl 7" xfId="2502"/>
    <cellStyle name="好_地方配套按人均增幅控制8.31（调整结案率后）xl 8" xfId="2503"/>
    <cellStyle name="好_地方配套按人均增幅控制8.31（调整结案率后）xl 9" xfId="2504"/>
    <cellStyle name="好_第五部分(才淼、饶永宏）" xfId="2505"/>
    <cellStyle name="好_第五部分(才淼、饶永宏） 2" xfId="2506"/>
    <cellStyle name="好_第五部分(才淼、饶永宏） 3" xfId="2507"/>
    <cellStyle name="好_第五部分(才淼、饶永宏） 4" xfId="2508"/>
    <cellStyle name="好_第五部分(才淼、饶永宏） 5" xfId="2509"/>
    <cellStyle name="好_第五部分(才淼、饶永宏） 6" xfId="2510"/>
    <cellStyle name="好_第五部分(才淼、饶永宏） 7" xfId="2511"/>
    <cellStyle name="好_第五部分(才淼、饶永宏） 8" xfId="2512"/>
    <cellStyle name="好_第五部分(才淼、饶永宏） 9" xfId="2513"/>
    <cellStyle name="好_第一部分：综合全" xfId="2514"/>
    <cellStyle name="好_高中教师人数（教育厅1.6日提供）" xfId="2515"/>
    <cellStyle name="好_高中教师人数（教育厅1.6日提供） 2" xfId="2516"/>
    <cellStyle name="好_高中教师人数（教育厅1.6日提供） 3" xfId="2517"/>
    <cellStyle name="好_高中教师人数（教育厅1.6日提供） 4" xfId="2518"/>
    <cellStyle name="好_高中教师人数（教育厅1.6日提供） 5" xfId="2519"/>
    <cellStyle name="好_高中教师人数（教育厅1.6日提供） 6" xfId="2520"/>
    <cellStyle name="好_高中教师人数（教育厅1.6日提供） 7" xfId="2521"/>
    <cellStyle name="好_高中教师人数（教育厅1.6日提供） 8" xfId="2522"/>
    <cellStyle name="好_高中教师人数（教育厅1.6日提供） 9" xfId="2523"/>
    <cellStyle name="好_汇总" xfId="2524"/>
    <cellStyle name="好_汇总 2" xfId="2525"/>
    <cellStyle name="好_汇总 3" xfId="2526"/>
    <cellStyle name="好_汇总 4" xfId="2527"/>
    <cellStyle name="好_汇总 5" xfId="2528"/>
    <cellStyle name="好_汇总 6" xfId="2529"/>
    <cellStyle name="好_汇总 7" xfId="2530"/>
    <cellStyle name="好_汇总 8" xfId="2531"/>
    <cellStyle name="好_汇总 9" xfId="2532"/>
    <cellStyle name="好_汇总-县级财政报表附表" xfId="2533"/>
    <cellStyle name="好_汇总-县级财政报表附表 2" xfId="2534"/>
    <cellStyle name="好_汇总-县级财政报表附表 3" xfId="2535"/>
    <cellStyle name="好_汇总-县级财政报表附表 4" xfId="2536"/>
    <cellStyle name="好_汇总-县级财政报表附表 5" xfId="2537"/>
    <cellStyle name="好_汇总-县级财政报表附表 6" xfId="2538"/>
    <cellStyle name="好_汇总-县级财政报表附表 7" xfId="2539"/>
    <cellStyle name="好_汇总-县级财政报表附表 8" xfId="2540"/>
    <cellStyle name="好_汇总-县级财政报表附表 9" xfId="2541"/>
    <cellStyle name="好_基础数据分析" xfId="2542"/>
    <cellStyle name="好_基础数据分析 2" xfId="2543"/>
    <cellStyle name="好_基础数据分析 3" xfId="2544"/>
    <cellStyle name="好_基础数据分析 4" xfId="2545"/>
    <cellStyle name="好_基础数据分析 5" xfId="2546"/>
    <cellStyle name="好_基础数据分析 6" xfId="2547"/>
    <cellStyle name="好_基础数据分析 7" xfId="2548"/>
    <cellStyle name="好_基础数据分析 8" xfId="2549"/>
    <cellStyle name="好_基础数据分析 9" xfId="2550"/>
    <cellStyle name="好_检验表" xfId="2551"/>
    <cellStyle name="好_检验表（调整后）" xfId="2552"/>
    <cellStyle name="好_奖励补助测算5.22测试" xfId="2553"/>
    <cellStyle name="好_奖励补助测算5.22测试 2" xfId="2554"/>
    <cellStyle name="好_奖励补助测算5.22测试 3" xfId="2555"/>
    <cellStyle name="好_奖励补助测算5.22测试 4" xfId="2556"/>
    <cellStyle name="好_奖励补助测算5.22测试 5" xfId="2557"/>
    <cellStyle name="好_奖励补助测算5.22测试 6" xfId="2558"/>
    <cellStyle name="好_奖励补助测算5.22测试 7" xfId="2559"/>
    <cellStyle name="好_奖励补助测算5.22测试 8" xfId="2560"/>
    <cellStyle name="好_奖励补助测算5.22测试 9" xfId="2561"/>
    <cellStyle name="好_奖励补助测算5.23新" xfId="2562"/>
    <cellStyle name="好_奖励补助测算5.23新 2" xfId="2563"/>
    <cellStyle name="好_奖励补助测算5.23新 3" xfId="2564"/>
    <cellStyle name="好_奖励补助测算5.23新 4" xfId="2565"/>
    <cellStyle name="好_奖励补助测算5.23新 5" xfId="2566"/>
    <cellStyle name="好_奖励补助测算5.23新 6" xfId="2567"/>
    <cellStyle name="好_奖励补助测算5.23新 7" xfId="2568"/>
    <cellStyle name="好_奖励补助测算5.23新 8" xfId="2569"/>
    <cellStyle name="好_奖励补助测算5.23新 9" xfId="2570"/>
    <cellStyle name="好_奖励补助测算5.24冯铸" xfId="2571"/>
    <cellStyle name="好_奖励补助测算5.24冯铸 2" xfId="2572"/>
    <cellStyle name="好_奖励补助测算5.24冯铸 3" xfId="2573"/>
    <cellStyle name="好_奖励补助测算5.24冯铸 4" xfId="2574"/>
    <cellStyle name="好_奖励补助测算5.24冯铸 5" xfId="2575"/>
    <cellStyle name="好_奖励补助测算5.24冯铸 6" xfId="2576"/>
    <cellStyle name="好_奖励补助测算5.24冯铸 7" xfId="2577"/>
    <cellStyle name="好_奖励补助测算5.24冯铸 8" xfId="2578"/>
    <cellStyle name="好_奖励补助测算5.24冯铸 9" xfId="2579"/>
    <cellStyle name="好_奖励补助测算7.23" xfId="2580"/>
    <cellStyle name="好_奖励补助测算7.23 2" xfId="2581"/>
    <cellStyle name="好_奖励补助测算7.23 3" xfId="2582"/>
    <cellStyle name="好_奖励补助测算7.23 4" xfId="2583"/>
    <cellStyle name="好_奖励补助测算7.23 5" xfId="2584"/>
    <cellStyle name="好_奖励补助测算7.23 6" xfId="2585"/>
    <cellStyle name="好_奖励补助测算7.23 7" xfId="2586"/>
    <cellStyle name="好_奖励补助测算7.23 8" xfId="2587"/>
    <cellStyle name="好_奖励补助测算7.23 9" xfId="2588"/>
    <cellStyle name="好_奖励补助测算7.25" xfId="2589"/>
    <cellStyle name="好_奖励补助测算7.25 (version 1) (version 1)" xfId="2590"/>
    <cellStyle name="好_奖励补助测算7.25 (version 1) (version 1) 2" xfId="2591"/>
    <cellStyle name="好_奖励补助测算7.25 (version 1) (version 1) 3" xfId="2592"/>
    <cellStyle name="好_奖励补助测算7.25 (version 1) (version 1) 4" xfId="2593"/>
    <cellStyle name="好_奖励补助测算7.25 (version 1) (version 1) 5" xfId="2594"/>
    <cellStyle name="好_奖励补助测算7.25 (version 1) (version 1) 6" xfId="2595"/>
    <cellStyle name="好_奖励补助测算7.25 (version 1) (version 1) 7" xfId="2596"/>
    <cellStyle name="好_奖励补助测算7.25 (version 1) (version 1) 8" xfId="2597"/>
    <cellStyle name="好_奖励补助测算7.25 (version 1) (version 1) 9" xfId="2598"/>
    <cellStyle name="好_奖励补助测算7.25 2" xfId="2599"/>
    <cellStyle name="好_奖励补助测算7.25 3" xfId="2600"/>
    <cellStyle name="好_奖励补助测算7.25 4" xfId="2601"/>
    <cellStyle name="好_奖励补助测算7.25 5" xfId="2602"/>
    <cellStyle name="好_奖励补助测算7.25 6" xfId="2603"/>
    <cellStyle name="好_奖励补助测算7.25 7" xfId="2604"/>
    <cellStyle name="好_奖励补助测算7.25 8" xfId="2605"/>
    <cellStyle name="好_奖励补助测算7.25 9" xfId="2606"/>
    <cellStyle name="好_教师绩效工资测算表（离退休按各地上报数测算）2009年1月1日" xfId="2607"/>
    <cellStyle name="好_教育厅提供义务教育及高中教师人数（2009年1月6日）" xfId="2608"/>
    <cellStyle name="好_教育厅提供义务教育及高中教师人数（2009年1月6日） 2" xfId="2609"/>
    <cellStyle name="好_教育厅提供义务教育及高中教师人数（2009年1月6日） 3" xfId="2610"/>
    <cellStyle name="好_教育厅提供义务教育及高中教师人数（2009年1月6日） 4" xfId="2611"/>
    <cellStyle name="好_教育厅提供义务教育及高中教师人数（2009年1月6日） 5" xfId="2612"/>
    <cellStyle name="好_教育厅提供义务教育及高中教师人数（2009年1月6日） 6" xfId="2613"/>
    <cellStyle name="好_教育厅提供义务教育及高中教师人数（2009年1月6日） 7" xfId="2614"/>
    <cellStyle name="好_教育厅提供义务教育及高中教师人数（2009年1月6日） 8" xfId="2615"/>
    <cellStyle name="好_教育厅提供义务教育及高中教师人数（2009年1月6日） 9" xfId="2616"/>
    <cellStyle name="好_历年教师人数" xfId="2617"/>
    <cellStyle name="好_丽江汇总" xfId="2618"/>
    <cellStyle name="好_三季度－表二" xfId="2619"/>
    <cellStyle name="好_三季度－表二 2" xfId="2620"/>
    <cellStyle name="好_三季度－表二 3" xfId="2621"/>
    <cellStyle name="好_三季度－表二 4" xfId="2622"/>
    <cellStyle name="好_三季度－表二 5" xfId="2623"/>
    <cellStyle name="好_三季度－表二 6" xfId="2624"/>
    <cellStyle name="好_三季度－表二 7" xfId="2625"/>
    <cellStyle name="好_三季度－表二 8" xfId="2626"/>
    <cellStyle name="好_三季度－表二 9" xfId="2627"/>
    <cellStyle name="好_卫生部门" xfId="2628"/>
    <cellStyle name="好_卫生部门 2" xfId="2629"/>
    <cellStyle name="好_卫生部门 3" xfId="2630"/>
    <cellStyle name="好_卫生部门 4" xfId="2631"/>
    <cellStyle name="好_卫生部门 5" xfId="2632"/>
    <cellStyle name="好_卫生部门 6" xfId="2633"/>
    <cellStyle name="好_卫生部门 7" xfId="2634"/>
    <cellStyle name="好_卫生部门 8" xfId="2635"/>
    <cellStyle name="好_卫生部门 9" xfId="2636"/>
    <cellStyle name="好_文体广播部门" xfId="2637"/>
    <cellStyle name="好_下半年禁毒办案经费分配2544.3万元" xfId="2638"/>
    <cellStyle name="好_下半年禁吸戒毒经费1000万元" xfId="2639"/>
    <cellStyle name="好_下半年禁吸戒毒经费1000万元 2" xfId="2640"/>
    <cellStyle name="好_下半年禁吸戒毒经费1000万元 3" xfId="2641"/>
    <cellStyle name="好_下半年禁吸戒毒经费1000万元 4" xfId="2642"/>
    <cellStyle name="好_下半年禁吸戒毒经费1000万元 5" xfId="2643"/>
    <cellStyle name="好_下半年禁吸戒毒经费1000万元 6" xfId="2644"/>
    <cellStyle name="好_下半年禁吸戒毒经费1000万元 7" xfId="2645"/>
    <cellStyle name="好_下半年禁吸戒毒经费1000万元 8" xfId="2646"/>
    <cellStyle name="好_下半年禁吸戒毒经费1000万元 9" xfId="2647"/>
    <cellStyle name="好_县级公安机关公用经费标准奖励测算方案（定稿）" xfId="2648"/>
    <cellStyle name="好_县级公安机关公用经费标准奖励测算方案（定稿） 2" xfId="2649"/>
    <cellStyle name="好_县级公安机关公用经费标准奖励测算方案（定稿） 3" xfId="2650"/>
    <cellStyle name="好_县级公安机关公用经费标准奖励测算方案（定稿） 4" xfId="2651"/>
    <cellStyle name="好_县级公安机关公用经费标准奖励测算方案（定稿） 5" xfId="2652"/>
    <cellStyle name="好_县级公安机关公用经费标准奖励测算方案（定稿） 6" xfId="2653"/>
    <cellStyle name="好_县级公安机关公用经费标准奖励测算方案（定稿） 7" xfId="2654"/>
    <cellStyle name="好_县级公安机关公用经费标准奖励测算方案（定稿） 8" xfId="2655"/>
    <cellStyle name="好_县级公安机关公用经费标准奖励测算方案（定稿） 9" xfId="2656"/>
    <cellStyle name="好_县级基础数据" xfId="2657"/>
    <cellStyle name="好_业务工作量指标" xfId="2658"/>
    <cellStyle name="好_业务工作量指标 2" xfId="2659"/>
    <cellStyle name="好_业务工作量指标 3" xfId="2660"/>
    <cellStyle name="好_业务工作量指标 4" xfId="2661"/>
    <cellStyle name="好_业务工作量指标 5" xfId="2662"/>
    <cellStyle name="好_业务工作量指标 6" xfId="2663"/>
    <cellStyle name="好_业务工作量指标 7" xfId="2664"/>
    <cellStyle name="好_业务工作量指标 8" xfId="2665"/>
    <cellStyle name="好_业务工作量指标 9" xfId="2666"/>
    <cellStyle name="好_义务教育阶段教职工人数（教育厅提供最终）" xfId="2667"/>
    <cellStyle name="好_义务教育阶段教职工人数（教育厅提供最终） 2" xfId="2668"/>
    <cellStyle name="好_义务教育阶段教职工人数（教育厅提供最终） 3" xfId="2669"/>
    <cellStyle name="好_义务教育阶段教职工人数（教育厅提供最终） 4" xfId="2670"/>
    <cellStyle name="好_义务教育阶段教职工人数（教育厅提供最终） 5" xfId="2671"/>
    <cellStyle name="好_义务教育阶段教职工人数（教育厅提供最终） 6" xfId="2672"/>
    <cellStyle name="好_义务教育阶段教职工人数（教育厅提供最终） 7" xfId="2673"/>
    <cellStyle name="好_义务教育阶段教职工人数（教育厅提供最终） 8" xfId="2674"/>
    <cellStyle name="好_义务教育阶段教职工人数（教育厅提供最终） 9" xfId="2675"/>
    <cellStyle name="好_云南农村义务教育统计表" xfId="2676"/>
    <cellStyle name="好_云南农村义务教育统计表 2" xfId="2677"/>
    <cellStyle name="好_云南农村义务教育统计表 3" xfId="2678"/>
    <cellStyle name="好_云南农村义务教育统计表 4" xfId="2679"/>
    <cellStyle name="好_云南农村义务教育统计表 5" xfId="2680"/>
    <cellStyle name="好_云南农村义务教育统计表 6" xfId="2681"/>
    <cellStyle name="好_云南农村义务教育统计表 7" xfId="2682"/>
    <cellStyle name="好_云南农村义务教育统计表 8" xfId="2683"/>
    <cellStyle name="好_云南农村义务教育统计表 9" xfId="2684"/>
    <cellStyle name="好_云南省2008年中小学教师人数统计表" xfId="2685"/>
    <cellStyle name="好_云南省2008年中小学教职工情况（教育厅提供20090101加工整理）" xfId="2686"/>
    <cellStyle name="好_云南省2008年中小学教职工情况（教育厅提供20090101加工整理） 2" xfId="2687"/>
    <cellStyle name="好_云南省2008年中小学教职工情况（教育厅提供20090101加工整理） 3" xfId="2688"/>
    <cellStyle name="好_云南省2008年中小学教职工情况（教育厅提供20090101加工整理） 4" xfId="2689"/>
    <cellStyle name="好_云南省2008年中小学教职工情况（教育厅提供20090101加工整理） 5" xfId="2690"/>
    <cellStyle name="好_云南省2008年中小学教职工情况（教育厅提供20090101加工整理） 6" xfId="2691"/>
    <cellStyle name="好_云南省2008年中小学教职工情况（教育厅提供20090101加工整理） 7" xfId="2692"/>
    <cellStyle name="好_云南省2008年中小学教职工情况（教育厅提供20090101加工整理） 8" xfId="2693"/>
    <cellStyle name="好_云南省2008年中小学教职工情况（教育厅提供20090101加工整理） 9" xfId="2694"/>
    <cellStyle name="好_云南省2008年转移支付测算——州市本级考核部分及政策性测算" xfId="2695"/>
    <cellStyle name="好_云南省2008年转移支付测算——州市本级考核部分及政策性测算 2" xfId="2696"/>
    <cellStyle name="好_云南省2008年转移支付测算——州市本级考核部分及政策性测算 3" xfId="2697"/>
    <cellStyle name="好_云南省2008年转移支付测算——州市本级考核部分及政策性测算 4" xfId="2698"/>
    <cellStyle name="好_云南省2008年转移支付测算——州市本级考核部分及政策性测算 5" xfId="2699"/>
    <cellStyle name="好_云南省2008年转移支付测算——州市本级考核部分及政策性测算 6" xfId="2700"/>
    <cellStyle name="好_云南省2008年转移支付测算——州市本级考核部分及政策性测算 7" xfId="2701"/>
    <cellStyle name="好_云南省2008年转移支付测算——州市本级考核部分及政策性测算 8" xfId="2702"/>
    <cellStyle name="好_云南省2008年转移支付测算——州市本级考核部分及政策性测算 9" xfId="2703"/>
    <cellStyle name="好_指标四" xfId="2704"/>
    <cellStyle name="好_指标四 2" xfId="2705"/>
    <cellStyle name="好_指标四 3" xfId="2706"/>
    <cellStyle name="好_指标四 4" xfId="2707"/>
    <cellStyle name="好_指标四 5" xfId="2708"/>
    <cellStyle name="好_指标四 6" xfId="2709"/>
    <cellStyle name="好_指标四 7" xfId="2710"/>
    <cellStyle name="好_指标四 8" xfId="2711"/>
    <cellStyle name="好_指标四 9" xfId="2712"/>
    <cellStyle name="好_指标五" xfId="2713"/>
    <cellStyle name="后继超链接" xfId="2714"/>
    <cellStyle name="后继超链接 2" xfId="2715"/>
    <cellStyle name="后继超链接 3" xfId="2716"/>
    <cellStyle name="后继超链接 4" xfId="2717"/>
    <cellStyle name="后继超链接 5" xfId="2718"/>
    <cellStyle name="后继超链接 6" xfId="2719"/>
    <cellStyle name="后继超链接 7" xfId="2720"/>
    <cellStyle name="后继超链接 8" xfId="2721"/>
    <cellStyle name="后继超链接 9" xfId="2722"/>
    <cellStyle name="汇总 10" xfId="2723"/>
    <cellStyle name="汇总 2" xfId="2724"/>
    <cellStyle name="汇总 3" xfId="2725"/>
    <cellStyle name="汇总 3 2" xfId="2726"/>
    <cellStyle name="汇总 3 3" xfId="2727"/>
    <cellStyle name="汇总 3 4" xfId="2728"/>
    <cellStyle name="汇总 3 5" xfId="2729"/>
    <cellStyle name="汇总 3 6" xfId="2730"/>
    <cellStyle name="汇总 3 7" xfId="2731"/>
    <cellStyle name="汇总 4" xfId="2732"/>
    <cellStyle name="汇总 4 2" xfId="2733"/>
    <cellStyle name="汇总 5" xfId="2734"/>
    <cellStyle name="汇总 5 2" xfId="2735"/>
    <cellStyle name="汇总 6" xfId="2736"/>
    <cellStyle name="汇总 6 2" xfId="2737"/>
    <cellStyle name="汇总 7" xfId="2738"/>
    <cellStyle name="汇总 7 2" xfId="2739"/>
    <cellStyle name="汇总 8" xfId="2740"/>
    <cellStyle name="汇总 8 2" xfId="2741"/>
    <cellStyle name="汇总 9" xfId="2742"/>
    <cellStyle name="汇总 9 2" xfId="2743"/>
    <cellStyle name="计算 10" xfId="2744"/>
    <cellStyle name="计算 2" xfId="2745"/>
    <cellStyle name="计算 3" xfId="2746"/>
    <cellStyle name="计算 3 2" xfId="2747"/>
    <cellStyle name="计算 3 3" xfId="2748"/>
    <cellStyle name="计算 3 4" xfId="2749"/>
    <cellStyle name="计算 3 5" xfId="2750"/>
    <cellStyle name="计算 3 6" xfId="2751"/>
    <cellStyle name="计算 3 7" xfId="2752"/>
    <cellStyle name="计算 4" xfId="2753"/>
    <cellStyle name="计算 4 2" xfId="2754"/>
    <cellStyle name="计算 5" xfId="2755"/>
    <cellStyle name="计算 5 2" xfId="2756"/>
    <cellStyle name="计算 6" xfId="2757"/>
    <cellStyle name="计算 6 2" xfId="2758"/>
    <cellStyle name="计算 7" xfId="2759"/>
    <cellStyle name="计算 7 2" xfId="2760"/>
    <cellStyle name="计算 8" xfId="2761"/>
    <cellStyle name="计算 8 2" xfId="2762"/>
    <cellStyle name="计算 9" xfId="2763"/>
    <cellStyle name="计算 9 2" xfId="2764"/>
    <cellStyle name="检查单元格 10" xfId="2765"/>
    <cellStyle name="检查单元格 2" xfId="2766"/>
    <cellStyle name="检查单元格 3" xfId="2767"/>
    <cellStyle name="检查单元格 3 2" xfId="2768"/>
    <cellStyle name="检查单元格 3 3" xfId="2769"/>
    <cellStyle name="检查单元格 3 4" xfId="2770"/>
    <cellStyle name="检查单元格 3 5" xfId="2771"/>
    <cellStyle name="检查单元格 3 6" xfId="2772"/>
    <cellStyle name="检查单元格 3 7" xfId="2773"/>
    <cellStyle name="检查单元格 4" xfId="2774"/>
    <cellStyle name="检查单元格 4 2" xfId="2775"/>
    <cellStyle name="检查单元格 5" xfId="2776"/>
    <cellStyle name="检查单元格 5 2" xfId="2777"/>
    <cellStyle name="检查单元格 6" xfId="2778"/>
    <cellStyle name="检查单元格 6 2" xfId="2779"/>
    <cellStyle name="检查单元格 7" xfId="2780"/>
    <cellStyle name="检查单元格 7 2" xfId="2781"/>
    <cellStyle name="检查单元格 8" xfId="2782"/>
    <cellStyle name="检查单元格 8 2" xfId="2783"/>
    <cellStyle name="检查单元格 9" xfId="2784"/>
    <cellStyle name="检查单元格 9 2" xfId="2785"/>
    <cellStyle name="解释性文本 10" xfId="2786"/>
    <cellStyle name="解释性文本 2" xfId="2787"/>
    <cellStyle name="解释性文本 3" xfId="2788"/>
    <cellStyle name="解释性文本 3 2" xfId="2789"/>
    <cellStyle name="解释性文本 3 3" xfId="2790"/>
    <cellStyle name="解释性文本 3 4" xfId="2791"/>
    <cellStyle name="解释性文本 3 5" xfId="2792"/>
    <cellStyle name="解释性文本 3 6" xfId="2793"/>
    <cellStyle name="解释性文本 3 7" xfId="2794"/>
    <cellStyle name="解释性文本 4" xfId="2795"/>
    <cellStyle name="解释性文本 4 2" xfId="2796"/>
    <cellStyle name="解释性文本 5" xfId="2797"/>
    <cellStyle name="解释性文本 5 2" xfId="2798"/>
    <cellStyle name="解释性文本 6" xfId="2799"/>
    <cellStyle name="解释性文本 6 2" xfId="2800"/>
    <cellStyle name="解释性文本 7" xfId="2801"/>
    <cellStyle name="解释性文本 7 2" xfId="2802"/>
    <cellStyle name="解释性文本 8" xfId="2803"/>
    <cellStyle name="解释性文本 8 2" xfId="2804"/>
    <cellStyle name="解释性文本 9" xfId="2805"/>
    <cellStyle name="解释性文本 9 2" xfId="2806"/>
    <cellStyle name="借出原因" xfId="2807"/>
    <cellStyle name="警告文本 10" xfId="2808"/>
    <cellStyle name="警告文本 2" xfId="2809"/>
    <cellStyle name="警告文本 3" xfId="2810"/>
    <cellStyle name="警告文本 3 2" xfId="2811"/>
    <cellStyle name="警告文本 3 3" xfId="2812"/>
    <cellStyle name="警告文本 3 4" xfId="2813"/>
    <cellStyle name="警告文本 3 5" xfId="2814"/>
    <cellStyle name="警告文本 3 6" xfId="2815"/>
    <cellStyle name="警告文本 3 7" xfId="2816"/>
    <cellStyle name="警告文本 4" xfId="2817"/>
    <cellStyle name="警告文本 4 2" xfId="2818"/>
    <cellStyle name="警告文本 5" xfId="2819"/>
    <cellStyle name="警告文本 5 2" xfId="2820"/>
    <cellStyle name="警告文本 6" xfId="2821"/>
    <cellStyle name="警告文本 6 2" xfId="2822"/>
    <cellStyle name="警告文本 7" xfId="2823"/>
    <cellStyle name="警告文本 7 2" xfId="2824"/>
    <cellStyle name="警告文本 8" xfId="2825"/>
    <cellStyle name="警告文本 8 2" xfId="2826"/>
    <cellStyle name="警告文本 9" xfId="2827"/>
    <cellStyle name="警告文本 9 2" xfId="2828"/>
    <cellStyle name="链接单元格 10" xfId="2829"/>
    <cellStyle name="链接单元格 2" xfId="2830"/>
    <cellStyle name="链接单元格 3" xfId="2831"/>
    <cellStyle name="链接单元格 3 2" xfId="2832"/>
    <cellStyle name="链接单元格 3 3" xfId="2833"/>
    <cellStyle name="链接单元格 3 4" xfId="2834"/>
    <cellStyle name="链接单元格 3 5" xfId="2835"/>
    <cellStyle name="链接单元格 3 6" xfId="2836"/>
    <cellStyle name="链接单元格 3 7" xfId="2837"/>
    <cellStyle name="链接单元格 4" xfId="2838"/>
    <cellStyle name="链接单元格 4 2" xfId="2839"/>
    <cellStyle name="链接单元格 5" xfId="2840"/>
    <cellStyle name="链接单元格 5 2" xfId="2841"/>
    <cellStyle name="链接单元格 6" xfId="2842"/>
    <cellStyle name="链接单元格 6 2" xfId="2843"/>
    <cellStyle name="链接单元格 7" xfId="2844"/>
    <cellStyle name="链接单元格 7 2" xfId="2845"/>
    <cellStyle name="链接单元格 8" xfId="2846"/>
    <cellStyle name="链接单元格 8 2" xfId="2847"/>
    <cellStyle name="链接单元格 9" xfId="2848"/>
    <cellStyle name="链接单元格 9 2" xfId="2849"/>
    <cellStyle name="霓付 [0]_ +Foil &amp; -FOIL &amp; PAPER" xfId="2850"/>
    <cellStyle name="霓付_ +Foil &amp; -FOIL &amp; PAPER" xfId="2851"/>
    <cellStyle name="烹拳 [0]_ +Foil &amp; -FOIL &amp; PAPER" xfId="2852"/>
    <cellStyle name="烹拳_ +Foil &amp; -FOIL &amp; PAPER" xfId="2853"/>
    <cellStyle name="普通_ 白土" xfId="2854"/>
    <cellStyle name="千分位[0]_ 白土" xfId="2855"/>
    <cellStyle name="千分位_ 白土" xfId="2856"/>
    <cellStyle name="千位[0]_ 方正PC" xfId="2857"/>
    <cellStyle name="千位_ 方正PC" xfId="2858"/>
    <cellStyle name="千位分隔 2" xfId="2859"/>
    <cellStyle name="千位分隔 2 10" xfId="2860"/>
    <cellStyle name="千位分隔 2 2" xfId="2861"/>
    <cellStyle name="千位分隔 2 2 2" xfId="2862"/>
    <cellStyle name="千位分隔 2 2 3" xfId="2863"/>
    <cellStyle name="千位分隔 2 2 4" xfId="2864"/>
    <cellStyle name="千位分隔 2 2 5" xfId="2865"/>
    <cellStyle name="千位分隔 2 2 6" xfId="2866"/>
    <cellStyle name="千位分隔 2 2 7" xfId="2867"/>
    <cellStyle name="千位分隔 2 2 8" xfId="2868"/>
    <cellStyle name="千位分隔 2 2 9" xfId="2869"/>
    <cellStyle name="千位分隔 2 3" xfId="2870"/>
    <cellStyle name="千位分隔 2 4" xfId="2871"/>
    <cellStyle name="千位分隔 2 5" xfId="2872"/>
    <cellStyle name="千位分隔 2 6" xfId="2873"/>
    <cellStyle name="千位分隔 2 7" xfId="2874"/>
    <cellStyle name="千位分隔 2 8" xfId="2875"/>
    <cellStyle name="千位分隔 2 9" xfId="2876"/>
    <cellStyle name="千位分隔 3" xfId="2877"/>
    <cellStyle name="千位分隔 3 2" xfId="2878"/>
    <cellStyle name="千位分隔 3 3" xfId="2879"/>
    <cellStyle name="千位分隔 3 4" xfId="2880"/>
    <cellStyle name="千位分隔 3 5" xfId="2881"/>
    <cellStyle name="千位分隔 3 6" xfId="2882"/>
    <cellStyle name="千位分隔 3 7" xfId="2883"/>
    <cellStyle name="千位分隔 3 8" xfId="2884"/>
    <cellStyle name="千位分隔 3 9" xfId="2885"/>
    <cellStyle name="千位分隔 4" xfId="2886"/>
    <cellStyle name="千位分隔 4 2" xfId="2887"/>
    <cellStyle name="千位分隔 4 3" xfId="2888"/>
    <cellStyle name="千位分隔 4 4" xfId="2889"/>
    <cellStyle name="千位分隔 4 5" xfId="2890"/>
    <cellStyle name="千位分隔 4 6" xfId="2891"/>
    <cellStyle name="千位分隔 4 7" xfId="2892"/>
    <cellStyle name="千位分隔 4 8" xfId="2893"/>
    <cellStyle name="千位分隔 4 9" xfId="2894"/>
    <cellStyle name="千位分隔[0] 2" xfId="2895"/>
    <cellStyle name="千位分隔[0] 2 2" xfId="2896"/>
    <cellStyle name="千位分隔[0] 2 3" xfId="2897"/>
    <cellStyle name="千位分隔[0] 2 4" xfId="2898"/>
    <cellStyle name="千位分隔[0] 2 5" xfId="2899"/>
    <cellStyle name="千位分隔[0] 2 6" xfId="2900"/>
    <cellStyle name="千位分隔[0] 2 7" xfId="2901"/>
    <cellStyle name="千位分隔[0] 2 8" xfId="2902"/>
    <cellStyle name="千位分隔[0] 2 9" xfId="2903"/>
    <cellStyle name="钎霖_4岿角利" xfId="2904"/>
    <cellStyle name="强调 1" xfId="2905"/>
    <cellStyle name="强调 2" xfId="2906"/>
    <cellStyle name="强调 3" xfId="2907"/>
    <cellStyle name="强调文字颜色 1 10" xfId="2908"/>
    <cellStyle name="强调文字颜色 1 2" xfId="2909"/>
    <cellStyle name="强调文字颜色 1 3" xfId="2910"/>
    <cellStyle name="强调文字颜色 1 3 2" xfId="2911"/>
    <cellStyle name="强调文字颜色 1 3 3" xfId="2912"/>
    <cellStyle name="强调文字颜色 1 3 4" xfId="2913"/>
    <cellStyle name="强调文字颜色 1 3 5" xfId="2914"/>
    <cellStyle name="强调文字颜色 1 3 6" xfId="2915"/>
    <cellStyle name="强调文字颜色 1 3 7" xfId="2916"/>
    <cellStyle name="强调文字颜色 1 4" xfId="2917"/>
    <cellStyle name="强调文字颜色 1 4 2" xfId="2918"/>
    <cellStyle name="强调文字颜色 1 5" xfId="2919"/>
    <cellStyle name="强调文字颜色 1 5 2" xfId="2920"/>
    <cellStyle name="强调文字颜色 1 6" xfId="2921"/>
    <cellStyle name="强调文字颜色 1 6 2" xfId="2922"/>
    <cellStyle name="强调文字颜色 1 7" xfId="2923"/>
    <cellStyle name="强调文字颜色 1 7 2" xfId="2924"/>
    <cellStyle name="强调文字颜色 1 8" xfId="2925"/>
    <cellStyle name="强调文字颜色 1 8 2" xfId="2926"/>
    <cellStyle name="强调文字颜色 1 9" xfId="2927"/>
    <cellStyle name="强调文字颜色 1 9 2" xfId="2928"/>
    <cellStyle name="强调文字颜色 2 10" xfId="2929"/>
    <cellStyle name="强调文字颜色 2 2" xfId="2930"/>
    <cellStyle name="强调文字颜色 2 3" xfId="2931"/>
    <cellStyle name="强调文字颜色 2 3 2" xfId="2932"/>
    <cellStyle name="强调文字颜色 2 3 3" xfId="2933"/>
    <cellStyle name="强调文字颜色 2 3 4" xfId="2934"/>
    <cellStyle name="强调文字颜色 2 3 5" xfId="2935"/>
    <cellStyle name="强调文字颜色 2 3 6" xfId="2936"/>
    <cellStyle name="强调文字颜色 2 3 7" xfId="2937"/>
    <cellStyle name="强调文字颜色 2 4" xfId="2938"/>
    <cellStyle name="强调文字颜色 2 4 2" xfId="2939"/>
    <cellStyle name="强调文字颜色 2 5" xfId="2940"/>
    <cellStyle name="强调文字颜色 2 5 2" xfId="2941"/>
    <cellStyle name="强调文字颜色 2 6" xfId="2942"/>
    <cellStyle name="强调文字颜色 2 6 2" xfId="2943"/>
    <cellStyle name="强调文字颜色 2 7" xfId="2944"/>
    <cellStyle name="强调文字颜色 2 7 2" xfId="2945"/>
    <cellStyle name="强调文字颜色 2 8" xfId="2946"/>
    <cellStyle name="强调文字颜色 2 8 2" xfId="2947"/>
    <cellStyle name="强调文字颜色 2 9" xfId="2948"/>
    <cellStyle name="强调文字颜色 2 9 2" xfId="2949"/>
    <cellStyle name="强调文字颜色 3 10" xfId="2950"/>
    <cellStyle name="强调文字颜色 3 2" xfId="2951"/>
    <cellStyle name="强调文字颜色 3 3" xfId="2952"/>
    <cellStyle name="强调文字颜色 3 3 2" xfId="2953"/>
    <cellStyle name="强调文字颜色 3 3 3" xfId="2954"/>
    <cellStyle name="强调文字颜色 3 3 4" xfId="2955"/>
    <cellStyle name="强调文字颜色 3 3 5" xfId="2956"/>
    <cellStyle name="强调文字颜色 3 3 6" xfId="2957"/>
    <cellStyle name="强调文字颜色 3 3 7" xfId="2958"/>
    <cellStyle name="强调文字颜色 3 4" xfId="2959"/>
    <cellStyle name="强调文字颜色 3 4 2" xfId="2960"/>
    <cellStyle name="强调文字颜色 3 5" xfId="2961"/>
    <cellStyle name="强调文字颜色 3 5 2" xfId="2962"/>
    <cellStyle name="强调文字颜色 3 6" xfId="2963"/>
    <cellStyle name="强调文字颜色 3 6 2" xfId="2964"/>
    <cellStyle name="强调文字颜色 3 7" xfId="2965"/>
    <cellStyle name="强调文字颜色 3 7 2" xfId="2966"/>
    <cellStyle name="强调文字颜色 3 8" xfId="2967"/>
    <cellStyle name="强调文字颜色 3 8 2" xfId="2968"/>
    <cellStyle name="强调文字颜色 3 9" xfId="2969"/>
    <cellStyle name="强调文字颜色 3 9 2" xfId="2970"/>
    <cellStyle name="强调文字颜色 4 10" xfId="2971"/>
    <cellStyle name="强调文字颜色 4 2" xfId="2972"/>
    <cellStyle name="强调文字颜色 4 3" xfId="2973"/>
    <cellStyle name="强调文字颜色 4 3 2" xfId="2974"/>
    <cellStyle name="强调文字颜色 4 3 3" xfId="2975"/>
    <cellStyle name="强调文字颜色 4 3 4" xfId="2976"/>
    <cellStyle name="强调文字颜色 4 3 5" xfId="2977"/>
    <cellStyle name="强调文字颜色 4 3 6" xfId="2978"/>
    <cellStyle name="强调文字颜色 4 3 7" xfId="2979"/>
    <cellStyle name="强调文字颜色 4 4" xfId="2980"/>
    <cellStyle name="强调文字颜色 4 4 2" xfId="2981"/>
    <cellStyle name="强调文字颜色 4 5" xfId="2982"/>
    <cellStyle name="强调文字颜色 4 5 2" xfId="2983"/>
    <cellStyle name="强调文字颜色 4 6" xfId="2984"/>
    <cellStyle name="强调文字颜色 4 6 2" xfId="2985"/>
    <cellStyle name="强调文字颜色 4 7" xfId="2986"/>
    <cellStyle name="强调文字颜色 4 7 2" xfId="2987"/>
    <cellStyle name="强调文字颜色 4 8" xfId="2988"/>
    <cellStyle name="强调文字颜色 4 8 2" xfId="2989"/>
    <cellStyle name="强调文字颜色 4 9" xfId="2990"/>
    <cellStyle name="强调文字颜色 4 9 2" xfId="2991"/>
    <cellStyle name="强调文字颜色 5 10" xfId="2992"/>
    <cellStyle name="强调文字颜色 5 2" xfId="2993"/>
    <cellStyle name="强调文字颜色 5 3" xfId="2994"/>
    <cellStyle name="强调文字颜色 5 3 2" xfId="2995"/>
    <cellStyle name="强调文字颜色 5 3 3" xfId="2996"/>
    <cellStyle name="强调文字颜色 5 3 4" xfId="2997"/>
    <cellStyle name="强调文字颜色 5 3 5" xfId="2998"/>
    <cellStyle name="强调文字颜色 5 3 6" xfId="2999"/>
    <cellStyle name="强调文字颜色 5 3 7" xfId="3000"/>
    <cellStyle name="强调文字颜色 5 4" xfId="3001"/>
    <cellStyle name="强调文字颜色 5 4 2" xfId="3002"/>
    <cellStyle name="强调文字颜色 5 5" xfId="3003"/>
    <cellStyle name="强调文字颜色 5 5 2" xfId="3004"/>
    <cellStyle name="强调文字颜色 5 6" xfId="3005"/>
    <cellStyle name="强调文字颜色 5 6 2" xfId="3006"/>
    <cellStyle name="强调文字颜色 5 7" xfId="3007"/>
    <cellStyle name="强调文字颜色 5 7 2" xfId="3008"/>
    <cellStyle name="强调文字颜色 5 8" xfId="3009"/>
    <cellStyle name="强调文字颜色 5 8 2" xfId="3010"/>
    <cellStyle name="强调文字颜色 5 9" xfId="3011"/>
    <cellStyle name="强调文字颜色 5 9 2" xfId="3012"/>
    <cellStyle name="强调文字颜色 6 10" xfId="3013"/>
    <cellStyle name="强调文字颜色 6 2" xfId="3014"/>
    <cellStyle name="强调文字颜色 6 3" xfId="3015"/>
    <cellStyle name="强调文字颜色 6 3 2" xfId="3016"/>
    <cellStyle name="强调文字颜色 6 3 3" xfId="3017"/>
    <cellStyle name="强调文字颜色 6 3 4" xfId="3018"/>
    <cellStyle name="强调文字颜色 6 3 5" xfId="3019"/>
    <cellStyle name="强调文字颜色 6 3 6" xfId="3020"/>
    <cellStyle name="强调文字颜色 6 3 7" xfId="3021"/>
    <cellStyle name="强调文字颜色 6 4" xfId="3022"/>
    <cellStyle name="强调文字颜色 6 4 2" xfId="3023"/>
    <cellStyle name="强调文字颜色 6 5" xfId="3024"/>
    <cellStyle name="强调文字颜色 6 5 2" xfId="3025"/>
    <cellStyle name="强调文字颜色 6 6" xfId="3026"/>
    <cellStyle name="强调文字颜色 6 6 2" xfId="3027"/>
    <cellStyle name="强调文字颜色 6 7" xfId="3028"/>
    <cellStyle name="强调文字颜色 6 7 2" xfId="3029"/>
    <cellStyle name="强调文字颜色 6 8" xfId="3030"/>
    <cellStyle name="强调文字颜色 6 8 2" xfId="3031"/>
    <cellStyle name="强调文字颜色 6 9" xfId="3032"/>
    <cellStyle name="强调文字颜色 6 9 2" xfId="3033"/>
    <cellStyle name="日期" xfId="3034"/>
    <cellStyle name="商品名称" xfId="3035"/>
    <cellStyle name="适中 10" xfId="3036"/>
    <cellStyle name="适中 2" xfId="3037"/>
    <cellStyle name="适中 3" xfId="3038"/>
    <cellStyle name="适中 3 2" xfId="3039"/>
    <cellStyle name="适中 3 3" xfId="3040"/>
    <cellStyle name="适中 3 4" xfId="3041"/>
    <cellStyle name="适中 3 5" xfId="3042"/>
    <cellStyle name="适中 3 6" xfId="3043"/>
    <cellStyle name="适中 3 7" xfId="3044"/>
    <cellStyle name="适中 4" xfId="3045"/>
    <cellStyle name="适中 4 2" xfId="3046"/>
    <cellStyle name="适中 5" xfId="3047"/>
    <cellStyle name="适中 5 2" xfId="3048"/>
    <cellStyle name="适中 6" xfId="3049"/>
    <cellStyle name="适中 6 2" xfId="3050"/>
    <cellStyle name="适中 7" xfId="3051"/>
    <cellStyle name="适中 7 2" xfId="3052"/>
    <cellStyle name="适中 8" xfId="3053"/>
    <cellStyle name="适中 8 2" xfId="3054"/>
    <cellStyle name="适中 9" xfId="3055"/>
    <cellStyle name="适中 9 2" xfId="3056"/>
    <cellStyle name="输出 10" xfId="3057"/>
    <cellStyle name="输出 2" xfId="3058"/>
    <cellStyle name="输出 3" xfId="3059"/>
    <cellStyle name="输出 3 2" xfId="3060"/>
    <cellStyle name="输出 3 3" xfId="3061"/>
    <cellStyle name="输出 3 4" xfId="3062"/>
    <cellStyle name="输出 3 5" xfId="3063"/>
    <cellStyle name="输出 3 6" xfId="3064"/>
    <cellStyle name="输出 3 7" xfId="3065"/>
    <cellStyle name="输出 4" xfId="3066"/>
    <cellStyle name="输出 4 2" xfId="3067"/>
    <cellStyle name="输出 5" xfId="3068"/>
    <cellStyle name="输出 5 2" xfId="3069"/>
    <cellStyle name="输出 6" xfId="3070"/>
    <cellStyle name="输出 6 2" xfId="3071"/>
    <cellStyle name="输出 7" xfId="3072"/>
    <cellStyle name="输出 7 2" xfId="3073"/>
    <cellStyle name="输出 8" xfId="3074"/>
    <cellStyle name="输出 8 2" xfId="3075"/>
    <cellStyle name="输出 9" xfId="3076"/>
    <cellStyle name="输出 9 2" xfId="3077"/>
    <cellStyle name="输入 10" xfId="3078"/>
    <cellStyle name="输入 2" xfId="3079"/>
    <cellStyle name="输入 3" xfId="3080"/>
    <cellStyle name="输入 3 2" xfId="3081"/>
    <cellStyle name="输入 3 3" xfId="3082"/>
    <cellStyle name="输入 3 4" xfId="3083"/>
    <cellStyle name="输入 3 5" xfId="3084"/>
    <cellStyle name="输入 3 6" xfId="3085"/>
    <cellStyle name="输入 3 7" xfId="3086"/>
    <cellStyle name="输入 4" xfId="3087"/>
    <cellStyle name="输入 4 2" xfId="3088"/>
    <cellStyle name="输入 5" xfId="3089"/>
    <cellStyle name="输入 5 2" xfId="3090"/>
    <cellStyle name="输入 6" xfId="3091"/>
    <cellStyle name="输入 6 2" xfId="3092"/>
    <cellStyle name="输入 7" xfId="3093"/>
    <cellStyle name="输入 7 2" xfId="3094"/>
    <cellStyle name="输入 8" xfId="3095"/>
    <cellStyle name="输入 8 2" xfId="3096"/>
    <cellStyle name="输入 9" xfId="3097"/>
    <cellStyle name="输入 9 2" xfId="3098"/>
    <cellStyle name="数量" xfId="3099"/>
    <cellStyle name="数字" xfId="3100"/>
    <cellStyle name="数字 2" xfId="3101"/>
    <cellStyle name="数字 3" xfId="3102"/>
    <cellStyle name="数字 4" xfId="3103"/>
    <cellStyle name="数字 5" xfId="3104"/>
    <cellStyle name="数字 6" xfId="3105"/>
    <cellStyle name="数字 7" xfId="3106"/>
    <cellStyle name="数字 8" xfId="3107"/>
    <cellStyle name="数字 9" xfId="3108"/>
    <cellStyle name="未定义" xfId="3109"/>
    <cellStyle name="小数" xfId="3110"/>
    <cellStyle name="小数 2" xfId="3111"/>
    <cellStyle name="小数 3" xfId="3112"/>
    <cellStyle name="小数 4" xfId="3113"/>
    <cellStyle name="小数 5" xfId="3114"/>
    <cellStyle name="小数 6" xfId="3115"/>
    <cellStyle name="小数 7" xfId="3116"/>
    <cellStyle name="小数 8" xfId="3117"/>
    <cellStyle name="小数 9" xfId="3118"/>
    <cellStyle name="样式 1" xfId="3119"/>
    <cellStyle name="昗弨_Pacific Region P&amp;L" xfId="3120"/>
    <cellStyle name="寘嬫愗傝 [0.00]_Region Orders (2)" xfId="3121"/>
    <cellStyle name="寘嬫愗傝_Region Orders (2)" xfId="3122"/>
    <cellStyle name="注释 10" xfId="3123"/>
    <cellStyle name="注释 2" xfId="3124"/>
    <cellStyle name="注释 2 2" xfId="3125"/>
    <cellStyle name="注释 2 3" xfId="3126"/>
    <cellStyle name="注释 2 4" xfId="3127"/>
    <cellStyle name="注释 2 5" xfId="3128"/>
    <cellStyle name="注释 2 6" xfId="3129"/>
    <cellStyle name="注释 2 7" xfId="3130"/>
    <cellStyle name="注释 2 8" xfId="3131"/>
    <cellStyle name="注释 2 9" xfId="3132"/>
    <cellStyle name="注释 3" xfId="3133"/>
    <cellStyle name="注释 3 2" xfId="3134"/>
    <cellStyle name="注释 3 3" xfId="3135"/>
    <cellStyle name="注释 3 4" xfId="3136"/>
    <cellStyle name="注释 3 5" xfId="3137"/>
    <cellStyle name="注释 3 6" xfId="3138"/>
    <cellStyle name="注释 3 7" xfId="3139"/>
    <cellStyle name="注释 4" xfId="3140"/>
    <cellStyle name="注释 4 2" xfId="3141"/>
    <cellStyle name="注释 5" xfId="3142"/>
    <cellStyle name="注释 5 2" xfId="3143"/>
    <cellStyle name="注释 6" xfId="3144"/>
    <cellStyle name="注释 6 2" xfId="3145"/>
    <cellStyle name="注释 7" xfId="3146"/>
    <cellStyle name="注释 7 2" xfId="3147"/>
    <cellStyle name="注释 8" xfId="3148"/>
    <cellStyle name="注释 8 2" xfId="3149"/>
    <cellStyle name="注释 9" xfId="3150"/>
    <cellStyle name="注释 9 2" xfId="3151"/>
    <cellStyle name="콤마 [0]_BOILER-CO1" xfId="3152"/>
    <cellStyle name="콤마_BOILER-CO1" xfId="3153"/>
    <cellStyle name="통화 [0]_BOILER-CO1" xfId="3154"/>
    <cellStyle name="통화_BOILER-CO1" xfId="3155"/>
    <cellStyle name="표준_0N-HANDLING " xfId="3156"/>
    <cellStyle name="常规_册子——贸易(2016年9月)" xfId="3157"/>
    <cellStyle name="常规 78" xfId="3158"/>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25.xml"/><Relationship Id="rId98" Type="http://schemas.openxmlformats.org/officeDocument/2006/relationships/externalLink" Target="externalLinks/externalLink24.xml"/><Relationship Id="rId97" Type="http://schemas.openxmlformats.org/officeDocument/2006/relationships/externalLink" Target="externalLinks/externalLink23.xml"/><Relationship Id="rId96" Type="http://schemas.openxmlformats.org/officeDocument/2006/relationships/externalLink" Target="externalLinks/externalLink22.xml"/><Relationship Id="rId95" Type="http://schemas.openxmlformats.org/officeDocument/2006/relationships/externalLink" Target="externalLinks/externalLink21.xml"/><Relationship Id="rId94" Type="http://schemas.openxmlformats.org/officeDocument/2006/relationships/externalLink" Target="externalLinks/externalLink20.xml"/><Relationship Id="rId93" Type="http://schemas.openxmlformats.org/officeDocument/2006/relationships/externalLink" Target="externalLinks/externalLink19.xml"/><Relationship Id="rId92" Type="http://schemas.openxmlformats.org/officeDocument/2006/relationships/externalLink" Target="externalLinks/externalLink18.xml"/><Relationship Id="rId91" Type="http://schemas.openxmlformats.org/officeDocument/2006/relationships/externalLink" Target="externalLinks/externalLink17.xml"/><Relationship Id="rId90" Type="http://schemas.openxmlformats.org/officeDocument/2006/relationships/externalLink" Target="externalLinks/externalLink16.xml"/><Relationship Id="rId9" Type="http://schemas.openxmlformats.org/officeDocument/2006/relationships/worksheet" Target="worksheets/sheet9.xml"/><Relationship Id="rId89" Type="http://schemas.openxmlformats.org/officeDocument/2006/relationships/externalLink" Target="externalLinks/externalLink15.xml"/><Relationship Id="rId88" Type="http://schemas.openxmlformats.org/officeDocument/2006/relationships/externalLink" Target="externalLinks/externalLink14.xml"/><Relationship Id="rId87" Type="http://schemas.openxmlformats.org/officeDocument/2006/relationships/externalLink" Target="externalLinks/externalLink13.xml"/><Relationship Id="rId86" Type="http://schemas.openxmlformats.org/officeDocument/2006/relationships/externalLink" Target="externalLinks/externalLink12.xml"/><Relationship Id="rId85" Type="http://schemas.openxmlformats.org/officeDocument/2006/relationships/externalLink" Target="externalLinks/externalLink11.xml"/><Relationship Id="rId84" Type="http://schemas.openxmlformats.org/officeDocument/2006/relationships/externalLink" Target="externalLinks/externalLink10.xml"/><Relationship Id="rId83" Type="http://schemas.openxmlformats.org/officeDocument/2006/relationships/externalLink" Target="externalLinks/externalLink9.xml"/><Relationship Id="rId82" Type="http://schemas.openxmlformats.org/officeDocument/2006/relationships/externalLink" Target="externalLinks/externalLink8.xml"/><Relationship Id="rId81" Type="http://schemas.openxmlformats.org/officeDocument/2006/relationships/externalLink" Target="externalLinks/externalLink7.xml"/><Relationship Id="rId80" Type="http://schemas.openxmlformats.org/officeDocument/2006/relationships/externalLink" Target="externalLinks/externalLink6.xml"/><Relationship Id="rId8" Type="http://schemas.openxmlformats.org/officeDocument/2006/relationships/worksheet" Target="worksheets/sheet8.xml"/><Relationship Id="rId79" Type="http://schemas.openxmlformats.org/officeDocument/2006/relationships/externalLink" Target="externalLinks/externalLink5.xml"/><Relationship Id="rId78" Type="http://schemas.openxmlformats.org/officeDocument/2006/relationships/externalLink" Target="externalLinks/externalLink4.xml"/><Relationship Id="rId77" Type="http://schemas.openxmlformats.org/officeDocument/2006/relationships/externalLink" Target="externalLinks/externalLink3.xml"/><Relationship Id="rId76" Type="http://schemas.openxmlformats.org/officeDocument/2006/relationships/externalLink" Target="externalLinks/externalLink2.xml"/><Relationship Id="rId75" Type="http://schemas.openxmlformats.org/officeDocument/2006/relationships/externalLink" Target="externalLinks/externalLink1.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5" Type="http://schemas.openxmlformats.org/officeDocument/2006/relationships/styles" Target="styles.xml"/><Relationship Id="rId104" Type="http://schemas.openxmlformats.org/officeDocument/2006/relationships/sharedStrings" Target="sharedStrings.xml"/><Relationship Id="rId103" Type="http://schemas.openxmlformats.org/officeDocument/2006/relationships/theme" Target="theme/theme1.xml"/><Relationship Id="rId102" Type="http://schemas.openxmlformats.org/officeDocument/2006/relationships/externalLink" Target="externalLinks/externalLink28.xml"/><Relationship Id="rId101" Type="http://schemas.openxmlformats.org/officeDocument/2006/relationships/externalLink" Target="externalLinks/externalLink27.xml"/><Relationship Id="rId100" Type="http://schemas.openxmlformats.org/officeDocument/2006/relationships/externalLink" Target="externalLinks/externalLink26.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TS01\jhc\unzipped\Eastern%20Airline%20FE\Spares\FILES\SMCTS2\SMCTSSP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5&#24180;\&#31532;&#20108;&#26041;&#26696;\&#22522;&#30784;&#25968;&#25454;\2003&#24180;&#20113;&#21335;&#30465;&#20998;&#21439;GDP&#21450;&#20998;&#20135;&#19994;&#25968;&#2545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5&#24180;\&#31532;&#20108;&#26041;&#26696;\&#22522;&#30784;&#25968;&#25454;\2003&#24180;&#20998;&#22320;&#21439;&#36130;&#25919;&#19968;&#33324;&#39044;&#31639;&#25910;&#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5&#24180;\&#31532;&#20108;&#26041;&#26696;\&#22522;&#30784;&#25968;&#25454;\2003&#24180;&#20113;&#21335;&#30465;&#20998;&#22320;&#21439;&#24037;&#21830;&#31246;&#25910;&#20915;&#31639;&#2596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4&#24180;\2004&#24180;&#19968;&#33324;&#24615;&#36716;&#31227;&#25903;&#20184;&#27979;&#31639;\&#22522;&#30784;&#25968;&#25454;\2004&#24180;&#20113;&#21335;&#30465;&#20998;&#21439;&#34892;&#25919;&#21644;&#20844;&#26816;&#27861;&#21496;&#37096;&#38376;&#32534;&#21046;&#2596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DATA%20Folder\2004&#24180;&#19968;&#33324;&#24615;&#36716;&#31227;&#25903;&#20184;\2004&#24180;&#20113;&#21335;&#30465;&#20998;&#21439;&#20844;&#29992;&#26631;&#20934;&#25903;&#2098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ttp:\\56.0.160.17\DOCUME~1\zq\LOCALS~1\Temp\&#25919;&#27861;&#21475;&#24120;&#29992;&#32479;&#35745;&#36164;&#26009;\&#19977;&#23395;&#24230;&#27719;&#24635;\&#39044;&#31639;\2006&#39044;&#31639;&#25253;&#3492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4&#24180;\2004&#24180;&#19968;&#33324;&#24615;&#36716;&#31227;&#25903;&#20184;&#27979;&#31639;\&#22522;&#30784;&#25968;&#25454;\2003&#24180;&#20113;&#21335;&#30465;&#20998;&#21439;&#20892;&#19994;&#20154;&#2147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4&#24180;\2004&#24180;&#19968;&#33324;&#24615;&#36716;&#31227;&#25903;&#20184;&#27979;&#31639;\&#22522;&#30784;&#25968;&#25454;\2004&#24180;&#20113;&#21335;&#30465;&#20998;&#21439;&#20892;&#19994;&#29992;&#22320;&#38754;&#3121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BSERVER\&#39044;&#31639;&#21496;\&#20849;&#20139;&#25968;&#25454;\&#21382;&#24180;&#20915;&#31639;\1996&#24180;\1996&#24180;&#20915;&#31639;&#27719;&#24635;\2021&#28246;&#21271;&#3046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DATA%20Folder\2004&#24180;&#19968;&#33324;&#24615;&#36716;&#31227;&#25903;&#20184;\2004&#24180;&#20113;&#21335;&#30465;&#20998;&#21439;&#20154;&#21592;&#26631;&#20934;&#25903;&#2098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HANGHAI_LF\&#39044;&#31639;&#22788;\BY\YS3\97&#20915;&#31639;&#21306;&#21439;&#26368;&#21518;&#27719;&#2463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DATA%20Folder\2004&#24180;&#19968;&#33324;&#24615;&#36716;&#31227;&#25903;&#20184;\2004&#24180;&#20113;&#21335;&#30465;&#20998;&#21439;&#20107;&#19994;&#21457;&#23637;&#25903;&#20986;&#65288;&#32463;&#24046;&#24322;&#35843;&#25972;&#6528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A:\WINDOWS.000\Desktop\&#25105;&#30340;&#20844;&#25991;&#21253;\&#36213;&#21746;&#36132;&#25991;&#20214;&#22841;\&#25253;&#3492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4&#24180;\2004&#24180;&#19968;&#33324;&#24615;&#36716;&#31227;&#25903;&#20184;&#27979;&#31639;\&#22522;&#30784;&#25968;&#25454;\&#20065;&#38215;&#21644;&#34892;&#25919;&#26449;&#20010;&#2596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ttp:\\56.0.160.17\DOCUME~1\zq\LOCALS~1\Temp\&#36130;&#25919;&#20379;&#20859;&#20154;&#21592;&#20449;&#24687;&#34920;\&#25945;&#32946;\&#27896;&#27700;&#22235;&#2001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5&#24180;\&#31532;&#20108;&#26041;&#26696;\&#22522;&#30784;&#25968;&#25454;\2002&#24180;&#20113;&#21335;&#30465;&#20998;&#21439;&#19968;&#33324;&#39044;&#31639;&#25910;&#20837;.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Budgetserver\&#39044;&#31639;&#21496;\BY\YS3\97&#20915;&#31639;&#21306;&#21439;&#26368;&#21518;&#27719;&#2463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4&#24180;\2004&#24180;&#19968;&#33324;&#24615;&#36716;&#31227;&#25903;&#20184;&#27979;&#31639;\&#22522;&#30784;&#25968;&#25454;\2003&#24180;&#20113;&#21335;&#30465;&#20998;&#21439;&#20013;&#23567;&#23398;&#29983;&#20154;&#25968;.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4&#24180;\2004&#24180;&#19968;&#33324;&#24615;&#36716;&#31227;&#25903;&#20184;&#27979;&#31639;\&#22522;&#30784;&#25968;&#25454;\2003&#24180;&#20113;&#21335;&#30465;&#20998;&#21439;&#24635;&#20154;&#21475;.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26085;&#24120;&#24037;&#20316;\&#25346;&#32593;&#26376;&#25253;&#20462;&#25913;\2019&#24180;\&#19987;&#19994;&#25968;&#25454;\&#30465;&#26376;&#2525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Documents%20and%20Settings\Administrator\&#26700;&#38754;\1106&#26399;&#19987;&#19994;&#31185;&#30446;&#25253;&#21517;&#20449;&#24687;\&#24066;&#20116;&#20013;1106&#26399;&#20013;&#32423;&#22521;&#35757;&#25253;&#21517;&#34920;16&#2608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5&#24180;\&#31532;&#20108;&#26041;&#26696;\2004&#24180;&#20113;&#21335;&#30465;&#20998;&#21439;&#26412;&#32423;&#26631;&#20934;&#25910;&#20837;&#21512;&#3574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10.124.1.30\cgi-bin\read_attach\application\octet-stream1MKxqC5YTFM=\&#25509;&#25910;&#25991;&#20214;&#30446;&#24405;\&#39044;&#31639;&#32929;212052004-5-13%2016&#65306;33&#65306;36\2004&#24180;&#24120;&#29992;\2004&#26376;&#2525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5&#24180;\&#31532;&#20108;&#26041;&#26696;\&#22522;&#30784;&#25968;&#25454;\2003&#24180;&#20113;&#21335;&#30465;&#20998;&#21439;&#36130;&#25919;&#20840;&#20379;&#20859;&#20154;&#21592;&#22686;&#2413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DATA%20Folder\2004&#24180;&#19968;&#33324;&#24615;&#36716;&#31227;&#25903;&#20184;\2004&#24180;&#20113;&#21335;&#30465;&#20998;&#21439;&#26449;&#32423;&#26631;&#20934;&#25903;&#2098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27575;&#38177;&#29790;\&#21271;&#20140;&#24503;&#21150;\2007&#24180;&#27979;&#31639;&#26041;&#26696;\&#19968;&#22870;\Documents%20and%20Settings\caiqiang\My%20Documents\&#21439;&#20065;&#36130;&#25919;&#22256;&#38590;&#27979;&#31639;&#26041;&#26696;\&#26041;&#26696;&#19977;&#31295;\&#26041;&#26696;&#20108;&#31295;\&#35774;&#22791;\&#21407;&#22987;\814\13%20&#38081;&#36335;&#37197;&#2021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ttp:\\56.0.160.17\DOCUME~1\zq\LOCALS~1\Temp\04&#20307;&#21046;&#31185;\03&#24180;&#32456;&#32467;&#31639;&#21450;&#25968;&#25454;&#20998;&#26512;\2006&#24180;\&#20915;&#31639;&#21450;&#25968;&#25454;&#20998;&#26512;\&#20915;&#31639;&#20998;&#26512;&#36164;&#26009;&#32467;&#26524;\&#21439;&#32423;&#36130;&#25919;&#25253;&#34920;&#38468;&#34920;\01&#26118;&#26126;\01&#26118;&#26126;.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qpmad2"/>
    </sheetNames>
    <sheetDataSet>
      <sheetData sheetId="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GDP"/>
    </sheetNames>
    <sheetDataSet>
      <sheetData sheetId="0"/>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一般预算收入"/>
    </sheetNames>
    <sheetDataSet>
      <sheetData sheetId="0"/>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工商税收"/>
    </sheetNames>
    <sheetDataSet>
      <sheetData sheetId="0"/>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Define"/>
      <sheetName val="行政编制"/>
      <sheetName val="公检法司编制"/>
      <sheetName val="行政和公检法司人数"/>
    </sheetNames>
    <sheetDataSet>
      <sheetData sheetId="0"/>
      <sheetData sheetId="1"/>
      <sheetData sheetId="2"/>
      <sheetData sheetId="3"/>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Define"/>
      <sheetName val="合计"/>
      <sheetName val="行政"/>
      <sheetName val="公检法司"/>
      <sheetName val="教育"/>
      <sheetName val="其他事业"/>
    </sheetNames>
    <sheetDataSet>
      <sheetData sheetId="0"/>
      <sheetData sheetId="1"/>
      <sheetData sheetId="2"/>
      <sheetData sheetId="3"/>
      <sheetData sheetId="4"/>
      <sheetData sheetId="5"/>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单位信息1"/>
      <sheetName val="单位信息2"/>
      <sheetName val="非税征收"/>
      <sheetName val="政府采购"/>
      <sheetName val="基本支出预算"/>
      <sheetName val="项目预算"/>
      <sheetName val="成本性预算"/>
      <sheetName val="收支预算总表"/>
      <sheetName val="编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农业人口"/>
    </sheetNames>
    <sheetDataSet>
      <sheetData sheetId="0"/>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农业用地"/>
    </sheetNames>
    <sheetDataSet>
      <sheetData sheetId="0"/>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Define"/>
      <sheetName val="C01-1"/>
    </sheetNames>
    <sheetDataSet>
      <sheetData sheetId="0"/>
      <sheetData sheetId="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Define"/>
      <sheetName val="人员支出"/>
    </sheetNames>
    <sheetDataSet>
      <sheetData sheetId="0"/>
      <sheetData sheetId="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P1012001"/>
    </sheetNames>
    <sheetDataSet>
      <sheetData sheetId="0"/>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Define"/>
      <sheetName val="事业发展"/>
    </sheetNames>
    <sheetDataSet>
      <sheetData sheetId="0"/>
      <sheetData sheetId="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四月份月报"/>
    </sheetNames>
    <sheetDataSet>
      <sheetData sheetId="0"/>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行政区划"/>
    </sheetNames>
    <sheetDataSet>
      <sheetData sheetId="0"/>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单位信息录入表"/>
      <sheetName val="人员信息录入表"/>
      <sheetName val="基础编码"/>
    </sheetNames>
    <sheetDataSet>
      <sheetData sheetId="0" refreshError="1"/>
      <sheetData sheetId="1" refreshError="1"/>
      <sheetData sheetId="2"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2002年一般预算收入"/>
    </sheetNames>
    <sheetDataSet>
      <sheetData sheetId="0"/>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P1012001"/>
    </sheetNames>
    <sheetDataSet>
      <sheetData sheetId="0"/>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Define"/>
      <sheetName val="中小学生"/>
    </sheetNames>
    <sheetDataSet>
      <sheetData sheetId="0"/>
      <sheetData sheetId="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总人口"/>
    </sheetNames>
    <sheetDataSet>
      <sheetData sheetId="0"/>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综合"/>
      <sheetName val="主要结构指标"/>
      <sheetName val="税收总收入"/>
      <sheetName val="服务业增加值"/>
      <sheetName val="规模以上服务业企业营业收入"/>
      <sheetName val="工业"/>
      <sheetName val="工业主要行业增加值"/>
      <sheetName val="六大高耗能行业增加值及用电量"/>
      <sheetName val="产品产量1"/>
      <sheetName val="产品产量2"/>
      <sheetName val="工业经济"/>
      <sheetName val="工业效益"/>
      <sheetName val="能源消费量"/>
      <sheetName val="能源产品产量"/>
      <sheetName val="运输邮电"/>
      <sheetName val="固定资产投资"/>
      <sheetName val="房地产开发投资"/>
      <sheetName val="建筑业总产值"/>
      <sheetName val="国内贸易"/>
      <sheetName val="对外经济"/>
      <sheetName val="重点商品进出口"/>
      <sheetName val="财政"/>
      <sheetName val="金融"/>
      <sheetName val="人民生活"/>
      <sheetName val="市场物价"/>
      <sheetName val="各市GDP"/>
      <sheetName val="各市工业"/>
      <sheetName val="各市工业企业利润总额"/>
      <sheetName val="各市能源"/>
      <sheetName val="各市工业用电量"/>
      <sheetName val="各市投资"/>
      <sheetName val="各市房地产投资"/>
      <sheetName val="各市消费"/>
      <sheetName val="各市进出口"/>
      <sheetName val="各市出口"/>
      <sheetName val="各市进口"/>
      <sheetName val="各市外资"/>
      <sheetName val="各市财政收入"/>
      <sheetName val="各市财政支出"/>
      <sheetName val="各市税收总收入"/>
      <sheetName val="金融机构（含外资）本外币存款余款"/>
      <sheetName val="金融机构（含外资）本外币贷款余款"/>
      <sheetName val="各市消价"/>
      <sheetName val="大湾区主要指标"/>
      <sheetName val="省际比较"/>
      <sheetName val="省际比较2"/>
      <sheetName val="省际比较3"/>
      <sheetName val="省际比较4"/>
      <sheetName val="GDP序列"/>
      <sheetName val="工业序列"/>
      <sheetName val="投资序列"/>
      <sheetName val="消费序列"/>
      <sheetName val="进出口序列"/>
      <sheetName val="出口序列"/>
      <sheetName val="进口序列"/>
      <sheetName val="全社会用电序列"/>
      <sheetName val="工业用电序列"/>
      <sheetName val="地方预算收入序列"/>
      <sheetName val="预算支出序列"/>
      <sheetName val="本外币存贷款"/>
      <sheetName val="客货运量"/>
      <sheetName val="利用外资序列"/>
      <sheetName val="价格序列"/>
      <sheetName val="工业生产者价格"/>
      <sheetName val="Sheet1"/>
    </sheetNames>
    <sheetDataSet>
      <sheetData sheetId="0"/>
      <sheetData sheetId="1"/>
      <sheetData sheetId="2">
        <row r="7">
          <cell r="B7">
            <v>7406.6414</v>
          </cell>
          <cell r="C7">
            <v>3.44112941339463</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3">
          <cell r="C13">
            <v>-15.5782</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Sheet"/>
      <sheetName val="00000ppy"/>
    </sheetNames>
    <sheetDataSet>
      <sheetData sheetId="0"/>
      <sheetData sheetId="1"/>
      <sheetData sheetId="2"/>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Define"/>
      <sheetName val="本年收入合计"/>
      <sheetName val="01.增值税"/>
      <sheetName val="03.营业税"/>
      <sheetName val="04.企业所得税"/>
      <sheetName val="07.个人所得税"/>
      <sheetName val="08.资源税"/>
      <sheetName val="09.投调税"/>
      <sheetName val="10.城建税"/>
      <sheetName val="11.房产税"/>
      <sheetName val="12.印花税"/>
      <sheetName val="13.城镇土地使用税"/>
      <sheetName val="14.土地增值税"/>
      <sheetName val="15.车船使用和牌照税"/>
      <sheetName val="25.屠宰税"/>
      <sheetName val="30.农业税"/>
      <sheetName val="31.烟叶农特税"/>
      <sheetName val="33.耕地占用税"/>
      <sheetName val="34.契税"/>
      <sheetName val="40.经营收益"/>
      <sheetName val="41.亏损补贴"/>
      <sheetName val="42.行政性收费"/>
      <sheetName val="43.罚没收入"/>
      <sheetName val="70.专项收入"/>
      <sheetName val="71.其他收入"/>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月报"/>
      <sheetName val="1月报"/>
      <sheetName val="2月报"/>
      <sheetName val="3月报"/>
      <sheetName val="4月报"/>
      <sheetName val="5月报"/>
      <sheetName val="6月报"/>
      <sheetName val="7月报"/>
      <sheetName val="8月报"/>
      <sheetName val="9月报"/>
      <sheetName val="10月报"/>
      <sheetName val="11月报"/>
      <sheetName val="12月报"/>
      <sheetName val="汇总"/>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Define"/>
      <sheetName val="财政供养人员增幅"/>
    </sheetNames>
    <sheetDataSet>
      <sheetData sheetId="0"/>
      <sheetData sheetId="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Define"/>
      <sheetName val="村级支出"/>
    </sheetNames>
    <sheetDataSet>
      <sheetData sheetId="0"/>
      <sheetData sheetId="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2"/>
      <sheetName val="Sheet3"/>
      <sheetName val="Sheet4"/>
      <sheetName val="laroux"/>
      <sheetName val="评估结果汇总表"/>
      <sheetName val="评估分类汇总表"/>
      <sheetName val="流动资产汇总表"/>
      <sheetName val="4货币现金"/>
      <sheetName val="5银行存款"/>
      <sheetName val="11应收帐款"/>
      <sheetName val="14预付帐"/>
      <sheetName val="16其他应收"/>
      <sheetName val="存货汇总"/>
      <sheetName val="23产成品 "/>
      <sheetName val="长期投资汇总表"/>
      <sheetName val="其他投资"/>
      <sheetName val="固定资产汇总表"/>
      <sheetName val="38房屋建筑"/>
      <sheetName val="41机器设备"/>
      <sheetName val="42车辆"/>
      <sheetName val="流动负债汇总表"/>
      <sheetName val="58应付帐"/>
      <sheetName val="61其他应付"/>
      <sheetName val="62应付工资"/>
      <sheetName val="63应付福利费"/>
      <sheetName val="64应交税金"/>
      <sheetName val="应付利润"/>
      <sheetName val="其他应交款"/>
      <sheetName val="长期负债汇总表"/>
      <sheetName val="在建"/>
      <sheetName val=""/>
      <sheetName val="13 铁路配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封面"/>
      <sheetName val="目录"/>
      <sheetName val="A01"/>
      <sheetName val="A02"/>
      <sheetName val="A03"/>
      <sheetName val="A04"/>
      <sheetName val="A05"/>
      <sheetName val="A06"/>
      <sheetName val="A07"/>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SheetLayoutView="68" workbookViewId="0">
      <selection activeCell="A1" sqref="A1"/>
    </sheetView>
  </sheetViews>
  <sheetFormatPr defaultColWidth="9" defaultRowHeight="14.25"/>
  <sheetData/>
  <pageMargins left="0.75" right="0.75" top="1" bottom="1" header="0.5" footer="0.5"/>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D23"/>
  <sheetViews>
    <sheetView zoomScale="90" zoomScaleNormal="90" workbookViewId="0">
      <selection activeCell="G18" sqref="G18"/>
    </sheetView>
  </sheetViews>
  <sheetFormatPr defaultColWidth="9" defaultRowHeight="14.25" outlineLevelCol="3"/>
  <cols>
    <col min="1" max="1" width="33.125" style="598" customWidth="1"/>
    <col min="2" max="2" width="12" style="598" customWidth="1"/>
    <col min="3" max="3" width="16.375" style="598" customWidth="1"/>
    <col min="4" max="4" width="15.75" style="598" customWidth="1"/>
    <col min="5" max="16384" width="9" style="598"/>
  </cols>
  <sheetData>
    <row r="1" ht="28.5" customHeight="1" spans="1:4">
      <c r="A1" s="84" t="s">
        <v>72</v>
      </c>
      <c r="B1" s="84"/>
      <c r="C1" s="84"/>
      <c r="D1" s="84"/>
    </row>
    <row r="2" ht="23.1" customHeight="1" spans="1:4">
      <c r="A2" s="599" t="s">
        <v>53</v>
      </c>
      <c r="B2" s="600" t="s">
        <v>2</v>
      </c>
      <c r="C2" s="376" t="s">
        <v>54</v>
      </c>
      <c r="D2" s="601" t="s">
        <v>6</v>
      </c>
    </row>
    <row r="3" ht="23.1" customHeight="1" spans="1:4">
      <c r="A3" s="602" t="s">
        <v>73</v>
      </c>
      <c r="B3" s="379" t="s">
        <v>8</v>
      </c>
      <c r="C3" s="603">
        <v>939.875188</v>
      </c>
      <c r="D3" s="604">
        <v>4</v>
      </c>
    </row>
    <row r="4" ht="23.1" customHeight="1" spans="1:4">
      <c r="A4" s="602" t="s">
        <v>74</v>
      </c>
      <c r="B4" s="379" t="s">
        <v>8</v>
      </c>
      <c r="C4" s="603">
        <v>508.14903</v>
      </c>
      <c r="D4" s="604">
        <v>6.09999999999999</v>
      </c>
    </row>
    <row r="5" ht="23.1" customHeight="1" spans="1:4">
      <c r="A5" s="602" t="s">
        <v>75</v>
      </c>
      <c r="B5" s="379" t="s">
        <v>8</v>
      </c>
      <c r="C5" s="603">
        <v>27.729648</v>
      </c>
      <c r="D5" s="604">
        <v>6.09999999999999</v>
      </c>
    </row>
    <row r="6" ht="23.1" customHeight="1" spans="1:4">
      <c r="A6" s="602" t="s">
        <v>76</v>
      </c>
      <c r="B6" s="379" t="s">
        <v>8</v>
      </c>
      <c r="C6" s="603">
        <v>144.92175</v>
      </c>
      <c r="D6" s="604">
        <v>-4.7</v>
      </c>
    </row>
    <row r="7" ht="23.1" customHeight="1" spans="1:4">
      <c r="A7" s="602" t="s">
        <v>77</v>
      </c>
      <c r="B7" s="379" t="s">
        <v>8</v>
      </c>
      <c r="C7" s="603">
        <v>224.215061</v>
      </c>
      <c r="D7" s="604">
        <v>3.2</v>
      </c>
    </row>
    <row r="8" ht="23.1" customHeight="1" spans="1:4">
      <c r="A8" s="602" t="s">
        <v>78</v>
      </c>
      <c r="B8" s="379" t="s">
        <v>8</v>
      </c>
      <c r="C8" s="603">
        <v>34.8597</v>
      </c>
      <c r="D8" s="604">
        <v>10</v>
      </c>
    </row>
    <row r="9" ht="23.1" customHeight="1" spans="1:4">
      <c r="A9" s="560" t="s">
        <v>79</v>
      </c>
      <c r="B9" s="379" t="s">
        <v>8</v>
      </c>
      <c r="C9" s="603">
        <v>599.625189</v>
      </c>
      <c r="D9" s="604">
        <v>4.3</v>
      </c>
    </row>
    <row r="10" ht="23.1" customHeight="1" spans="1:4">
      <c r="A10" s="602" t="s">
        <v>74</v>
      </c>
      <c r="B10" s="379" t="s">
        <v>8</v>
      </c>
      <c r="C10" s="603">
        <v>348.793511</v>
      </c>
      <c r="D10" s="604">
        <v>6.09999999999999</v>
      </c>
    </row>
    <row r="11" ht="23.1" customHeight="1" spans="1:4">
      <c r="A11" s="602" t="s">
        <v>75</v>
      </c>
      <c r="B11" s="379" t="s">
        <v>8</v>
      </c>
      <c r="C11" s="603">
        <v>20.603159</v>
      </c>
      <c r="D11" s="604">
        <v>6.09999999999999</v>
      </c>
    </row>
    <row r="12" ht="23.1" customHeight="1" spans="1:4">
      <c r="A12" s="602" t="s">
        <v>76</v>
      </c>
      <c r="B12" s="379" t="s">
        <v>8</v>
      </c>
      <c r="C12" s="603">
        <v>70.09864</v>
      </c>
      <c r="D12" s="604">
        <v>-4.7</v>
      </c>
    </row>
    <row r="13" ht="23.1" customHeight="1" spans="1:4">
      <c r="A13" s="602" t="s">
        <v>77</v>
      </c>
      <c r="B13" s="379" t="s">
        <v>8</v>
      </c>
      <c r="C13" s="603">
        <v>145.739835</v>
      </c>
      <c r="D13" s="604">
        <v>3.2</v>
      </c>
    </row>
    <row r="14" ht="23.1" customHeight="1" spans="1:4">
      <c r="A14" s="602" t="s">
        <v>78</v>
      </c>
      <c r="B14" s="379" t="s">
        <v>8</v>
      </c>
      <c r="C14" s="603">
        <v>14.390044</v>
      </c>
      <c r="D14" s="604">
        <v>10</v>
      </c>
    </row>
    <row r="15" ht="23.1" customHeight="1" spans="1:4">
      <c r="A15" s="602" t="s">
        <v>80</v>
      </c>
      <c r="B15" s="602"/>
      <c r="C15" s="603"/>
      <c r="D15" s="604"/>
    </row>
    <row r="16" ht="23.1" customHeight="1" spans="1:4">
      <c r="A16" s="602" t="s">
        <v>81</v>
      </c>
      <c r="B16" s="379" t="s">
        <v>82</v>
      </c>
      <c r="C16" s="605">
        <v>146.89</v>
      </c>
      <c r="D16" s="604">
        <v>6.3</v>
      </c>
    </row>
    <row r="17" ht="23.1" customHeight="1" spans="1:4">
      <c r="A17" s="602" t="s">
        <v>83</v>
      </c>
      <c r="B17" s="379" t="s">
        <v>82</v>
      </c>
      <c r="C17" s="605">
        <v>126.09</v>
      </c>
      <c r="D17" s="604">
        <v>7.7</v>
      </c>
    </row>
    <row r="18" ht="23.1" customHeight="1" spans="1:4">
      <c r="A18" s="602" t="s">
        <v>84</v>
      </c>
      <c r="B18" s="379" t="s">
        <v>82</v>
      </c>
      <c r="C18" s="606">
        <v>402.4</v>
      </c>
      <c r="D18" s="604">
        <v>7.1</v>
      </c>
    </row>
    <row r="19" ht="23.1" customHeight="1" spans="1:4">
      <c r="A19" s="602" t="s">
        <v>85</v>
      </c>
      <c r="B19" s="379" t="s">
        <v>82</v>
      </c>
      <c r="C19" s="606">
        <v>285.53</v>
      </c>
      <c r="D19" s="604">
        <v>7.3</v>
      </c>
    </row>
    <row r="20" ht="23.1" customHeight="1" spans="1:4">
      <c r="A20" s="602" t="s">
        <v>86</v>
      </c>
      <c r="B20" s="379" t="s">
        <v>87</v>
      </c>
      <c r="C20" s="606">
        <v>325.968</v>
      </c>
      <c r="D20" s="604">
        <v>-20.4</v>
      </c>
    </row>
    <row r="21" ht="23.1" customHeight="1" spans="1:4">
      <c r="A21" s="602" t="s">
        <v>88</v>
      </c>
      <c r="B21" s="379" t="s">
        <v>89</v>
      </c>
      <c r="C21" s="606">
        <v>9602.5126</v>
      </c>
      <c r="D21" s="604">
        <v>12.4</v>
      </c>
    </row>
    <row r="22" ht="23.1" customHeight="1" spans="1:4">
      <c r="A22" s="607" t="s">
        <v>90</v>
      </c>
      <c r="B22" s="392" t="s">
        <v>82</v>
      </c>
      <c r="C22" s="608">
        <v>126.4618</v>
      </c>
      <c r="D22" s="609">
        <v>2.5</v>
      </c>
    </row>
    <row r="23" ht="33" customHeight="1" spans="1:4">
      <c r="A23" s="610" t="s">
        <v>91</v>
      </c>
      <c r="B23" s="610"/>
      <c r="C23" s="610"/>
      <c r="D23" s="610"/>
    </row>
  </sheetData>
  <mergeCells count="2">
    <mergeCell ref="A1:D1"/>
    <mergeCell ref="A23:D23"/>
  </mergeCells>
  <printOptions horizontalCentered="1"/>
  <pageMargins left="0.75" right="0.75" top="0.98" bottom="0.98" header="0.51" footer="0.51"/>
  <pageSetup paperSize="9" orientation="portrait"/>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I22"/>
  <sheetViews>
    <sheetView zoomScale="90" zoomScaleNormal="90" workbookViewId="0">
      <selection activeCell="G21" sqref="G21"/>
    </sheetView>
  </sheetViews>
  <sheetFormatPr defaultColWidth="9" defaultRowHeight="14.25"/>
  <cols>
    <col min="1" max="1" width="28.625" style="491" customWidth="1"/>
    <col min="2" max="2" width="12" style="491" customWidth="1"/>
    <col min="3" max="3" width="10.625" style="491" customWidth="1"/>
    <col min="4" max="4" width="12.125" style="503" customWidth="1"/>
    <col min="5" max="5" width="10.9666666666667" style="491" customWidth="1"/>
    <col min="6" max="6" width="9" style="491"/>
    <col min="7" max="7" width="10.5" style="491" customWidth="1"/>
    <col min="8" max="8" width="9.75" style="491" customWidth="1"/>
    <col min="9" max="9" width="11.75" style="491" customWidth="1"/>
    <col min="10" max="255" width="9" style="491"/>
    <col min="256" max="256" width="9" style="43"/>
  </cols>
  <sheetData>
    <row r="1" ht="28.5" customHeight="1" spans="1:9">
      <c r="A1" s="437" t="s">
        <v>92</v>
      </c>
      <c r="B1" s="438"/>
      <c r="C1" s="438"/>
      <c r="D1" s="504"/>
      <c r="E1" s="504"/>
    </row>
    <row r="2" ht="19.5" customHeight="1" spans="1:9">
      <c r="A2" s="493"/>
      <c r="B2" s="493"/>
      <c r="C2" s="493"/>
      <c r="D2" s="572" t="s">
        <v>52</v>
      </c>
      <c r="E2" s="234"/>
    </row>
    <row r="3" ht="35.25" customHeight="1" spans="1:9">
      <c r="A3" s="494" t="s">
        <v>53</v>
      </c>
      <c r="B3" s="494" t="s">
        <v>93</v>
      </c>
      <c r="C3" s="573" t="s">
        <v>94</v>
      </c>
      <c r="D3" s="90" t="s">
        <v>54</v>
      </c>
      <c r="E3" s="573" t="s">
        <v>94</v>
      </c>
      <c r="G3" s="507"/>
      <c r="I3" s="507"/>
    </row>
    <row r="4" ht="24.95" customHeight="1" spans="1:9">
      <c r="A4" s="498" t="s">
        <v>95</v>
      </c>
      <c r="B4" s="574">
        <v>243.1715</v>
      </c>
      <c r="C4" s="575">
        <v>5.1</v>
      </c>
      <c r="D4" s="576">
        <v>2282.3739</v>
      </c>
      <c r="E4" s="577">
        <v>-0.1</v>
      </c>
      <c r="G4" s="507"/>
      <c r="I4" s="507"/>
    </row>
    <row r="5" ht="24.95" customHeight="1" spans="1:9">
      <c r="A5" s="496" t="s">
        <v>96</v>
      </c>
      <c r="B5" s="574">
        <v>106.991</v>
      </c>
      <c r="C5" s="578">
        <v>-1.5</v>
      </c>
      <c r="D5" s="576">
        <v>963.9472</v>
      </c>
      <c r="E5" s="577">
        <v>0.7</v>
      </c>
      <c r="G5" s="507"/>
      <c r="I5" s="507"/>
    </row>
    <row r="6" ht="24.95" customHeight="1" spans="1:9">
      <c r="A6" s="496" t="s">
        <v>97</v>
      </c>
      <c r="B6" s="574">
        <v>136.1805</v>
      </c>
      <c r="C6" s="578">
        <v>10.8</v>
      </c>
      <c r="D6" s="576">
        <v>1318.4268</v>
      </c>
      <c r="E6" s="577">
        <v>-0.6</v>
      </c>
      <c r="G6" s="507"/>
      <c r="I6" s="507"/>
    </row>
    <row r="7" ht="24.95" customHeight="1" spans="1:9">
      <c r="A7" s="498" t="s">
        <v>98</v>
      </c>
      <c r="B7" s="574">
        <v>3.7321</v>
      </c>
      <c r="C7" s="575">
        <v>-17.2</v>
      </c>
      <c r="D7" s="576">
        <v>30.7814</v>
      </c>
      <c r="E7" s="577">
        <v>-13</v>
      </c>
      <c r="G7" s="507"/>
      <c r="I7" s="507"/>
    </row>
    <row r="8" ht="24.95" customHeight="1" spans="1:9">
      <c r="A8" s="498" t="s">
        <v>99</v>
      </c>
      <c r="B8" s="574">
        <v>0.0157</v>
      </c>
      <c r="C8" s="575">
        <v>-70.4</v>
      </c>
      <c r="D8" s="576">
        <v>0.3024</v>
      </c>
      <c r="E8" s="577">
        <v>-54.8</v>
      </c>
      <c r="F8" s="154"/>
      <c r="G8" s="517"/>
      <c r="I8" s="507"/>
    </row>
    <row r="9" ht="24.95" customHeight="1" spans="1:9">
      <c r="A9" s="498" t="s">
        <v>100</v>
      </c>
      <c r="B9" s="574">
        <v>0</v>
      </c>
      <c r="C9" s="575">
        <v>0</v>
      </c>
      <c r="D9" s="576">
        <v>0</v>
      </c>
      <c r="E9" s="577">
        <v>0</v>
      </c>
      <c r="F9" s="154"/>
      <c r="G9" s="507"/>
      <c r="I9" s="507"/>
    </row>
    <row r="10" ht="24.95" customHeight="1" spans="1:9">
      <c r="A10" s="498" t="s">
        <v>101</v>
      </c>
      <c r="B10" s="574">
        <v>175.1111</v>
      </c>
      <c r="C10" s="575">
        <v>6.2</v>
      </c>
      <c r="D10" s="576">
        <v>1600.5152</v>
      </c>
      <c r="E10" s="577">
        <v>3.1</v>
      </c>
      <c r="F10" s="154"/>
      <c r="G10" s="507"/>
      <c r="I10" s="507"/>
    </row>
    <row r="11" ht="24.95" customHeight="1" spans="1:9">
      <c r="A11" s="498" t="s">
        <v>102</v>
      </c>
      <c r="B11" s="574">
        <v>58.4112</v>
      </c>
      <c r="C11" s="575">
        <v>3.3</v>
      </c>
      <c r="D11" s="576">
        <v>605.7359</v>
      </c>
      <c r="E11" s="577">
        <v>-7.5</v>
      </c>
      <c r="G11" s="507"/>
      <c r="I11" s="507"/>
    </row>
    <row r="12" ht="24.95" customHeight="1" spans="1:9">
      <c r="A12" s="498" t="s">
        <v>103</v>
      </c>
      <c r="B12" s="574">
        <v>5.9013</v>
      </c>
      <c r="C12" s="575">
        <v>3.7</v>
      </c>
      <c r="D12" s="576">
        <v>45.039</v>
      </c>
      <c r="E12" s="577">
        <v>10.7</v>
      </c>
      <c r="G12" s="507"/>
      <c r="I12" s="507"/>
    </row>
    <row r="13" ht="24.95" customHeight="1" spans="1:9">
      <c r="A13" s="498" t="s">
        <v>104</v>
      </c>
      <c r="B13" s="574">
        <v>102.9501</v>
      </c>
      <c r="C13" s="575">
        <v>16.1</v>
      </c>
      <c r="D13" s="576">
        <v>1001.5197</v>
      </c>
      <c r="E13" s="577">
        <v>-1.8</v>
      </c>
      <c r="G13" s="507"/>
      <c r="I13" s="507"/>
    </row>
    <row r="14" ht="24.95" customHeight="1" spans="1:9">
      <c r="A14" s="498" t="s">
        <v>105</v>
      </c>
      <c r="B14" s="574">
        <v>109.8703</v>
      </c>
      <c r="C14" s="575">
        <v>-4.5</v>
      </c>
      <c r="D14" s="576">
        <v>964.9239</v>
      </c>
      <c r="E14" s="577">
        <v>0.8</v>
      </c>
      <c r="G14" s="507"/>
      <c r="I14" s="507"/>
    </row>
    <row r="15" ht="24.95" customHeight="1" spans="1:9">
      <c r="A15" s="498" t="s">
        <v>106</v>
      </c>
      <c r="B15" s="574">
        <v>90.4042</v>
      </c>
      <c r="C15" s="575">
        <v>19.2</v>
      </c>
      <c r="D15" s="576">
        <v>934.0073</v>
      </c>
      <c r="E15" s="577">
        <v>3.8</v>
      </c>
      <c r="G15" s="507"/>
      <c r="I15" s="507"/>
    </row>
    <row r="16" ht="24.95" customHeight="1" spans="1:9">
      <c r="A16" s="498" t="s">
        <v>107</v>
      </c>
      <c r="B16" s="574">
        <v>63.5227</v>
      </c>
      <c r="C16" s="575">
        <v>9.8</v>
      </c>
      <c r="D16" s="576">
        <v>548.6401</v>
      </c>
      <c r="E16" s="577">
        <v>-6.6</v>
      </c>
      <c r="G16" s="507"/>
      <c r="I16" s="507"/>
    </row>
    <row r="17" ht="24.95" customHeight="1" spans="1:9">
      <c r="A17" s="498" t="s">
        <v>108</v>
      </c>
      <c r="B17" s="574">
        <v>87.358</v>
      </c>
      <c r="C17" s="575">
        <v>-7.7</v>
      </c>
      <c r="D17" s="576">
        <v>777.1261</v>
      </c>
      <c r="E17" s="577">
        <v>0.6</v>
      </c>
      <c r="G17" s="507"/>
      <c r="I17" s="507"/>
    </row>
    <row r="18" ht="24.95" customHeight="1" spans="1:9">
      <c r="A18" s="579" t="s">
        <v>109</v>
      </c>
      <c r="B18" s="580">
        <v>1.8865</v>
      </c>
      <c r="C18" s="581">
        <v>-41.8</v>
      </c>
      <c r="D18" s="582">
        <v>22.6005</v>
      </c>
      <c r="E18" s="583">
        <v>-8.6</v>
      </c>
      <c r="G18" s="507"/>
      <c r="I18" s="507"/>
    </row>
    <row r="19" ht="24.95" customHeight="1" spans="1:9">
      <c r="A19" s="584" t="s">
        <v>110</v>
      </c>
      <c r="B19" s="585">
        <v>21.299</v>
      </c>
      <c r="C19" s="581">
        <v>50.5</v>
      </c>
      <c r="D19" s="582">
        <v>162.8803</v>
      </c>
      <c r="E19" s="586">
        <v>1.9</v>
      </c>
      <c r="G19" s="507"/>
      <c r="I19" s="507"/>
    </row>
    <row r="20" ht="31.5" customHeight="1" spans="1:9">
      <c r="A20" s="587"/>
      <c r="B20" s="588" t="s">
        <v>111</v>
      </c>
      <c r="C20" s="589"/>
      <c r="D20" s="590" t="s">
        <v>112</v>
      </c>
      <c r="E20" s="591" t="s">
        <v>113</v>
      </c>
      <c r="G20" s="507"/>
      <c r="I20" s="507"/>
    </row>
    <row r="21" ht="24.95" customHeight="1" spans="1:9">
      <c r="A21" s="592" t="s">
        <v>114</v>
      </c>
      <c r="B21" s="593">
        <v>2243.3788</v>
      </c>
      <c r="C21" s="594"/>
      <c r="D21" s="595">
        <v>98.3</v>
      </c>
      <c r="E21" s="596">
        <v>-0.3</v>
      </c>
      <c r="G21" s="507"/>
      <c r="I21" s="507"/>
    </row>
    <row r="22" ht="20.1" customHeight="1" spans="1:9">
      <c r="A22" s="597" t="s">
        <v>115</v>
      </c>
      <c r="B22" s="597"/>
      <c r="C22" s="597"/>
      <c r="D22" s="597"/>
      <c r="E22" s="597"/>
    </row>
  </sheetData>
  <mergeCells count="5">
    <mergeCell ref="A1:E1"/>
    <mergeCell ref="D2:E2"/>
    <mergeCell ref="B20:C20"/>
    <mergeCell ref="B21:C21"/>
    <mergeCell ref="A22:E22"/>
  </mergeCells>
  <printOptions horizontalCentered="1"/>
  <pageMargins left="0.55" right="0.55" top="0.59" bottom="0.59" header="0.51" footer="0.51"/>
  <pageSetup paperSize="9" orientation="portrait" blackAndWhite="1" horizontalDpi="200" verticalDpi="300"/>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H250"/>
  <sheetViews>
    <sheetView zoomScale="90" zoomScaleNormal="90" workbookViewId="0">
      <selection activeCell="H22" sqref="H22"/>
    </sheetView>
  </sheetViews>
  <sheetFormatPr defaultColWidth="9" defaultRowHeight="14.25" outlineLevelCol="7"/>
  <cols>
    <col min="1" max="1" width="28.625" style="491" customWidth="1"/>
    <col min="2" max="2" width="12" style="491" customWidth="1"/>
    <col min="3" max="3" width="10.625" style="491" customWidth="1"/>
    <col min="4" max="4" width="12.125" style="503" customWidth="1"/>
    <col min="5" max="5" width="11.5" style="491" customWidth="1"/>
    <col min="6" max="6" width="9" style="491"/>
    <col min="7" max="7" width="10.5" style="491" customWidth="1"/>
    <col min="8" max="8" width="9.75" style="491" customWidth="1"/>
    <col min="9" max="9" width="11.75" style="491" customWidth="1"/>
    <col min="10" max="16384" width="9" style="491"/>
  </cols>
  <sheetData>
    <row r="1" s="43" customFormat="1" ht="28.5" customHeight="1" spans="1:8">
      <c r="A1" s="437" t="s">
        <v>116</v>
      </c>
      <c r="B1" s="438"/>
      <c r="C1" s="438"/>
      <c r="D1" s="504"/>
      <c r="E1" s="504"/>
    </row>
    <row r="2" s="43" customFormat="1" ht="19.5" customHeight="1" spans="1:8">
      <c r="A2" s="537"/>
      <c r="B2" s="537"/>
      <c r="C2" s="537"/>
      <c r="D2" s="538" t="s">
        <v>52</v>
      </c>
      <c r="E2" s="539"/>
    </row>
    <row r="3" s="43" customFormat="1" ht="35.25" customHeight="1" spans="1:8">
      <c r="A3" s="540" t="s">
        <v>53</v>
      </c>
      <c r="B3" s="505" t="s">
        <v>93</v>
      </c>
      <c r="C3" s="506" t="s">
        <v>94</v>
      </c>
      <c r="D3" s="376" t="s">
        <v>54</v>
      </c>
      <c r="E3" s="506" t="s">
        <v>94</v>
      </c>
      <c r="H3" s="449"/>
    </row>
    <row r="4" s="43" customFormat="1" ht="24.95" customHeight="1" spans="1:8">
      <c r="A4" s="440" t="s">
        <v>117</v>
      </c>
      <c r="B4" s="567">
        <v>76.2039</v>
      </c>
      <c r="C4" s="568">
        <v>7.7</v>
      </c>
      <c r="D4" s="567">
        <v>727.6593</v>
      </c>
      <c r="E4" s="381">
        <v>-0.3</v>
      </c>
      <c r="H4" s="448"/>
    </row>
    <row r="5" s="43" customFormat="1" ht="24.95" customHeight="1" spans="1:8">
      <c r="A5" s="440" t="s">
        <v>96</v>
      </c>
      <c r="B5" s="483">
        <v>23.1561</v>
      </c>
      <c r="C5" s="527">
        <v>2.7</v>
      </c>
      <c r="D5" s="483">
        <v>210.3753</v>
      </c>
      <c r="E5" s="384">
        <v>3.5</v>
      </c>
      <c r="H5" s="448"/>
    </row>
    <row r="6" s="43" customFormat="1" ht="24.95" customHeight="1" spans="1:8">
      <c r="A6" s="450" t="s">
        <v>97</v>
      </c>
      <c r="B6" s="483">
        <v>53.0479</v>
      </c>
      <c r="C6" s="527">
        <v>10</v>
      </c>
      <c r="D6" s="483">
        <v>517.284</v>
      </c>
      <c r="E6" s="384">
        <v>-1.1</v>
      </c>
      <c r="H6" s="448"/>
    </row>
    <row r="7" s="43" customFormat="1" ht="24.95" customHeight="1" spans="1:8">
      <c r="A7" s="450" t="s">
        <v>98</v>
      </c>
      <c r="B7" s="483">
        <v>0.6814</v>
      </c>
      <c r="C7" s="527">
        <v>-10.5</v>
      </c>
      <c r="D7" s="483">
        <v>5.9412</v>
      </c>
      <c r="E7" s="384">
        <v>-8.1</v>
      </c>
      <c r="H7" s="448"/>
    </row>
    <row r="8" s="43" customFormat="1" ht="24.95" customHeight="1" spans="1:8">
      <c r="A8" s="450" t="s">
        <v>99</v>
      </c>
      <c r="B8" s="483">
        <v>0.0073</v>
      </c>
      <c r="C8" s="527">
        <v>-67</v>
      </c>
      <c r="D8" s="483">
        <v>0.14</v>
      </c>
      <c r="E8" s="384">
        <v>-51.2</v>
      </c>
      <c r="H8" s="448"/>
    </row>
    <row r="9" s="43" customFormat="1" ht="24.95" customHeight="1" spans="1:8">
      <c r="A9" s="450" t="s">
        <v>100</v>
      </c>
      <c r="B9" s="483">
        <v>0</v>
      </c>
      <c r="C9" s="528">
        <v>0</v>
      </c>
      <c r="D9" s="483">
        <v>0</v>
      </c>
      <c r="E9" s="384">
        <v>0</v>
      </c>
      <c r="H9" s="448"/>
    </row>
    <row r="10" s="43" customFormat="1" ht="24.95" customHeight="1" spans="1:8">
      <c r="A10" s="450" t="s">
        <v>101</v>
      </c>
      <c r="B10" s="483">
        <v>40.9546</v>
      </c>
      <c r="C10" s="528">
        <v>6.8</v>
      </c>
      <c r="D10" s="483">
        <v>381.3229</v>
      </c>
      <c r="E10" s="384">
        <v>4.5</v>
      </c>
      <c r="H10" s="448"/>
    </row>
    <row r="11" s="43" customFormat="1" ht="24.95" customHeight="1" spans="1:8">
      <c r="A11" s="450" t="s">
        <v>102</v>
      </c>
      <c r="B11" s="483">
        <v>33.1908</v>
      </c>
      <c r="C11" s="528">
        <v>9.3</v>
      </c>
      <c r="D11" s="483">
        <v>330.5413</v>
      </c>
      <c r="E11" s="384">
        <v>-4.4</v>
      </c>
      <c r="H11" s="448"/>
    </row>
    <row r="12" s="43" customFormat="1" ht="24.95" customHeight="1" spans="1:8">
      <c r="A12" s="450" t="s">
        <v>103</v>
      </c>
      <c r="B12" s="483">
        <v>1.3699</v>
      </c>
      <c r="C12" s="528">
        <v>6.1</v>
      </c>
      <c r="D12" s="483">
        <v>9.7139</v>
      </c>
      <c r="E12" s="384">
        <v>10.7</v>
      </c>
      <c r="H12" s="448"/>
    </row>
    <row r="13" s="43" customFormat="1" ht="24.95" customHeight="1" spans="1:8">
      <c r="A13" s="450" t="s">
        <v>104</v>
      </c>
      <c r="B13" s="483">
        <v>29.9014</v>
      </c>
      <c r="C13" s="528">
        <v>12.8</v>
      </c>
      <c r="D13" s="483">
        <v>300.2626</v>
      </c>
      <c r="E13" s="384">
        <v>-3.3</v>
      </c>
      <c r="H13" s="448"/>
    </row>
    <row r="14" s="43" customFormat="1" ht="24.95" customHeight="1" spans="1:8">
      <c r="A14" s="450" t="s">
        <v>105</v>
      </c>
      <c r="B14" s="483">
        <v>24.4974</v>
      </c>
      <c r="C14" s="528">
        <v>-1</v>
      </c>
      <c r="D14" s="483">
        <v>210.1992</v>
      </c>
      <c r="E14" s="384">
        <v>2.7</v>
      </c>
      <c r="H14" s="448"/>
    </row>
    <row r="15" s="43" customFormat="1" ht="24.95" customHeight="1" spans="1:8">
      <c r="A15" s="450" t="s">
        <v>106</v>
      </c>
      <c r="B15" s="483">
        <v>37.1718</v>
      </c>
      <c r="C15" s="528">
        <v>14.4</v>
      </c>
      <c r="D15" s="483">
        <v>386.7584</v>
      </c>
      <c r="E15" s="384">
        <v>4.1</v>
      </c>
      <c r="H15" s="448"/>
    </row>
    <row r="16" s="43" customFormat="1" ht="24.95" customHeight="1" spans="1:8">
      <c r="A16" s="450" t="s">
        <v>107</v>
      </c>
      <c r="B16" s="483">
        <v>19.3552</v>
      </c>
      <c r="C16" s="528">
        <v>11.9</v>
      </c>
      <c r="D16" s="483">
        <v>172.9026</v>
      </c>
      <c r="E16" s="384">
        <v>-8.8</v>
      </c>
      <c r="H16" s="448"/>
    </row>
    <row r="17" s="43" customFormat="1" ht="24.95" customHeight="1" spans="1:8">
      <c r="A17" s="450" t="s">
        <v>108</v>
      </c>
      <c r="B17" s="483">
        <v>19.2439</v>
      </c>
      <c r="C17" s="528">
        <v>-4.9</v>
      </c>
      <c r="D17" s="483">
        <v>162.9757</v>
      </c>
      <c r="E17" s="384">
        <v>1.6</v>
      </c>
      <c r="H17" s="448"/>
    </row>
    <row r="18" s="43" customFormat="1" ht="24.95" customHeight="1" spans="1:8">
      <c r="A18" s="569" t="s">
        <v>109</v>
      </c>
      <c r="B18" s="570">
        <v>0.433</v>
      </c>
      <c r="C18" s="571">
        <v>-40.7</v>
      </c>
      <c r="D18" s="570">
        <v>5.0226</v>
      </c>
      <c r="E18" s="394">
        <v>-7.9</v>
      </c>
      <c r="H18" s="448"/>
    </row>
    <row r="19" s="43" customFormat="1" spans="1:8">
      <c r="A19"/>
      <c r="B19"/>
      <c r="C19"/>
      <c r="D19"/>
      <c r="E19"/>
    </row>
    <row r="20" s="43" customFormat="1"/>
    <row r="21" s="43" customFormat="1"/>
    <row r="22" s="43" customFormat="1"/>
    <row r="23" s="43" customFormat="1"/>
    <row r="24" s="43" customFormat="1"/>
    <row r="25" s="43" customFormat="1"/>
    <row r="26" s="43" customFormat="1"/>
    <row r="27" s="43" customFormat="1"/>
    <row r="28" s="43" customFormat="1"/>
    <row r="29" s="43" customFormat="1"/>
    <row r="30" s="43" customFormat="1"/>
    <row r="31" s="43" customFormat="1"/>
    <row r="32" s="43" customFormat="1"/>
    <row r="33" s="43" customFormat="1"/>
    <row r="34" s="43" customFormat="1"/>
    <row r="35" s="43" customFormat="1"/>
    <row r="36" s="43" customFormat="1"/>
    <row r="37" s="43" customFormat="1"/>
    <row r="38" s="43" customFormat="1"/>
    <row r="39" s="43" customFormat="1"/>
    <row r="40" s="43" customFormat="1"/>
    <row r="41" s="43" customFormat="1"/>
    <row r="42" s="43" customFormat="1"/>
    <row r="43" s="43" customFormat="1"/>
    <row r="44" s="43" customFormat="1"/>
    <row r="45" s="43" customFormat="1"/>
    <row r="46" s="43" customFormat="1"/>
    <row r="47" s="43" customFormat="1"/>
    <row r="48" s="43" customFormat="1"/>
    <row r="49" s="43" customFormat="1"/>
    <row r="50" s="43" customFormat="1"/>
    <row r="51" s="43" customFormat="1"/>
    <row r="52" s="43" customFormat="1"/>
    <row r="53" s="43" customFormat="1"/>
    <row r="54" s="43" customFormat="1"/>
    <row r="55" s="43" customFormat="1"/>
    <row r="56" s="43" customFormat="1"/>
    <row r="57" s="43" customFormat="1"/>
    <row r="58" s="43" customFormat="1"/>
    <row r="59" s="43" customFormat="1"/>
    <row r="60" s="43" customFormat="1"/>
    <row r="61" s="43" customFormat="1"/>
    <row r="62" s="43" customFormat="1"/>
    <row r="63" s="43" customFormat="1"/>
    <row r="64" s="43" customFormat="1"/>
    <row r="65" s="43" customFormat="1"/>
    <row r="66" s="43" customFormat="1"/>
    <row r="67" s="43" customFormat="1"/>
    <row r="68" s="43" customFormat="1"/>
    <row r="69" s="43" customFormat="1"/>
    <row r="70" s="43" customFormat="1"/>
    <row r="71" s="43" customFormat="1"/>
    <row r="72" s="43" customFormat="1"/>
    <row r="73" s="43" customFormat="1"/>
    <row r="74" s="43" customFormat="1"/>
    <row r="75" s="43" customFormat="1"/>
    <row r="76" s="43" customFormat="1"/>
    <row r="77" s="43" customFormat="1"/>
    <row r="78" s="43" customFormat="1"/>
    <row r="79" s="43" customFormat="1"/>
    <row r="80" s="43" customFormat="1"/>
    <row r="81" s="43" customFormat="1"/>
    <row r="82" s="43" customFormat="1"/>
    <row r="83" s="43" customFormat="1"/>
    <row r="84" s="43" customFormat="1"/>
    <row r="85" s="43" customFormat="1"/>
    <row r="86" s="43" customFormat="1"/>
    <row r="87" s="43" customFormat="1"/>
    <row r="88" s="43" customFormat="1"/>
    <row r="89" s="43" customFormat="1"/>
    <row r="90" s="43" customFormat="1"/>
    <row r="91" s="43" customFormat="1"/>
    <row r="92" s="43" customFormat="1"/>
    <row r="93" s="43" customFormat="1"/>
    <row r="94" s="43" customFormat="1"/>
    <row r="95" s="43" customFormat="1"/>
    <row r="96" s="43" customFormat="1"/>
    <row r="97" s="43" customFormat="1"/>
    <row r="98" s="43" customFormat="1"/>
    <row r="99" s="43" customFormat="1"/>
    <row r="100" s="43" customFormat="1"/>
    <row r="101" s="43" customFormat="1"/>
    <row r="102" s="43" customFormat="1"/>
    <row r="103" s="43" customFormat="1"/>
    <row r="104" s="43" customFormat="1"/>
    <row r="105" s="43" customFormat="1"/>
    <row r="106" s="43" customFormat="1"/>
    <row r="107" s="43" customFormat="1"/>
    <row r="108" s="43" customFormat="1"/>
    <row r="109" s="43" customFormat="1"/>
    <row r="110" s="43" customFormat="1"/>
    <row r="111" s="43" customFormat="1"/>
    <row r="112" s="43" customFormat="1"/>
    <row r="113" s="43" customFormat="1"/>
    <row r="114" s="43" customFormat="1"/>
    <row r="115" s="43" customFormat="1"/>
    <row r="116" s="43" customFormat="1"/>
    <row r="117" s="43" customFormat="1"/>
    <row r="118" s="43" customFormat="1"/>
    <row r="119" s="43" customFormat="1"/>
    <row r="120" s="43" customFormat="1"/>
    <row r="121" s="43" customFormat="1"/>
    <row r="122" s="43" customFormat="1"/>
    <row r="123" s="43" customFormat="1"/>
    <row r="124" s="43" customFormat="1"/>
    <row r="125" s="43" customFormat="1"/>
    <row r="126" s="43" customFormat="1"/>
    <row r="127" s="43" customFormat="1"/>
    <row r="128" s="43" customFormat="1"/>
    <row r="129" s="43" customFormat="1"/>
    <row r="130" s="43" customFormat="1"/>
    <row r="131" s="43" customFormat="1"/>
    <row r="132" s="43" customFormat="1"/>
    <row r="133" s="43" customFormat="1"/>
    <row r="134" s="43" customFormat="1"/>
    <row r="135" s="43" customFormat="1"/>
    <row r="136" s="43" customFormat="1"/>
    <row r="137" s="43" customFormat="1"/>
    <row r="138" s="43" customFormat="1"/>
    <row r="139" s="43" customFormat="1"/>
    <row r="140" s="43" customFormat="1"/>
    <row r="141" s="43" customFormat="1"/>
    <row r="142" s="43" customFormat="1"/>
    <row r="143" s="43" customFormat="1"/>
    <row r="144" s="43" customFormat="1"/>
    <row r="145" s="43" customFormat="1"/>
    <row r="146" s="43" customFormat="1"/>
    <row r="147" s="43" customFormat="1"/>
    <row r="148" s="43" customFormat="1"/>
    <row r="149" s="43" customFormat="1"/>
    <row r="150" s="43" customFormat="1"/>
    <row r="151" s="43" customFormat="1"/>
    <row r="152" s="43" customFormat="1"/>
    <row r="153" s="43" customFormat="1"/>
    <row r="154" s="43" customFormat="1"/>
    <row r="155" s="43" customFormat="1"/>
    <row r="156" s="43" customFormat="1"/>
    <row r="157" s="43" customFormat="1"/>
    <row r="158" s="43" customFormat="1"/>
    <row r="159" s="43" customFormat="1"/>
    <row r="160" s="43" customFormat="1"/>
    <row r="161" s="43" customFormat="1"/>
    <row r="162" s="43" customFormat="1"/>
    <row r="163" s="43" customFormat="1"/>
    <row r="164" s="43" customFormat="1"/>
    <row r="165" s="43" customFormat="1"/>
    <row r="166" s="43" customFormat="1"/>
    <row r="167" s="43" customFormat="1"/>
    <row r="168" s="43" customFormat="1"/>
    <row r="169" s="43" customFormat="1"/>
    <row r="170" s="43" customFormat="1"/>
    <row r="171" s="43" customFormat="1"/>
    <row r="172" s="43" customFormat="1"/>
    <row r="173" s="43" customFormat="1"/>
    <row r="174" s="43" customFormat="1"/>
    <row r="175" s="43" customFormat="1"/>
    <row r="176" s="43" customFormat="1"/>
    <row r="177" s="43" customFormat="1"/>
    <row r="178" s="43" customFormat="1"/>
    <row r="179" s="43" customFormat="1"/>
    <row r="180" s="43" customFormat="1"/>
    <row r="181" s="43" customFormat="1"/>
    <row r="182" s="43" customFormat="1"/>
    <row r="183" s="43" customFormat="1"/>
    <row r="184" s="43" customFormat="1"/>
    <row r="185" s="43" customFormat="1"/>
    <row r="186" s="43" customFormat="1"/>
    <row r="187" s="43" customFormat="1"/>
    <row r="188" s="43" customFormat="1"/>
    <row r="189" s="43" customFormat="1"/>
    <row r="190" s="43" customFormat="1"/>
    <row r="191" s="43" customFormat="1"/>
    <row r="192" s="43" customFormat="1"/>
    <row r="193" s="43" customFormat="1"/>
    <row r="194" s="43" customFormat="1"/>
    <row r="195" s="43" customFormat="1"/>
    <row r="196" s="43" customFormat="1"/>
    <row r="197" s="43" customFormat="1"/>
    <row r="198" s="43" customFormat="1"/>
    <row r="199" s="43" customFormat="1"/>
    <row r="200" s="43" customFormat="1"/>
    <row r="201" s="43" customFormat="1"/>
    <row r="202" s="43" customFormat="1"/>
    <row r="203" s="43" customFormat="1"/>
    <row r="204" s="43" customFormat="1"/>
    <row r="205" s="43" customFormat="1"/>
    <row r="206" s="43" customFormat="1"/>
    <row r="207" s="43" customFormat="1"/>
    <row r="208" s="43" customFormat="1"/>
    <row r="209" s="43" customFormat="1"/>
    <row r="210" s="43" customFormat="1"/>
    <row r="211" s="43" customFormat="1"/>
    <row r="212" s="43" customFormat="1"/>
    <row r="213" s="43" customFormat="1"/>
    <row r="214" s="43" customFormat="1"/>
    <row r="215" s="43" customFormat="1"/>
    <row r="216" s="43" customFormat="1"/>
    <row r="217" s="43" customFormat="1"/>
    <row r="218" s="43" customFormat="1"/>
    <row r="219" s="43" customFormat="1"/>
    <row r="220" s="43" customFormat="1"/>
    <row r="221" s="43" customFormat="1"/>
    <row r="222" s="43" customFormat="1"/>
    <row r="223" s="43" customFormat="1"/>
    <row r="224" s="43" customFormat="1"/>
    <row r="225" s="43" customFormat="1"/>
    <row r="226" s="43" customFormat="1"/>
    <row r="227" s="43" customFormat="1"/>
    <row r="228" s="43" customFormat="1"/>
    <row r="229" s="43" customFormat="1"/>
    <row r="230" s="43" customFormat="1"/>
    <row r="231" s="43" customFormat="1"/>
    <row r="232" s="43" customFormat="1"/>
    <row r="233" s="43" customFormat="1"/>
    <row r="234" s="43" customFormat="1"/>
    <row r="235" s="43" customFormat="1"/>
    <row r="236" s="43" customFormat="1"/>
    <row r="237" s="43" customFormat="1"/>
    <row r="238" s="43" customFormat="1"/>
    <row r="239" s="43" customFormat="1"/>
    <row r="240" s="43" customFormat="1"/>
    <row r="241" s="43" customFormat="1"/>
    <row r="242" s="43" customFormat="1"/>
    <row r="243" s="43" customFormat="1"/>
    <row r="244" s="43" customFormat="1"/>
    <row r="245" s="43" customFormat="1"/>
    <row r="246" s="43" customFormat="1"/>
    <row r="247" s="43" customFormat="1"/>
    <row r="248" s="43" customFormat="1"/>
    <row r="249" s="43" customFormat="1"/>
    <row r="250" s="43" customFormat="1"/>
  </sheetData>
  <mergeCells count="2">
    <mergeCell ref="A1:E1"/>
    <mergeCell ref="D2:E2"/>
  </mergeCells>
  <pageMargins left="0.75" right="0.75" top="1" bottom="1" header="0.5" footer="0.5"/>
  <pageSetup paperSize="9" orientation="portrait"/>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D254"/>
  <sheetViews>
    <sheetView workbookViewId="0">
      <selection activeCell="F22" sqref="F22"/>
    </sheetView>
  </sheetViews>
  <sheetFormatPr defaultColWidth="9" defaultRowHeight="14.25" outlineLevelCol="3"/>
  <cols>
    <col min="1" max="1" width="36" style="47" customWidth="1"/>
    <col min="2" max="2" width="11.125" style="557" customWidth="1"/>
    <col min="3" max="4" width="14.625" style="414" customWidth="1"/>
    <col min="5" max="16384" width="9" style="43"/>
  </cols>
  <sheetData>
    <row r="1" ht="28.5" customHeight="1" spans="1:4">
      <c r="A1" s="438" t="s">
        <v>118</v>
      </c>
      <c r="B1" s="438"/>
      <c r="C1" s="438"/>
      <c r="D1" s="84"/>
    </row>
    <row r="2" ht="24" customHeight="1" spans="1:4">
      <c r="A2" s="558" t="s">
        <v>53</v>
      </c>
      <c r="B2" s="376" t="s">
        <v>119</v>
      </c>
      <c r="C2" s="559" t="s">
        <v>120</v>
      </c>
      <c r="D2" s="377" t="s">
        <v>6</v>
      </c>
    </row>
    <row r="3" ht="24" customHeight="1" spans="1:4">
      <c r="A3" s="560" t="s">
        <v>121</v>
      </c>
      <c r="B3" s="561" t="s">
        <v>122</v>
      </c>
      <c r="C3" s="562">
        <v>878</v>
      </c>
      <c r="D3" s="383">
        <v>-1.2</v>
      </c>
    </row>
    <row r="4" ht="24" customHeight="1" spans="1:4">
      <c r="A4" s="560" t="s">
        <v>123</v>
      </c>
      <c r="B4" s="561" t="s">
        <v>122</v>
      </c>
      <c r="C4" s="562">
        <v>146</v>
      </c>
      <c r="D4" s="383">
        <v>5.8</v>
      </c>
    </row>
    <row r="5" ht="24" customHeight="1" spans="1:4">
      <c r="A5" s="560" t="s">
        <v>124</v>
      </c>
      <c r="B5" s="561" t="s">
        <v>8</v>
      </c>
      <c r="C5" s="407">
        <v>11.092</v>
      </c>
      <c r="D5" s="383">
        <v>-10.7</v>
      </c>
    </row>
    <row r="6" ht="24" customHeight="1" spans="1:4">
      <c r="A6" s="560" t="s">
        <v>125</v>
      </c>
      <c r="B6" s="561" t="s">
        <v>8</v>
      </c>
      <c r="C6" s="407">
        <v>2052.6659</v>
      </c>
      <c r="D6" s="383">
        <v>-3.9</v>
      </c>
    </row>
    <row r="7" ht="24" customHeight="1" spans="1:4">
      <c r="A7" s="560" t="s">
        <v>126</v>
      </c>
      <c r="B7" s="561" t="s">
        <v>8</v>
      </c>
      <c r="C7" s="407">
        <v>311.648</v>
      </c>
      <c r="D7" s="383">
        <v>-24.1</v>
      </c>
    </row>
    <row r="8" ht="24" customHeight="1" spans="1:4">
      <c r="A8" s="560" t="s">
        <v>127</v>
      </c>
      <c r="B8" s="561" t="s">
        <v>8</v>
      </c>
      <c r="C8" s="407">
        <v>171.198</v>
      </c>
      <c r="D8" s="383">
        <v>-25.7</v>
      </c>
    </row>
    <row r="9" ht="24" customHeight="1" spans="1:4">
      <c r="A9" s="560" t="s">
        <v>128</v>
      </c>
      <c r="B9" s="561" t="s">
        <v>8</v>
      </c>
      <c r="C9" s="407">
        <v>2876.966</v>
      </c>
      <c r="D9" s="383">
        <v>3.5</v>
      </c>
    </row>
    <row r="10" ht="24" customHeight="1" spans="1:4">
      <c r="A10" s="560" t="s">
        <v>129</v>
      </c>
      <c r="B10" s="561" t="s">
        <v>8</v>
      </c>
      <c r="C10" s="407">
        <v>1943.6388</v>
      </c>
      <c r="D10" s="383">
        <v>4.2</v>
      </c>
    </row>
    <row r="11" ht="24" customHeight="1" spans="1:4">
      <c r="A11" s="560" t="s">
        <v>130</v>
      </c>
      <c r="B11" s="561" t="s">
        <v>8</v>
      </c>
      <c r="C11" s="407">
        <v>1190.3615</v>
      </c>
      <c r="D11" s="383">
        <v>9.1</v>
      </c>
    </row>
    <row r="12" ht="24" customHeight="1" spans="1:4">
      <c r="A12" s="560" t="s">
        <v>131</v>
      </c>
      <c r="B12" s="561" t="s">
        <v>8</v>
      </c>
      <c r="C12" s="407">
        <v>81.561</v>
      </c>
      <c r="D12" s="383">
        <v>-3.2</v>
      </c>
    </row>
    <row r="13" ht="24" customHeight="1" spans="1:4">
      <c r="A13" s="560" t="s">
        <v>132</v>
      </c>
      <c r="B13" s="561" t="s">
        <v>8</v>
      </c>
      <c r="C13" s="407">
        <v>29.0466</v>
      </c>
      <c r="D13" s="383">
        <v>-7</v>
      </c>
    </row>
    <row r="14" ht="24" customHeight="1" spans="1:4">
      <c r="A14" s="560" t="s">
        <v>133</v>
      </c>
      <c r="B14" s="561" t="s">
        <v>134</v>
      </c>
      <c r="C14" s="407">
        <v>11.894</v>
      </c>
      <c r="D14" s="383">
        <v>-6.8</v>
      </c>
    </row>
    <row r="15" ht="24" customHeight="1" spans="1:4">
      <c r="A15" s="419" t="s">
        <v>135</v>
      </c>
      <c r="B15" s="561" t="s">
        <v>29</v>
      </c>
      <c r="C15" s="563">
        <v>479.61</v>
      </c>
      <c r="D15" s="383">
        <v>-16.8</v>
      </c>
    </row>
    <row r="16" ht="24" customHeight="1" spans="1:4">
      <c r="A16" s="560" t="s">
        <v>136</v>
      </c>
      <c r="B16" s="561" t="s">
        <v>29</v>
      </c>
      <c r="C16" s="563">
        <v>13.32</v>
      </c>
      <c r="D16" s="383">
        <v>-4.6</v>
      </c>
    </row>
    <row r="17" ht="24" customHeight="1" spans="1:4">
      <c r="A17" s="560" t="s">
        <v>137</v>
      </c>
      <c r="B17" s="561" t="s">
        <v>29</v>
      </c>
      <c r="C17" s="563">
        <v>102.16</v>
      </c>
      <c r="D17" s="383">
        <v>-17.4</v>
      </c>
    </row>
    <row r="18" ht="24" customHeight="1" spans="1:4">
      <c r="A18" s="560" t="s">
        <v>138</v>
      </c>
      <c r="B18" s="561" t="s">
        <v>29</v>
      </c>
      <c r="C18" s="563">
        <v>67.56</v>
      </c>
      <c r="D18" s="383">
        <v>0.4</v>
      </c>
    </row>
    <row r="19" ht="24" customHeight="1" spans="1:4">
      <c r="A19" s="560" t="s">
        <v>139</v>
      </c>
      <c r="B19" s="561" t="s">
        <v>140</v>
      </c>
      <c r="C19" s="458">
        <v>2.01</v>
      </c>
      <c r="D19" s="383">
        <v>-0.2</v>
      </c>
    </row>
    <row r="20" ht="24" customHeight="1" spans="1:4">
      <c r="A20" s="560" t="s">
        <v>141</v>
      </c>
      <c r="B20" s="561" t="s">
        <v>29</v>
      </c>
      <c r="C20" s="563">
        <v>9.53</v>
      </c>
      <c r="D20" s="383">
        <v>-3.2</v>
      </c>
    </row>
    <row r="21" ht="24" customHeight="1" spans="1:4">
      <c r="A21" s="560" t="s">
        <v>142</v>
      </c>
      <c r="B21" s="561" t="s">
        <v>143</v>
      </c>
      <c r="C21" s="407">
        <v>59.774902</v>
      </c>
      <c r="D21" s="383">
        <v>2.4</v>
      </c>
    </row>
    <row r="22" ht="24" customHeight="1" spans="1:4">
      <c r="A22" s="564" t="s">
        <v>144</v>
      </c>
      <c r="B22" s="565" t="s">
        <v>29</v>
      </c>
      <c r="C22" s="566">
        <v>98.19</v>
      </c>
      <c r="D22" s="462">
        <v>-0.2</v>
      </c>
    </row>
    <row r="23" spans="1:4">
      <c r="A23" s="244"/>
      <c r="B23" s="244"/>
      <c r="C23" s="244"/>
      <c r="D23" s="244"/>
    </row>
    <row r="24" spans="1:4">
      <c r="A24" s="218"/>
      <c r="B24" s="43"/>
      <c r="C24" s="43"/>
      <c r="D24" s="43"/>
    </row>
    <row r="25" spans="1:4">
      <c r="A25" s="218"/>
      <c r="B25" s="43"/>
      <c r="C25" s="43"/>
      <c r="D25" s="43"/>
    </row>
    <row r="26" spans="1:4">
      <c r="A26" s="218"/>
      <c r="B26" s="43"/>
      <c r="C26" s="43"/>
      <c r="D26" s="43"/>
    </row>
    <row r="27" spans="1:4">
      <c r="A27" s="218"/>
      <c r="B27" s="43"/>
      <c r="C27" s="43"/>
      <c r="D27" s="43"/>
    </row>
    <row r="28" spans="1:4">
      <c r="A28" s="218"/>
      <c r="B28" s="43"/>
      <c r="C28" s="43"/>
      <c r="D28" s="43"/>
    </row>
    <row r="29" spans="1:4">
      <c r="A29" s="218"/>
      <c r="B29" s="43"/>
      <c r="C29" s="43"/>
      <c r="D29" s="43"/>
    </row>
    <row r="30" spans="1:4">
      <c r="A30" s="218"/>
      <c r="B30" s="43"/>
      <c r="C30" s="43"/>
      <c r="D30" s="43"/>
    </row>
    <row r="31" spans="1:4">
      <c r="A31" s="218"/>
      <c r="B31" s="43"/>
      <c r="C31" s="43"/>
      <c r="D31" s="43"/>
    </row>
    <row r="32" spans="1:4">
      <c r="A32" s="218"/>
      <c r="B32" s="43"/>
      <c r="C32" s="43"/>
      <c r="D32" s="43"/>
    </row>
    <row r="33" spans="1:4">
      <c r="A33" s="218"/>
      <c r="B33" s="43"/>
      <c r="C33" s="43"/>
      <c r="D33" s="43"/>
    </row>
    <row r="34" spans="1:4">
      <c r="A34" s="218"/>
      <c r="B34" s="43"/>
      <c r="C34" s="43"/>
      <c r="D34" s="43"/>
    </row>
    <row r="35" spans="1:4">
      <c r="A35" s="218"/>
      <c r="B35" s="43"/>
      <c r="C35" s="43"/>
      <c r="D35" s="43"/>
    </row>
    <row r="36" spans="1:4">
      <c r="A36" s="218"/>
      <c r="B36" s="43"/>
      <c r="C36" s="43"/>
      <c r="D36" s="43"/>
    </row>
    <row r="37" spans="1:4">
      <c r="A37" s="218"/>
      <c r="B37" s="43"/>
      <c r="C37" s="43"/>
      <c r="D37" s="43"/>
    </row>
    <row r="38" spans="1:4">
      <c r="A38" s="218"/>
      <c r="B38" s="43"/>
      <c r="C38" s="43"/>
      <c r="D38" s="43"/>
    </row>
    <row r="39" spans="1:4">
      <c r="A39" s="218"/>
      <c r="B39" s="43"/>
      <c r="C39" s="43"/>
      <c r="D39" s="43"/>
    </row>
    <row r="40" spans="1:4">
      <c r="A40" s="218"/>
      <c r="B40" s="43"/>
      <c r="C40" s="43"/>
      <c r="D40" s="43"/>
    </row>
    <row r="41" spans="1:4">
      <c r="A41" s="218"/>
      <c r="B41" s="43"/>
      <c r="C41" s="43"/>
      <c r="D41" s="43"/>
    </row>
    <row r="42" spans="1:4">
      <c r="A42" s="218"/>
      <c r="B42" s="43"/>
      <c r="C42" s="43"/>
      <c r="D42" s="43"/>
    </row>
    <row r="43" spans="1:4">
      <c r="A43" s="218"/>
      <c r="B43" s="43"/>
      <c r="C43" s="43"/>
      <c r="D43" s="43"/>
    </row>
    <row r="44" spans="1:4">
      <c r="A44" s="218"/>
      <c r="B44" s="43"/>
      <c r="C44" s="43"/>
      <c r="D44" s="43"/>
    </row>
    <row r="45" spans="1:4">
      <c r="A45" s="218"/>
      <c r="B45" s="43"/>
      <c r="C45" s="43"/>
      <c r="D45" s="43"/>
    </row>
    <row r="46" spans="1:4">
      <c r="A46" s="218"/>
      <c r="B46" s="43"/>
      <c r="C46" s="43"/>
      <c r="D46" s="43"/>
    </row>
    <row r="47" spans="1:4">
      <c r="A47" s="218"/>
      <c r="B47" s="43"/>
      <c r="C47" s="43"/>
      <c r="D47" s="43"/>
    </row>
    <row r="48" spans="1:4">
      <c r="A48" s="218"/>
      <c r="B48" s="43"/>
      <c r="C48" s="43"/>
      <c r="D48" s="43"/>
    </row>
    <row r="49" spans="1:4">
      <c r="A49" s="218"/>
      <c r="B49" s="43"/>
      <c r="C49" s="43"/>
      <c r="D49" s="43"/>
    </row>
    <row r="50" spans="1:4">
      <c r="A50" s="218"/>
      <c r="B50" s="43"/>
      <c r="C50" s="43"/>
      <c r="D50" s="43"/>
    </row>
    <row r="51" spans="1:4">
      <c r="A51" s="218"/>
      <c r="B51" s="43"/>
      <c r="C51" s="43"/>
      <c r="D51" s="43"/>
    </row>
    <row r="52" spans="1:4">
      <c r="A52" s="218"/>
      <c r="B52" s="43"/>
      <c r="C52" s="43"/>
      <c r="D52" s="43"/>
    </row>
    <row r="53" spans="1:4">
      <c r="A53" s="218"/>
      <c r="B53" s="43"/>
      <c r="C53" s="43"/>
      <c r="D53" s="43"/>
    </row>
    <row r="54" spans="1:4">
      <c r="A54" s="218"/>
      <c r="B54" s="43"/>
      <c r="C54" s="43"/>
      <c r="D54" s="43"/>
    </row>
    <row r="55" spans="1:4">
      <c r="A55" s="218"/>
      <c r="B55" s="43"/>
      <c r="C55" s="43"/>
      <c r="D55" s="43"/>
    </row>
    <row r="56" spans="1:4">
      <c r="A56" s="218"/>
      <c r="B56" s="43"/>
      <c r="C56" s="43"/>
      <c r="D56" s="43"/>
    </row>
    <row r="57" spans="1:4">
      <c r="A57" s="218"/>
      <c r="B57" s="43"/>
      <c r="C57" s="43"/>
      <c r="D57" s="43"/>
    </row>
    <row r="58" spans="1:4">
      <c r="A58" s="218"/>
      <c r="B58" s="43"/>
      <c r="C58" s="43"/>
      <c r="D58" s="43"/>
    </row>
    <row r="59" spans="1:4">
      <c r="A59" s="218"/>
      <c r="B59" s="43"/>
      <c r="C59" s="43"/>
      <c r="D59" s="43"/>
    </row>
    <row r="60" spans="1:4">
      <c r="A60" s="218"/>
      <c r="B60" s="43"/>
      <c r="C60" s="43"/>
      <c r="D60" s="43"/>
    </row>
    <row r="61" spans="1:4">
      <c r="A61" s="218"/>
      <c r="B61" s="43"/>
      <c r="C61" s="43"/>
      <c r="D61" s="43"/>
    </row>
    <row r="62" spans="1:4">
      <c r="A62" s="218"/>
      <c r="B62" s="43"/>
      <c r="C62" s="43"/>
      <c r="D62" s="43"/>
    </row>
    <row r="63" spans="1:4">
      <c r="A63" s="218"/>
      <c r="B63" s="43"/>
      <c r="C63" s="43"/>
      <c r="D63" s="43"/>
    </row>
    <row r="64" spans="1:4">
      <c r="A64" s="218"/>
      <c r="B64" s="43"/>
      <c r="C64" s="43"/>
      <c r="D64" s="43"/>
    </row>
    <row r="65" spans="1:4">
      <c r="A65" s="218"/>
      <c r="B65" s="43"/>
      <c r="C65" s="43"/>
      <c r="D65" s="43"/>
    </row>
    <row r="66" spans="1:4">
      <c r="A66" s="218"/>
      <c r="B66" s="43"/>
      <c r="C66" s="43"/>
      <c r="D66" s="43"/>
    </row>
    <row r="67" spans="1:4">
      <c r="A67" s="218"/>
      <c r="B67" s="43"/>
      <c r="C67" s="43"/>
      <c r="D67" s="43"/>
    </row>
    <row r="68" spans="1:4">
      <c r="A68" s="218"/>
      <c r="B68" s="43"/>
      <c r="C68" s="43"/>
      <c r="D68" s="43"/>
    </row>
    <row r="69" spans="1:4">
      <c r="A69" s="218"/>
      <c r="B69" s="43"/>
      <c r="C69" s="43"/>
      <c r="D69" s="43"/>
    </row>
    <row r="70" spans="1:4">
      <c r="A70" s="218"/>
      <c r="B70" s="43"/>
      <c r="C70" s="43"/>
      <c r="D70" s="43"/>
    </row>
    <row r="71" spans="1:4">
      <c r="A71" s="218"/>
      <c r="B71" s="43"/>
      <c r="C71" s="43"/>
      <c r="D71" s="43"/>
    </row>
    <row r="72" spans="1:4">
      <c r="A72" s="218"/>
      <c r="B72" s="43"/>
      <c r="C72" s="43"/>
      <c r="D72" s="43"/>
    </row>
    <row r="73" spans="1:4">
      <c r="A73" s="218"/>
      <c r="B73" s="43"/>
      <c r="C73" s="43"/>
      <c r="D73" s="43"/>
    </row>
    <row r="74" spans="1:4">
      <c r="A74" s="218"/>
      <c r="B74" s="43"/>
      <c r="C74" s="43"/>
      <c r="D74" s="43"/>
    </row>
    <row r="75" spans="1:4">
      <c r="A75" s="218"/>
      <c r="B75" s="43"/>
      <c r="C75" s="43"/>
      <c r="D75" s="43"/>
    </row>
    <row r="76" spans="1:4">
      <c r="A76" s="218"/>
      <c r="B76" s="43"/>
      <c r="C76" s="43"/>
      <c r="D76" s="43"/>
    </row>
    <row r="77" spans="1:4">
      <c r="A77" s="218"/>
      <c r="B77" s="43"/>
      <c r="C77" s="43"/>
      <c r="D77" s="43"/>
    </row>
    <row r="78" spans="1:4">
      <c r="A78" s="218"/>
      <c r="B78" s="43"/>
      <c r="C78" s="43"/>
      <c r="D78" s="43"/>
    </row>
    <row r="79" spans="1:4">
      <c r="A79" s="218"/>
      <c r="B79" s="43"/>
      <c r="C79" s="43"/>
      <c r="D79" s="43"/>
    </row>
    <row r="80" spans="1:4">
      <c r="A80" s="218"/>
      <c r="B80" s="43"/>
      <c r="C80" s="43"/>
      <c r="D80" s="43"/>
    </row>
    <row r="81" spans="1:4">
      <c r="A81" s="218"/>
      <c r="B81" s="43"/>
      <c r="C81" s="43"/>
      <c r="D81" s="43"/>
    </row>
    <row r="82" spans="1:4">
      <c r="A82" s="218"/>
      <c r="B82" s="43"/>
      <c r="C82" s="43"/>
      <c r="D82" s="43"/>
    </row>
    <row r="83" spans="1:4">
      <c r="A83" s="218"/>
      <c r="B83" s="43"/>
      <c r="C83" s="43"/>
      <c r="D83" s="43"/>
    </row>
    <row r="84" spans="1:4">
      <c r="A84" s="218"/>
      <c r="B84" s="43"/>
      <c r="C84" s="43"/>
      <c r="D84" s="43"/>
    </row>
    <row r="85" spans="1:4">
      <c r="A85" s="218"/>
      <c r="B85" s="43"/>
      <c r="C85" s="43"/>
      <c r="D85" s="43"/>
    </row>
    <row r="86" spans="1:4">
      <c r="A86" s="218"/>
      <c r="B86" s="43"/>
      <c r="C86" s="43"/>
      <c r="D86" s="43"/>
    </row>
    <row r="87" spans="1:4">
      <c r="A87" s="218"/>
      <c r="B87" s="43"/>
      <c r="C87" s="43"/>
      <c r="D87" s="43"/>
    </row>
    <row r="88" spans="1:4">
      <c r="A88" s="218"/>
      <c r="B88" s="43"/>
      <c r="C88" s="43"/>
      <c r="D88" s="43"/>
    </row>
    <row r="89" spans="1:4">
      <c r="A89" s="218"/>
      <c r="B89" s="43"/>
      <c r="C89" s="43"/>
      <c r="D89" s="43"/>
    </row>
    <row r="90" spans="1:4">
      <c r="A90" s="218"/>
      <c r="B90" s="43"/>
      <c r="C90" s="43"/>
      <c r="D90" s="43"/>
    </row>
    <row r="91" spans="1:4">
      <c r="A91" s="218"/>
      <c r="B91" s="43"/>
      <c r="C91" s="43"/>
      <c r="D91" s="43"/>
    </row>
    <row r="92" spans="1:4">
      <c r="A92" s="218"/>
      <c r="B92" s="43"/>
      <c r="C92" s="43"/>
      <c r="D92" s="43"/>
    </row>
    <row r="93" spans="1:4">
      <c r="A93" s="218"/>
      <c r="B93" s="43"/>
      <c r="C93" s="43"/>
      <c r="D93" s="43"/>
    </row>
    <row r="94" spans="1:4">
      <c r="A94" s="218"/>
      <c r="B94" s="43"/>
      <c r="C94" s="43"/>
      <c r="D94" s="43"/>
    </row>
    <row r="95" spans="1:4">
      <c r="A95" s="218"/>
      <c r="B95" s="43"/>
      <c r="C95" s="43"/>
      <c r="D95" s="43"/>
    </row>
    <row r="96" spans="1:4">
      <c r="A96" s="218"/>
      <c r="B96" s="43"/>
      <c r="C96" s="43"/>
      <c r="D96" s="43"/>
    </row>
    <row r="97" spans="1:4">
      <c r="A97" s="218"/>
      <c r="B97" s="43"/>
      <c r="C97" s="43"/>
      <c r="D97" s="43"/>
    </row>
    <row r="98" spans="1:4">
      <c r="A98" s="218"/>
      <c r="B98" s="43"/>
      <c r="C98" s="43"/>
      <c r="D98" s="43"/>
    </row>
    <row r="99" spans="1:4">
      <c r="A99" s="218"/>
      <c r="B99" s="43"/>
      <c r="C99" s="43"/>
      <c r="D99" s="43"/>
    </row>
    <row r="100" spans="1:4">
      <c r="A100" s="218"/>
      <c r="B100" s="43"/>
      <c r="C100" s="43"/>
      <c r="D100" s="43"/>
    </row>
    <row r="101" spans="1:4">
      <c r="A101" s="218"/>
      <c r="B101" s="43"/>
      <c r="C101" s="43"/>
      <c r="D101" s="43"/>
    </row>
    <row r="102" spans="1:4">
      <c r="A102" s="218"/>
      <c r="B102" s="43"/>
      <c r="C102" s="43"/>
      <c r="D102" s="43"/>
    </row>
    <row r="103" spans="1:4">
      <c r="A103" s="218"/>
      <c r="B103" s="43"/>
      <c r="C103" s="43"/>
      <c r="D103" s="43"/>
    </row>
    <row r="104" spans="1:4">
      <c r="A104" s="218"/>
      <c r="B104" s="43"/>
      <c r="C104" s="43"/>
      <c r="D104" s="43"/>
    </row>
    <row r="105" spans="1:4">
      <c r="A105" s="218"/>
      <c r="B105" s="43"/>
      <c r="C105" s="43"/>
      <c r="D105" s="43"/>
    </row>
    <row r="106" spans="1:4">
      <c r="A106" s="218"/>
      <c r="B106" s="43"/>
      <c r="C106" s="43"/>
      <c r="D106" s="43"/>
    </row>
    <row r="107" spans="1:4">
      <c r="A107" s="218"/>
      <c r="B107" s="43"/>
      <c r="C107" s="43"/>
      <c r="D107" s="43"/>
    </row>
    <row r="108" spans="1:4">
      <c r="A108" s="218"/>
      <c r="B108" s="43"/>
      <c r="C108" s="43"/>
      <c r="D108" s="43"/>
    </row>
    <row r="109" spans="1:4">
      <c r="A109" s="218"/>
      <c r="B109" s="43"/>
      <c r="C109" s="43"/>
      <c r="D109" s="43"/>
    </row>
    <row r="110" spans="1:4">
      <c r="A110" s="218"/>
      <c r="B110" s="43"/>
      <c r="C110" s="43"/>
      <c r="D110" s="43"/>
    </row>
    <row r="111" spans="1:4">
      <c r="A111" s="218"/>
      <c r="B111" s="43"/>
      <c r="C111" s="43"/>
      <c r="D111" s="43"/>
    </row>
    <row r="112" spans="1:4">
      <c r="A112" s="218"/>
      <c r="B112" s="43"/>
      <c r="C112" s="43"/>
      <c r="D112" s="43"/>
    </row>
    <row r="113" spans="1:4">
      <c r="A113" s="218"/>
      <c r="B113" s="43"/>
      <c r="C113" s="43"/>
      <c r="D113" s="43"/>
    </row>
    <row r="114" spans="1:4">
      <c r="A114" s="218"/>
      <c r="B114" s="43"/>
      <c r="C114" s="43"/>
      <c r="D114" s="43"/>
    </row>
    <row r="115" spans="1:4">
      <c r="A115" s="218"/>
      <c r="B115" s="43"/>
      <c r="C115" s="43"/>
      <c r="D115" s="43"/>
    </row>
    <row r="116" spans="1:4">
      <c r="A116" s="218"/>
      <c r="B116" s="43"/>
      <c r="C116" s="43"/>
      <c r="D116" s="43"/>
    </row>
    <row r="117" spans="1:4">
      <c r="A117" s="218"/>
      <c r="B117" s="43"/>
      <c r="C117" s="43"/>
      <c r="D117" s="43"/>
    </row>
    <row r="118" spans="1:4">
      <c r="A118" s="218"/>
      <c r="B118" s="43"/>
      <c r="C118" s="43"/>
      <c r="D118" s="43"/>
    </row>
    <row r="119" spans="1:4">
      <c r="A119" s="218"/>
      <c r="B119" s="43"/>
      <c r="C119" s="43"/>
      <c r="D119" s="43"/>
    </row>
    <row r="120" spans="1:4">
      <c r="A120" s="218"/>
      <c r="B120" s="43"/>
      <c r="C120" s="43"/>
      <c r="D120" s="43"/>
    </row>
    <row r="121" spans="1:4">
      <c r="A121" s="218"/>
      <c r="B121" s="43"/>
      <c r="C121" s="43"/>
      <c r="D121" s="43"/>
    </row>
    <row r="122" spans="1:4">
      <c r="A122" s="218"/>
      <c r="B122" s="43"/>
      <c r="C122" s="43"/>
      <c r="D122" s="43"/>
    </row>
    <row r="123" spans="1:4">
      <c r="A123" s="218"/>
      <c r="B123" s="43"/>
      <c r="C123" s="43"/>
      <c r="D123" s="43"/>
    </row>
    <row r="124" spans="1:4">
      <c r="A124" s="218"/>
      <c r="B124" s="43"/>
      <c r="C124" s="43"/>
      <c r="D124" s="43"/>
    </row>
    <row r="125" spans="1:4">
      <c r="A125" s="218"/>
      <c r="B125" s="43"/>
      <c r="C125" s="43"/>
      <c r="D125" s="43"/>
    </row>
    <row r="126" spans="1:4">
      <c r="A126" s="218"/>
      <c r="B126" s="43"/>
      <c r="C126" s="43"/>
      <c r="D126" s="43"/>
    </row>
    <row r="127" spans="1:4">
      <c r="A127" s="218"/>
      <c r="B127" s="43"/>
      <c r="C127" s="43"/>
      <c r="D127" s="43"/>
    </row>
    <row r="128" spans="1:4">
      <c r="A128" s="218"/>
      <c r="B128" s="43"/>
      <c r="C128" s="43"/>
      <c r="D128" s="43"/>
    </row>
    <row r="129" spans="1:4">
      <c r="A129" s="218"/>
      <c r="B129" s="43"/>
      <c r="C129" s="43"/>
      <c r="D129" s="43"/>
    </row>
    <row r="130" spans="1:4">
      <c r="A130" s="218"/>
      <c r="B130" s="43"/>
      <c r="C130" s="43"/>
      <c r="D130" s="43"/>
    </row>
    <row r="131" spans="1:4">
      <c r="A131" s="218"/>
      <c r="B131" s="43"/>
      <c r="C131" s="43"/>
      <c r="D131" s="43"/>
    </row>
    <row r="132" spans="1:4">
      <c r="A132" s="218"/>
      <c r="B132" s="43"/>
      <c r="C132" s="43"/>
      <c r="D132" s="43"/>
    </row>
    <row r="133" spans="1:4">
      <c r="A133" s="218"/>
      <c r="B133" s="43"/>
      <c r="C133" s="43"/>
      <c r="D133" s="43"/>
    </row>
    <row r="134" spans="1:4">
      <c r="A134" s="218"/>
      <c r="B134" s="43"/>
      <c r="C134" s="43"/>
      <c r="D134" s="43"/>
    </row>
    <row r="135" spans="1:4">
      <c r="A135" s="218"/>
      <c r="B135" s="43"/>
      <c r="C135" s="43"/>
      <c r="D135" s="43"/>
    </row>
    <row r="136" spans="1:4">
      <c r="A136" s="218"/>
      <c r="B136" s="43"/>
      <c r="C136" s="43"/>
      <c r="D136" s="43"/>
    </row>
    <row r="137" spans="1:4">
      <c r="A137" s="218"/>
      <c r="B137" s="43"/>
      <c r="C137" s="43"/>
      <c r="D137" s="43"/>
    </row>
    <row r="138" spans="1:4">
      <c r="A138" s="218"/>
      <c r="B138" s="43"/>
      <c r="C138" s="43"/>
      <c r="D138" s="43"/>
    </row>
    <row r="139" spans="1:4">
      <c r="A139" s="218"/>
      <c r="B139" s="43"/>
      <c r="C139" s="43"/>
      <c r="D139" s="43"/>
    </row>
    <row r="140" spans="1:4">
      <c r="A140" s="218"/>
      <c r="B140" s="43"/>
      <c r="C140" s="43"/>
      <c r="D140" s="43"/>
    </row>
    <row r="141" spans="1:4">
      <c r="A141" s="218"/>
      <c r="B141" s="43"/>
      <c r="C141" s="43"/>
      <c r="D141" s="43"/>
    </row>
    <row r="142" spans="1:4">
      <c r="A142" s="218"/>
      <c r="B142" s="43"/>
      <c r="C142" s="43"/>
      <c r="D142" s="43"/>
    </row>
    <row r="143" spans="1:4">
      <c r="A143" s="218"/>
      <c r="B143" s="43"/>
      <c r="C143" s="43"/>
      <c r="D143" s="43"/>
    </row>
    <row r="144" spans="1:4">
      <c r="A144" s="218"/>
      <c r="B144" s="43"/>
      <c r="C144" s="43"/>
      <c r="D144" s="43"/>
    </row>
    <row r="145" spans="1:4">
      <c r="A145" s="218"/>
      <c r="B145" s="43"/>
      <c r="C145" s="43"/>
      <c r="D145" s="43"/>
    </row>
    <row r="146" spans="1:4">
      <c r="A146" s="218"/>
      <c r="B146" s="43"/>
      <c r="C146" s="43"/>
      <c r="D146" s="43"/>
    </row>
    <row r="147" spans="1:4">
      <c r="A147" s="218"/>
      <c r="B147" s="43"/>
      <c r="C147" s="43"/>
      <c r="D147" s="43"/>
    </row>
    <row r="148" spans="1:4">
      <c r="A148" s="218"/>
      <c r="B148" s="43"/>
      <c r="C148" s="43"/>
      <c r="D148" s="43"/>
    </row>
    <row r="149" spans="1:4">
      <c r="A149" s="218"/>
      <c r="B149" s="43"/>
      <c r="C149" s="43"/>
      <c r="D149" s="43"/>
    </row>
    <row r="150" spans="1:4">
      <c r="A150" s="218"/>
      <c r="B150" s="43"/>
      <c r="C150" s="43"/>
      <c r="D150" s="43"/>
    </row>
    <row r="151" spans="1:4">
      <c r="A151" s="218"/>
      <c r="B151" s="43"/>
      <c r="C151" s="43"/>
      <c r="D151" s="43"/>
    </row>
    <row r="152" spans="1:4">
      <c r="A152" s="218"/>
      <c r="B152" s="43"/>
      <c r="C152" s="43"/>
      <c r="D152" s="43"/>
    </row>
    <row r="153" spans="1:4">
      <c r="A153" s="218"/>
      <c r="B153" s="43"/>
      <c r="C153" s="43"/>
      <c r="D153" s="43"/>
    </row>
    <row r="154" spans="1:4">
      <c r="A154" s="218"/>
      <c r="B154" s="43"/>
      <c r="C154" s="43"/>
      <c r="D154" s="43"/>
    </row>
    <row r="155" spans="1:4">
      <c r="A155" s="218"/>
      <c r="B155" s="43"/>
      <c r="C155" s="43"/>
      <c r="D155" s="43"/>
    </row>
    <row r="156" spans="1:4">
      <c r="A156" s="218"/>
      <c r="B156" s="43"/>
      <c r="C156" s="43"/>
      <c r="D156" s="43"/>
    </row>
    <row r="157" spans="1:4">
      <c r="A157" s="218"/>
      <c r="B157" s="43"/>
      <c r="C157" s="43"/>
      <c r="D157" s="43"/>
    </row>
    <row r="158" spans="1:4">
      <c r="A158" s="218"/>
      <c r="B158" s="43"/>
      <c r="C158" s="43"/>
      <c r="D158" s="43"/>
    </row>
    <row r="159" spans="1:4">
      <c r="A159" s="218"/>
      <c r="B159" s="43"/>
      <c r="C159" s="43"/>
      <c r="D159" s="43"/>
    </row>
    <row r="160" spans="1:4">
      <c r="A160" s="218"/>
      <c r="B160" s="43"/>
      <c r="C160" s="43"/>
      <c r="D160" s="43"/>
    </row>
    <row r="161" spans="1:4">
      <c r="A161" s="218"/>
      <c r="B161" s="43"/>
      <c r="C161" s="43"/>
      <c r="D161" s="43"/>
    </row>
    <row r="162" spans="1:4">
      <c r="A162" s="218"/>
      <c r="B162" s="43"/>
      <c r="C162" s="43"/>
      <c r="D162" s="43"/>
    </row>
    <row r="163" spans="1:4">
      <c r="A163" s="218"/>
      <c r="B163" s="43"/>
      <c r="C163" s="43"/>
      <c r="D163" s="43"/>
    </row>
    <row r="164" spans="1:4">
      <c r="A164" s="218"/>
      <c r="B164" s="43"/>
      <c r="C164" s="43"/>
      <c r="D164" s="43"/>
    </row>
    <row r="165" spans="1:4">
      <c r="A165" s="218"/>
      <c r="B165" s="43"/>
      <c r="C165" s="43"/>
      <c r="D165" s="43"/>
    </row>
    <row r="166" spans="1:4">
      <c r="A166" s="218"/>
      <c r="B166" s="43"/>
      <c r="C166" s="43"/>
      <c r="D166" s="43"/>
    </row>
    <row r="167" spans="1:4">
      <c r="A167" s="218"/>
      <c r="B167" s="43"/>
      <c r="C167" s="43"/>
      <c r="D167" s="43"/>
    </row>
    <row r="168" spans="1:4">
      <c r="A168" s="218"/>
      <c r="B168" s="43"/>
      <c r="C168" s="43"/>
      <c r="D168" s="43"/>
    </row>
    <row r="169" spans="1:4">
      <c r="A169" s="218"/>
      <c r="B169" s="43"/>
      <c r="C169" s="43"/>
      <c r="D169" s="43"/>
    </row>
    <row r="170" spans="1:4">
      <c r="A170" s="218"/>
      <c r="B170" s="43"/>
      <c r="C170" s="43"/>
      <c r="D170" s="43"/>
    </row>
    <row r="171" spans="1:4">
      <c r="A171" s="218"/>
      <c r="B171" s="43"/>
      <c r="C171" s="43"/>
      <c r="D171" s="43"/>
    </row>
    <row r="172" spans="1:4">
      <c r="A172" s="218"/>
      <c r="B172" s="43"/>
      <c r="C172" s="43"/>
      <c r="D172" s="43"/>
    </row>
    <row r="173" spans="1:4">
      <c r="A173" s="218"/>
      <c r="B173" s="43"/>
      <c r="C173" s="43"/>
      <c r="D173" s="43"/>
    </row>
    <row r="174" spans="1:4">
      <c r="A174" s="218"/>
      <c r="B174" s="43"/>
      <c r="C174" s="43"/>
      <c r="D174" s="43"/>
    </row>
    <row r="175" spans="1:4">
      <c r="A175" s="218"/>
      <c r="B175" s="43"/>
      <c r="C175" s="43"/>
      <c r="D175" s="43"/>
    </row>
    <row r="176" spans="1:4">
      <c r="A176" s="218"/>
      <c r="B176" s="43"/>
      <c r="C176" s="43"/>
      <c r="D176" s="43"/>
    </row>
    <row r="177" spans="1:4">
      <c r="A177" s="218"/>
      <c r="B177" s="43"/>
      <c r="C177" s="43"/>
      <c r="D177" s="43"/>
    </row>
    <row r="178" spans="1:4">
      <c r="A178" s="218"/>
      <c r="B178" s="43"/>
      <c r="C178" s="43"/>
      <c r="D178" s="43"/>
    </row>
    <row r="179" spans="1:4">
      <c r="A179" s="218"/>
      <c r="B179" s="43"/>
      <c r="C179" s="43"/>
      <c r="D179" s="43"/>
    </row>
    <row r="180" spans="1:4">
      <c r="A180" s="218"/>
      <c r="B180" s="43"/>
      <c r="C180" s="43"/>
      <c r="D180" s="43"/>
    </row>
    <row r="181" spans="1:4">
      <c r="A181" s="218"/>
      <c r="B181" s="43"/>
      <c r="C181" s="43"/>
      <c r="D181" s="43"/>
    </row>
    <row r="182" spans="1:4">
      <c r="A182" s="218"/>
      <c r="B182" s="43"/>
      <c r="C182" s="43"/>
      <c r="D182" s="43"/>
    </row>
    <row r="183" spans="1:4">
      <c r="A183" s="218"/>
      <c r="B183" s="43"/>
      <c r="C183" s="43"/>
      <c r="D183" s="43"/>
    </row>
    <row r="184" spans="1:4">
      <c r="A184" s="218"/>
      <c r="B184" s="43"/>
      <c r="C184" s="43"/>
      <c r="D184" s="43"/>
    </row>
    <row r="185" spans="1:4">
      <c r="A185" s="218"/>
      <c r="B185" s="43"/>
      <c r="C185" s="43"/>
      <c r="D185" s="43"/>
    </row>
    <row r="186" spans="1:4">
      <c r="A186" s="218"/>
      <c r="B186" s="43"/>
      <c r="C186" s="43"/>
      <c r="D186" s="43"/>
    </row>
    <row r="187" spans="1:4">
      <c r="A187" s="218"/>
      <c r="B187" s="43"/>
      <c r="C187" s="43"/>
      <c r="D187" s="43"/>
    </row>
    <row r="188" spans="1:4">
      <c r="A188" s="218"/>
      <c r="B188" s="43"/>
      <c r="C188" s="43"/>
      <c r="D188" s="43"/>
    </row>
    <row r="189" spans="1:4">
      <c r="A189" s="218"/>
      <c r="B189" s="43"/>
      <c r="C189" s="43"/>
      <c r="D189" s="43"/>
    </row>
    <row r="190" spans="1:4">
      <c r="A190" s="218"/>
      <c r="B190" s="43"/>
      <c r="C190" s="43"/>
      <c r="D190" s="43"/>
    </row>
    <row r="191" spans="1:4">
      <c r="A191" s="218"/>
      <c r="B191" s="43"/>
      <c r="C191" s="43"/>
      <c r="D191" s="43"/>
    </row>
    <row r="192" spans="1:4">
      <c r="A192" s="218"/>
      <c r="B192" s="43"/>
      <c r="C192" s="43"/>
      <c r="D192" s="43"/>
    </row>
    <row r="193" spans="1:4">
      <c r="A193" s="218"/>
      <c r="B193" s="43"/>
      <c r="C193" s="43"/>
      <c r="D193" s="43"/>
    </row>
    <row r="194" spans="1:4">
      <c r="A194" s="218"/>
      <c r="B194" s="43"/>
      <c r="C194" s="43"/>
      <c r="D194" s="43"/>
    </row>
    <row r="195" spans="1:4">
      <c r="A195" s="218"/>
      <c r="B195" s="43"/>
      <c r="C195" s="43"/>
      <c r="D195" s="43"/>
    </row>
    <row r="196" spans="1:4">
      <c r="A196" s="218"/>
      <c r="B196" s="43"/>
      <c r="C196" s="43"/>
      <c r="D196" s="43"/>
    </row>
    <row r="197" spans="1:4">
      <c r="A197" s="218"/>
      <c r="B197" s="43"/>
      <c r="C197" s="43"/>
      <c r="D197" s="43"/>
    </row>
    <row r="198" spans="1:4">
      <c r="A198" s="218"/>
      <c r="B198" s="43"/>
      <c r="C198" s="43"/>
      <c r="D198" s="43"/>
    </row>
    <row r="199" spans="1:4">
      <c r="A199" s="218"/>
      <c r="B199" s="43"/>
      <c r="C199" s="43"/>
      <c r="D199" s="43"/>
    </row>
    <row r="200" spans="1:4">
      <c r="A200" s="218"/>
      <c r="B200" s="43"/>
      <c r="C200" s="43"/>
      <c r="D200" s="43"/>
    </row>
    <row r="201" spans="1:4">
      <c r="A201" s="218"/>
      <c r="B201" s="43"/>
      <c r="C201" s="43"/>
      <c r="D201" s="43"/>
    </row>
    <row r="202" spans="1:4">
      <c r="A202" s="218"/>
      <c r="B202" s="43"/>
      <c r="C202" s="43"/>
      <c r="D202" s="43"/>
    </row>
    <row r="203" spans="1:4">
      <c r="A203" s="218"/>
      <c r="B203" s="43"/>
      <c r="C203" s="43"/>
      <c r="D203" s="43"/>
    </row>
    <row r="204" spans="1:4">
      <c r="A204" s="218"/>
      <c r="B204" s="43"/>
      <c r="C204" s="43"/>
      <c r="D204" s="43"/>
    </row>
    <row r="205" spans="1:4">
      <c r="A205" s="218"/>
      <c r="B205" s="43"/>
      <c r="C205" s="43"/>
      <c r="D205" s="43"/>
    </row>
    <row r="206" spans="1:4">
      <c r="A206" s="218"/>
      <c r="B206" s="43"/>
      <c r="C206" s="43"/>
      <c r="D206" s="43"/>
    </row>
    <row r="207" spans="1:4">
      <c r="A207" s="218"/>
      <c r="B207" s="43"/>
      <c r="C207" s="43"/>
      <c r="D207" s="43"/>
    </row>
    <row r="208" spans="1:4">
      <c r="A208" s="218"/>
      <c r="B208" s="43"/>
      <c r="C208" s="43"/>
      <c r="D208" s="43"/>
    </row>
    <row r="209" spans="1:4">
      <c r="A209" s="218"/>
      <c r="B209" s="43"/>
      <c r="C209" s="43"/>
      <c r="D209" s="43"/>
    </row>
    <row r="210" spans="1:4">
      <c r="A210" s="218"/>
      <c r="B210" s="43"/>
      <c r="C210" s="43"/>
      <c r="D210" s="43"/>
    </row>
    <row r="211" spans="1:4">
      <c r="A211" s="218"/>
      <c r="B211" s="43"/>
      <c r="C211" s="43"/>
      <c r="D211" s="43"/>
    </row>
    <row r="212" spans="1:4">
      <c r="A212" s="218"/>
      <c r="B212" s="43"/>
      <c r="C212" s="43"/>
      <c r="D212" s="43"/>
    </row>
    <row r="213" spans="1:4">
      <c r="A213" s="218"/>
      <c r="B213" s="43"/>
      <c r="C213" s="43"/>
      <c r="D213" s="43"/>
    </row>
    <row r="214" spans="1:4">
      <c r="A214" s="218"/>
      <c r="B214" s="43"/>
      <c r="C214" s="43"/>
      <c r="D214" s="43"/>
    </row>
    <row r="215" spans="1:4">
      <c r="A215" s="218"/>
      <c r="B215" s="43"/>
      <c r="C215" s="43"/>
      <c r="D215" s="43"/>
    </row>
    <row r="216" spans="1:4">
      <c r="A216" s="218"/>
      <c r="B216" s="43"/>
      <c r="C216" s="43"/>
      <c r="D216" s="43"/>
    </row>
    <row r="217" spans="1:4">
      <c r="A217" s="218"/>
      <c r="B217" s="43"/>
      <c r="C217" s="43"/>
      <c r="D217" s="43"/>
    </row>
    <row r="218" spans="1:4">
      <c r="A218" s="218"/>
      <c r="B218" s="43"/>
      <c r="C218" s="43"/>
      <c r="D218" s="43"/>
    </row>
    <row r="219" spans="1:4">
      <c r="A219" s="218"/>
      <c r="B219" s="43"/>
      <c r="C219" s="43"/>
      <c r="D219" s="43"/>
    </row>
    <row r="220" spans="1:4">
      <c r="A220" s="218"/>
      <c r="B220" s="43"/>
      <c r="C220" s="43"/>
      <c r="D220" s="43"/>
    </row>
    <row r="221" spans="1:4">
      <c r="A221" s="218"/>
      <c r="B221" s="43"/>
      <c r="C221" s="43"/>
      <c r="D221" s="43"/>
    </row>
    <row r="222" spans="1:4">
      <c r="A222" s="218"/>
      <c r="B222" s="43"/>
      <c r="C222" s="43"/>
      <c r="D222" s="43"/>
    </row>
    <row r="223" spans="1:4">
      <c r="A223" s="218"/>
      <c r="B223" s="43"/>
      <c r="C223" s="43"/>
      <c r="D223" s="43"/>
    </row>
    <row r="224" spans="1:4">
      <c r="A224" s="218"/>
      <c r="B224" s="43"/>
      <c r="C224" s="43"/>
      <c r="D224" s="43"/>
    </row>
    <row r="225" spans="1:4">
      <c r="A225" s="218"/>
      <c r="B225" s="43"/>
      <c r="C225" s="43"/>
      <c r="D225" s="43"/>
    </row>
    <row r="226" spans="1:4">
      <c r="A226" s="218"/>
      <c r="B226" s="43"/>
      <c r="C226" s="43"/>
      <c r="D226" s="43"/>
    </row>
    <row r="227" spans="1:4">
      <c r="A227" s="218"/>
      <c r="B227" s="43"/>
      <c r="C227" s="43"/>
      <c r="D227" s="43"/>
    </row>
    <row r="228" spans="1:4">
      <c r="A228" s="218"/>
      <c r="B228" s="43"/>
      <c r="C228" s="43"/>
      <c r="D228" s="43"/>
    </row>
    <row r="229" spans="1:4">
      <c r="A229" s="218"/>
      <c r="B229" s="43"/>
      <c r="C229" s="43"/>
      <c r="D229" s="43"/>
    </row>
    <row r="230" spans="1:4">
      <c r="A230" s="218"/>
      <c r="B230" s="43"/>
      <c r="C230" s="43"/>
      <c r="D230" s="43"/>
    </row>
    <row r="231" spans="1:4">
      <c r="A231" s="218"/>
      <c r="B231" s="43"/>
      <c r="C231" s="43"/>
      <c r="D231" s="43"/>
    </row>
    <row r="232" spans="1:4">
      <c r="A232" s="218"/>
      <c r="B232" s="43"/>
      <c r="C232" s="43"/>
      <c r="D232" s="43"/>
    </row>
    <row r="233" spans="1:4">
      <c r="A233" s="218"/>
      <c r="B233" s="43"/>
      <c r="C233" s="43"/>
      <c r="D233" s="43"/>
    </row>
    <row r="234" spans="1:4">
      <c r="A234" s="218"/>
      <c r="B234" s="43"/>
      <c r="C234" s="43"/>
      <c r="D234" s="43"/>
    </row>
    <row r="235" spans="1:4">
      <c r="A235" s="218"/>
      <c r="B235" s="43"/>
      <c r="C235" s="43"/>
      <c r="D235" s="43"/>
    </row>
    <row r="236" spans="1:4">
      <c r="A236" s="218"/>
      <c r="B236" s="43"/>
      <c r="C236" s="43"/>
      <c r="D236" s="43"/>
    </row>
    <row r="237" spans="1:4">
      <c r="A237" s="218"/>
      <c r="B237" s="43"/>
      <c r="C237" s="43"/>
      <c r="D237" s="43"/>
    </row>
    <row r="238" spans="1:4">
      <c r="A238" s="218"/>
      <c r="B238" s="43"/>
      <c r="C238" s="43"/>
      <c r="D238" s="43"/>
    </row>
    <row r="239" spans="1:4">
      <c r="A239" s="218"/>
      <c r="B239" s="43"/>
      <c r="C239" s="43"/>
      <c r="D239" s="43"/>
    </row>
    <row r="240" spans="1:4">
      <c r="A240" s="218"/>
      <c r="B240" s="43"/>
      <c r="C240" s="43"/>
      <c r="D240" s="43"/>
    </row>
    <row r="241" spans="1:4">
      <c r="A241" s="218"/>
      <c r="B241" s="43"/>
      <c r="C241" s="43"/>
      <c r="D241" s="43"/>
    </row>
    <row r="242" spans="1:4">
      <c r="A242" s="218"/>
      <c r="B242" s="43"/>
      <c r="C242" s="43"/>
      <c r="D242" s="43"/>
    </row>
    <row r="243" spans="1:4">
      <c r="A243" s="218"/>
      <c r="B243" s="43"/>
      <c r="C243" s="43"/>
      <c r="D243" s="43"/>
    </row>
    <row r="244" spans="1:4">
      <c r="A244" s="218"/>
      <c r="B244" s="43"/>
      <c r="C244" s="43"/>
      <c r="D244" s="43"/>
    </row>
    <row r="245" spans="1:4">
      <c r="A245" s="218"/>
      <c r="B245" s="43"/>
      <c r="C245" s="43"/>
      <c r="D245" s="43"/>
    </row>
    <row r="246" spans="1:4">
      <c r="A246" s="218"/>
      <c r="B246" s="43"/>
      <c r="C246" s="43"/>
      <c r="D246" s="43"/>
    </row>
    <row r="247" spans="1:4">
      <c r="A247" s="218"/>
      <c r="B247" s="43"/>
      <c r="C247" s="43"/>
      <c r="D247" s="43"/>
    </row>
    <row r="248" spans="1:4">
      <c r="A248" s="218"/>
      <c r="B248" s="43"/>
      <c r="C248" s="43"/>
      <c r="D248" s="43"/>
    </row>
    <row r="249" spans="1:4">
      <c r="A249" s="218"/>
      <c r="B249" s="43"/>
      <c r="C249" s="43"/>
      <c r="D249" s="43"/>
    </row>
    <row r="250" spans="1:4">
      <c r="A250" s="218"/>
      <c r="B250" s="43"/>
      <c r="C250" s="43"/>
      <c r="D250" s="43"/>
    </row>
    <row r="251" spans="1:4">
      <c r="A251" s="218"/>
      <c r="B251" s="43"/>
      <c r="C251" s="43"/>
      <c r="D251" s="43"/>
    </row>
    <row r="252" spans="1:4">
      <c r="A252" s="218"/>
      <c r="B252" s="43"/>
      <c r="C252" s="43"/>
      <c r="D252" s="43"/>
    </row>
    <row r="253" spans="1:4">
      <c r="A253" s="218"/>
      <c r="B253" s="43"/>
      <c r="C253" s="43"/>
      <c r="D253" s="43"/>
    </row>
    <row r="254" spans="1:4">
      <c r="A254" s="218"/>
      <c r="B254" s="43"/>
      <c r="C254" s="43"/>
      <c r="D254" s="43"/>
    </row>
  </sheetData>
  <mergeCells count="1">
    <mergeCell ref="A1:D1"/>
  </mergeCells>
  <printOptions horizontalCentered="1"/>
  <pageMargins left="0.75" right="0.75" top="0.79" bottom="0.59" header="0.51" footer="0.51"/>
  <pageSetup paperSize="9" orientation="portrait"/>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I249"/>
  <sheetViews>
    <sheetView workbookViewId="0">
      <selection activeCell="G20" sqref="G20"/>
    </sheetView>
  </sheetViews>
  <sheetFormatPr defaultColWidth="9" defaultRowHeight="14.25"/>
  <cols>
    <col min="1" max="1" width="30.125" style="491" customWidth="1"/>
    <col min="2" max="2" width="12" style="491" customWidth="1"/>
    <col min="3" max="3" width="10.625" style="491" customWidth="1"/>
    <col min="4" max="4" width="12.125" style="503" customWidth="1"/>
    <col min="5" max="5" width="10.625" style="491" customWidth="1"/>
    <col min="6" max="6" width="9" style="491"/>
    <col min="7" max="7" width="10.5" style="491" customWidth="1"/>
    <col min="8" max="8" width="9.75" style="491" customWidth="1"/>
    <col min="9" max="9" width="11.75" style="491" customWidth="1"/>
    <col min="10" max="16384" width="9" style="491"/>
  </cols>
  <sheetData>
    <row r="1" s="43" customFormat="1" ht="28.5" customHeight="1" spans="1:9">
      <c r="A1" s="438" t="s">
        <v>145</v>
      </c>
      <c r="B1" s="438"/>
      <c r="C1" s="438"/>
      <c r="D1" s="438"/>
      <c r="E1" s="438"/>
    </row>
    <row r="2" s="43" customFormat="1" ht="19" customHeight="1" spans="1:9">
      <c r="A2" s="537"/>
      <c r="B2" s="537"/>
      <c r="C2" s="537"/>
      <c r="D2" s="538" t="s">
        <v>52</v>
      </c>
      <c r="E2" s="539"/>
    </row>
    <row r="3" s="43" customFormat="1" ht="24" customHeight="1" spans="1:9">
      <c r="A3" s="540" t="s">
        <v>53</v>
      </c>
      <c r="B3" s="545" t="s">
        <v>93</v>
      </c>
      <c r="C3" s="546" t="s">
        <v>94</v>
      </c>
      <c r="D3" s="547" t="s">
        <v>54</v>
      </c>
      <c r="E3" s="546" t="s">
        <v>94</v>
      </c>
      <c r="G3" s="449"/>
      <c r="I3" s="449"/>
    </row>
    <row r="4" s="43" customFormat="1" ht="23.1" customHeight="1" spans="1:9">
      <c r="A4" s="541" t="s">
        <v>146</v>
      </c>
      <c r="B4" s="548">
        <v>243.1715</v>
      </c>
      <c r="C4" s="549">
        <v>5.1</v>
      </c>
      <c r="D4" s="550">
        <v>2282.3739</v>
      </c>
      <c r="E4" s="551">
        <v>-0.1</v>
      </c>
      <c r="G4" s="449"/>
      <c r="I4" s="449"/>
    </row>
    <row r="5" s="43" customFormat="1" ht="23.1" customHeight="1" spans="1:9">
      <c r="A5" s="508" t="s">
        <v>147</v>
      </c>
      <c r="B5" s="415">
        <v>0</v>
      </c>
      <c r="C5" s="511">
        <v>0</v>
      </c>
      <c r="D5" s="426">
        <v>0.1853</v>
      </c>
      <c r="E5" s="513">
        <v>-79.4</v>
      </c>
      <c r="G5" s="449"/>
      <c r="I5" s="449"/>
    </row>
    <row r="6" s="43" customFormat="1" ht="23.1" customHeight="1" spans="1:9">
      <c r="A6" s="508" t="s">
        <v>148</v>
      </c>
      <c r="B6" s="415">
        <v>0.5211</v>
      </c>
      <c r="C6" s="511">
        <v>41.5</v>
      </c>
      <c r="D6" s="426">
        <v>3.864</v>
      </c>
      <c r="E6" s="513">
        <v>73.9</v>
      </c>
      <c r="G6" s="449"/>
      <c r="I6" s="449"/>
    </row>
    <row r="7" s="43" customFormat="1" ht="23.1" customHeight="1" spans="1:9">
      <c r="A7" s="508" t="s">
        <v>149</v>
      </c>
      <c r="B7" s="415">
        <v>0.98</v>
      </c>
      <c r="C7" s="511">
        <v>12</v>
      </c>
      <c r="D7" s="426">
        <v>9.0002</v>
      </c>
      <c r="E7" s="513">
        <v>20</v>
      </c>
      <c r="G7" s="449"/>
      <c r="I7" s="449"/>
    </row>
    <row r="8" s="43" customFormat="1" ht="23.1" customHeight="1" spans="1:9">
      <c r="A8" s="508" t="s">
        <v>150</v>
      </c>
      <c r="B8" s="415">
        <v>1.2193</v>
      </c>
      <c r="C8" s="511">
        <v>-25.5</v>
      </c>
      <c r="D8" s="426">
        <v>6.1932</v>
      </c>
      <c r="E8" s="513">
        <v>0.6</v>
      </c>
      <c r="G8" s="449"/>
      <c r="I8" s="449"/>
    </row>
    <row r="9" s="43" customFormat="1" ht="23.1" customHeight="1" spans="1:9">
      <c r="A9" s="508" t="s">
        <v>151</v>
      </c>
      <c r="B9" s="415">
        <v>0</v>
      </c>
      <c r="C9" s="511">
        <v>0</v>
      </c>
      <c r="D9" s="426">
        <v>0</v>
      </c>
      <c r="E9" s="513">
        <v>0</v>
      </c>
      <c r="G9" s="449"/>
      <c r="I9" s="449"/>
    </row>
    <row r="10" s="43" customFormat="1" ht="23.1" customHeight="1" spans="1:9">
      <c r="A10" s="508" t="s">
        <v>152</v>
      </c>
      <c r="B10" s="415">
        <v>37.187</v>
      </c>
      <c r="C10" s="511">
        <v>-11.7</v>
      </c>
      <c r="D10" s="426">
        <v>362.3241</v>
      </c>
      <c r="E10" s="513">
        <v>-4.2</v>
      </c>
      <c r="G10" s="449"/>
      <c r="I10" s="449"/>
    </row>
    <row r="11" s="43" customFormat="1" ht="23.1" customHeight="1" spans="1:9">
      <c r="A11" s="508" t="s">
        <v>153</v>
      </c>
      <c r="B11" s="415">
        <v>6.1309</v>
      </c>
      <c r="C11" s="511">
        <v>-25.8</v>
      </c>
      <c r="D11" s="426">
        <v>76.7011</v>
      </c>
      <c r="E11" s="513">
        <v>-5.3</v>
      </c>
      <c r="G11" s="449"/>
      <c r="I11" s="449"/>
    </row>
    <row r="12" s="43" customFormat="1" ht="23.1" customHeight="1" spans="1:9">
      <c r="A12" s="508" t="s">
        <v>154</v>
      </c>
      <c r="B12" s="415">
        <v>8.1523</v>
      </c>
      <c r="C12" s="511">
        <v>10.3</v>
      </c>
      <c r="D12" s="426">
        <v>45.6154</v>
      </c>
      <c r="E12" s="513">
        <v>-6.1</v>
      </c>
      <c r="G12" s="449"/>
      <c r="I12" s="449"/>
    </row>
    <row r="13" s="43" customFormat="1" ht="23.1" customHeight="1" spans="1:9">
      <c r="A13" s="514" t="s">
        <v>155</v>
      </c>
      <c r="B13" s="415">
        <v>10.3425</v>
      </c>
      <c r="C13" s="524">
        <v>-12</v>
      </c>
      <c r="D13" s="426">
        <v>91.7425</v>
      </c>
      <c r="E13" s="513">
        <v>-9.6</v>
      </c>
      <c r="G13" s="449"/>
      <c r="I13" s="449"/>
    </row>
    <row r="14" s="43" customFormat="1" ht="23.1" customHeight="1" spans="1:9">
      <c r="A14" s="514" t="s">
        <v>156</v>
      </c>
      <c r="B14" s="415">
        <v>1.2867</v>
      </c>
      <c r="C14" s="524">
        <v>-13.9</v>
      </c>
      <c r="D14" s="426">
        <v>18.5778</v>
      </c>
      <c r="E14" s="513">
        <v>-9.1</v>
      </c>
      <c r="G14" s="449"/>
      <c r="I14" s="449"/>
    </row>
    <row r="15" s="43" customFormat="1" ht="23.1" customHeight="1" spans="1:9">
      <c r="A15" s="508" t="s">
        <v>157</v>
      </c>
      <c r="B15" s="415">
        <v>2.5968</v>
      </c>
      <c r="C15" s="511">
        <v>-26</v>
      </c>
      <c r="D15" s="426">
        <v>22.1981</v>
      </c>
      <c r="E15" s="513">
        <v>-13.8</v>
      </c>
      <c r="G15" s="449"/>
      <c r="I15" s="449"/>
    </row>
    <row r="16" s="43" customFormat="1" ht="23.1" customHeight="1" spans="1:9">
      <c r="A16" s="508" t="s">
        <v>158</v>
      </c>
      <c r="B16" s="415">
        <v>1.183</v>
      </c>
      <c r="C16" s="511">
        <v>-21.9</v>
      </c>
      <c r="D16" s="426">
        <v>22.8837</v>
      </c>
      <c r="E16" s="513">
        <v>10.1</v>
      </c>
      <c r="F16" s="552"/>
      <c r="G16" s="553"/>
      <c r="I16" s="449"/>
    </row>
    <row r="17" s="43" customFormat="1" ht="23.1" customHeight="1" spans="1:9">
      <c r="A17" s="508" t="s">
        <v>159</v>
      </c>
      <c r="B17" s="415">
        <v>1.1693</v>
      </c>
      <c r="C17" s="511">
        <v>-24.8</v>
      </c>
      <c r="D17" s="426">
        <v>9.9283</v>
      </c>
      <c r="E17" s="513">
        <v>-0.1</v>
      </c>
      <c r="F17" s="552"/>
      <c r="G17" s="449"/>
      <c r="I17" s="449"/>
    </row>
    <row r="18" s="43" customFormat="1" ht="23.1" customHeight="1" spans="1:9">
      <c r="A18" s="508" t="s">
        <v>160</v>
      </c>
      <c r="B18" s="415">
        <v>0.5097</v>
      </c>
      <c r="C18" s="511">
        <v>65</v>
      </c>
      <c r="D18" s="426">
        <v>4.9281</v>
      </c>
      <c r="E18" s="513">
        <v>28</v>
      </c>
      <c r="F18" s="552"/>
      <c r="G18" s="449"/>
      <c r="I18" s="449"/>
    </row>
    <row r="19" s="43" customFormat="1" ht="23.1" customHeight="1" spans="1:9">
      <c r="A19" s="508" t="s">
        <v>161</v>
      </c>
      <c r="B19" s="415">
        <v>12.6103</v>
      </c>
      <c r="C19" s="511">
        <v>2</v>
      </c>
      <c r="D19" s="426">
        <v>63.5198</v>
      </c>
      <c r="E19" s="513">
        <v>10.1</v>
      </c>
      <c r="G19" s="449"/>
      <c r="I19" s="449"/>
    </row>
    <row r="20" s="43" customFormat="1" ht="23.1" customHeight="1" spans="1:9">
      <c r="A20" s="508" t="s">
        <v>162</v>
      </c>
      <c r="B20" s="415">
        <v>2.9378</v>
      </c>
      <c r="C20" s="511">
        <v>5.6</v>
      </c>
      <c r="D20" s="426">
        <v>33.5379</v>
      </c>
      <c r="E20" s="513">
        <v>0.2</v>
      </c>
      <c r="G20" s="449"/>
      <c r="I20" s="449"/>
    </row>
    <row r="21" s="43" customFormat="1" ht="23.1" customHeight="1" spans="1:9">
      <c r="A21" s="508" t="s">
        <v>163</v>
      </c>
      <c r="B21" s="415">
        <v>2.8208</v>
      </c>
      <c r="C21" s="511">
        <v>19.3</v>
      </c>
      <c r="D21" s="426">
        <v>37.9486</v>
      </c>
      <c r="E21" s="513">
        <v>-3.1</v>
      </c>
      <c r="G21" s="449"/>
      <c r="I21" s="449"/>
    </row>
    <row r="22" s="43" customFormat="1" ht="23.1" customHeight="1" spans="1:9">
      <c r="A22" s="508" t="s">
        <v>164</v>
      </c>
      <c r="B22" s="415">
        <v>22.1023</v>
      </c>
      <c r="C22" s="511">
        <v>28</v>
      </c>
      <c r="D22" s="426">
        <v>198.792</v>
      </c>
      <c r="E22" s="513">
        <v>13.9</v>
      </c>
      <c r="G22" s="449"/>
      <c r="I22" s="449"/>
    </row>
    <row r="23" s="43" customFormat="1" ht="23.1" customHeight="1" spans="1:9">
      <c r="A23" s="518" t="s">
        <v>165</v>
      </c>
      <c r="B23" s="554">
        <v>1.1142</v>
      </c>
      <c r="C23" s="555">
        <v>-19.4</v>
      </c>
      <c r="D23" s="432">
        <v>11.9153</v>
      </c>
      <c r="E23" s="556">
        <v>-15.8</v>
      </c>
      <c r="G23" s="449"/>
      <c r="I23" s="449"/>
    </row>
    <row r="24" s="43" customFormat="1" spans="1:9">
      <c r="A24"/>
      <c r="B24"/>
      <c r="C24"/>
      <c r="D24"/>
      <c r="E24"/>
    </row>
    <row r="25" s="43" customFormat="1"/>
    <row r="26" s="43" customFormat="1"/>
    <row r="27" s="43" customFormat="1"/>
    <row r="28" s="43" customFormat="1"/>
    <row r="29" s="43" customFormat="1"/>
    <row r="30" s="43" customFormat="1"/>
    <row r="31" s="43" customFormat="1"/>
    <row r="32" s="43" customFormat="1"/>
    <row r="33" s="43" customFormat="1"/>
    <row r="34" s="43" customFormat="1"/>
    <row r="35" s="43" customFormat="1"/>
    <row r="36" s="43" customFormat="1"/>
    <row r="37" s="43" customFormat="1"/>
    <row r="38" s="43" customFormat="1"/>
    <row r="39" s="43" customFormat="1"/>
    <row r="40" s="43" customFormat="1"/>
    <row r="41" s="43" customFormat="1"/>
    <row r="42" s="43" customFormat="1"/>
    <row r="43" s="43" customFormat="1"/>
    <row r="44" s="43" customFormat="1"/>
    <row r="45" s="43" customFormat="1"/>
    <row r="46" s="43" customFormat="1"/>
    <row r="47" s="43" customFormat="1"/>
    <row r="48" s="43" customFormat="1"/>
    <row r="49" s="43" customFormat="1"/>
    <row r="50" s="43" customFormat="1"/>
    <row r="51" s="43" customFormat="1"/>
    <row r="52" s="43" customFormat="1"/>
    <row r="53" s="43" customFormat="1"/>
    <row r="54" s="43" customFormat="1"/>
    <row r="55" s="43" customFormat="1"/>
    <row r="56" s="43" customFormat="1"/>
    <row r="57" s="43" customFormat="1"/>
    <row r="58" s="43" customFormat="1"/>
    <row r="59" s="43" customFormat="1"/>
    <row r="60" s="43" customFormat="1"/>
    <row r="61" s="43" customFormat="1"/>
    <row r="62" s="43" customFormat="1"/>
    <row r="63" s="43" customFormat="1"/>
    <row r="64" s="43" customFormat="1"/>
    <row r="65" s="43" customFormat="1"/>
    <row r="66" s="43" customFormat="1"/>
    <row r="67" s="43" customFormat="1"/>
    <row r="68" s="43" customFormat="1"/>
    <row r="69" s="43" customFormat="1"/>
    <row r="70" s="43" customFormat="1"/>
    <row r="71" s="43" customFormat="1"/>
    <row r="72" s="43" customFormat="1"/>
    <row r="73" s="43" customFormat="1"/>
    <row r="74" s="43" customFormat="1"/>
    <row r="75" s="43" customFormat="1"/>
    <row r="76" s="43" customFormat="1"/>
    <row r="77" s="43" customFormat="1"/>
    <row r="78" s="43" customFormat="1"/>
    <row r="79" s="43" customFormat="1"/>
    <row r="80" s="43" customFormat="1"/>
    <row r="81" s="43" customFormat="1"/>
    <row r="82" s="43" customFormat="1"/>
    <row r="83" s="43" customFormat="1"/>
    <row r="84" s="43" customFormat="1"/>
    <row r="85" s="43" customFormat="1"/>
    <row r="86" s="43" customFormat="1"/>
    <row r="87" s="43" customFormat="1"/>
    <row r="88" s="43" customFormat="1"/>
    <row r="89" s="43" customFormat="1"/>
    <row r="90" s="43" customFormat="1"/>
    <row r="91" s="43" customFormat="1"/>
    <row r="92" s="43" customFormat="1"/>
    <row r="93" s="43" customFormat="1"/>
    <row r="94" s="43" customFormat="1"/>
    <row r="95" s="43" customFormat="1"/>
    <row r="96" s="43" customFormat="1"/>
    <row r="97" s="43" customFormat="1"/>
    <row r="98" s="43" customFormat="1"/>
    <row r="99" s="43" customFormat="1"/>
    <row r="100" s="43" customFormat="1"/>
    <row r="101" s="43" customFormat="1"/>
    <row r="102" s="43" customFormat="1"/>
    <row r="103" s="43" customFormat="1"/>
    <row r="104" s="43" customFormat="1"/>
    <row r="105" s="43" customFormat="1"/>
    <row r="106" s="43" customFormat="1"/>
    <row r="107" s="43" customFormat="1"/>
    <row r="108" s="43" customFormat="1"/>
    <row r="109" s="43" customFormat="1"/>
    <row r="110" s="43" customFormat="1"/>
    <row r="111" s="43" customFormat="1"/>
    <row r="112" s="43" customFormat="1"/>
    <row r="113" s="43" customFormat="1"/>
    <row r="114" s="43" customFormat="1"/>
    <row r="115" s="43" customFormat="1"/>
    <row r="116" s="43" customFormat="1"/>
    <row r="117" s="43" customFormat="1"/>
    <row r="118" s="43" customFormat="1"/>
    <row r="119" s="43" customFormat="1"/>
    <row r="120" s="43" customFormat="1"/>
    <row r="121" s="43" customFormat="1"/>
    <row r="122" s="43" customFormat="1"/>
    <row r="123" s="43" customFormat="1"/>
    <row r="124" s="43" customFormat="1"/>
    <row r="125" s="43" customFormat="1"/>
    <row r="126" s="43" customFormat="1"/>
    <row r="127" s="43" customFormat="1"/>
    <row r="128" s="43" customFormat="1"/>
    <row r="129" s="43" customFormat="1"/>
    <row r="130" s="43" customFormat="1"/>
    <row r="131" s="43" customFormat="1"/>
    <row r="132" s="43" customFormat="1"/>
    <row r="133" s="43" customFormat="1"/>
    <row r="134" s="43" customFormat="1"/>
    <row r="135" s="43" customFormat="1"/>
    <row r="136" s="43" customFormat="1"/>
    <row r="137" s="43" customFormat="1"/>
    <row r="138" s="43" customFormat="1"/>
    <row r="139" s="43" customFormat="1"/>
    <row r="140" s="43" customFormat="1"/>
    <row r="141" s="43" customFormat="1"/>
    <row r="142" s="43" customFormat="1"/>
    <row r="143" s="43" customFormat="1"/>
    <row r="144" s="43" customFormat="1"/>
    <row r="145" s="43" customFormat="1"/>
    <row r="146" s="43" customFormat="1"/>
    <row r="147" s="43" customFormat="1"/>
    <row r="148" s="43" customFormat="1"/>
    <row r="149" s="43" customFormat="1"/>
    <row r="150" s="43" customFormat="1"/>
    <row r="151" s="43" customFormat="1"/>
    <row r="152" s="43" customFormat="1"/>
    <row r="153" s="43" customFormat="1"/>
    <row r="154" s="43" customFormat="1"/>
    <row r="155" s="43" customFormat="1"/>
    <row r="156" s="43" customFormat="1"/>
    <row r="157" s="43" customFormat="1"/>
    <row r="158" s="43" customFormat="1"/>
    <row r="159" s="43" customFormat="1"/>
    <row r="160" s="43" customFormat="1"/>
    <row r="161" s="43" customFormat="1"/>
    <row r="162" s="43" customFormat="1"/>
    <row r="163" s="43" customFormat="1"/>
    <row r="164" s="43" customFormat="1"/>
    <row r="165" s="43" customFormat="1"/>
    <row r="166" s="43" customFormat="1"/>
    <row r="167" s="43" customFormat="1"/>
    <row r="168" s="43" customFormat="1"/>
    <row r="169" s="43" customFormat="1"/>
    <row r="170" s="43" customFormat="1"/>
    <row r="171" s="43" customFormat="1"/>
    <row r="172" s="43" customFormat="1"/>
    <row r="173" s="43" customFormat="1"/>
    <row r="174" s="43" customFormat="1"/>
    <row r="175" s="43" customFormat="1"/>
    <row r="176" s="43" customFormat="1"/>
    <row r="177" s="43" customFormat="1"/>
    <row r="178" s="43" customFormat="1"/>
    <row r="179" s="43" customFormat="1"/>
    <row r="180" s="43" customFormat="1"/>
    <row r="181" s="43" customFormat="1"/>
    <row r="182" s="43" customFormat="1"/>
    <row r="183" s="43" customFormat="1"/>
    <row r="184" s="43" customFormat="1"/>
    <row r="185" s="43" customFormat="1"/>
    <row r="186" s="43" customFormat="1"/>
    <row r="187" s="43" customFormat="1"/>
    <row r="188" s="43" customFormat="1"/>
    <row r="189" s="43" customFormat="1"/>
    <row r="190" s="43" customFormat="1"/>
    <row r="191" s="43" customFormat="1"/>
    <row r="192" s="43" customFormat="1"/>
    <row r="193" s="43" customFormat="1"/>
    <row r="194" s="43" customFormat="1"/>
    <row r="195" s="43" customFormat="1"/>
    <row r="196" s="43" customFormat="1"/>
    <row r="197" s="43" customFormat="1"/>
    <row r="198" s="43" customFormat="1"/>
    <row r="199" s="43" customFormat="1"/>
    <row r="200" s="43" customFormat="1"/>
    <row r="201" s="43" customFormat="1"/>
    <row r="202" s="43" customFormat="1"/>
    <row r="203" s="43" customFormat="1"/>
    <row r="204" s="43" customFormat="1"/>
    <row r="205" s="43" customFormat="1"/>
    <row r="206" s="43" customFormat="1"/>
    <row r="207" s="43" customFormat="1"/>
    <row r="208" s="43" customFormat="1"/>
    <row r="209" s="43" customFormat="1"/>
    <row r="210" s="43" customFormat="1"/>
    <row r="211" s="43" customFormat="1"/>
    <row r="212" s="43" customFormat="1"/>
    <row r="213" s="43" customFormat="1"/>
    <row r="214" s="43" customFormat="1"/>
    <row r="215" s="43" customFormat="1"/>
    <row r="216" s="43" customFormat="1"/>
    <row r="217" s="43" customFormat="1"/>
    <row r="218" s="43" customFormat="1"/>
    <row r="219" s="43" customFormat="1"/>
    <row r="220" s="43" customFormat="1"/>
    <row r="221" s="43" customFormat="1"/>
    <row r="222" s="43" customFormat="1"/>
    <row r="223" s="43" customFormat="1"/>
    <row r="224" s="43" customFormat="1"/>
    <row r="225" s="43" customFormat="1"/>
    <row r="226" s="43" customFormat="1"/>
    <row r="227" s="43" customFormat="1"/>
    <row r="228" s="43" customFormat="1"/>
    <row r="229" s="43" customFormat="1"/>
    <row r="230" s="43" customFormat="1"/>
    <row r="231" s="43" customFormat="1"/>
    <row r="232" s="43" customFormat="1"/>
    <row r="233" s="43" customFormat="1"/>
    <row r="234" s="43" customFormat="1"/>
    <row r="235" s="43" customFormat="1"/>
    <row r="236" s="43" customFormat="1"/>
    <row r="237" s="43" customFormat="1"/>
    <row r="238" s="43" customFormat="1"/>
    <row r="239" s="43" customFormat="1"/>
    <row r="240" s="43" customFormat="1"/>
    <row r="241" s="43" customFormat="1"/>
    <row r="242" s="43" customFormat="1"/>
    <row r="243" s="43" customFormat="1"/>
    <row r="244" s="43" customFormat="1"/>
    <row r="245" s="43" customFormat="1"/>
    <row r="246" s="43" customFormat="1"/>
    <row r="247" s="43" customFormat="1"/>
    <row r="248" s="43" customFormat="1"/>
    <row r="249" s="43" customFormat="1"/>
  </sheetData>
  <mergeCells count="2">
    <mergeCell ref="A1:E1"/>
    <mergeCell ref="D2:E2"/>
  </mergeCells>
  <pageMargins left="0.75" right="0.75" top="1" bottom="1" header="0.5" footer="0.5"/>
  <pageSetup paperSize="9" orientation="portrait"/>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I25"/>
  <sheetViews>
    <sheetView workbookViewId="0">
      <selection activeCell="H13" sqref="H13"/>
    </sheetView>
  </sheetViews>
  <sheetFormatPr defaultColWidth="9" defaultRowHeight="14.25"/>
  <cols>
    <col min="1" max="1" width="32.375" style="491" customWidth="1"/>
    <col min="2" max="2" width="12" style="491" customWidth="1"/>
    <col min="3" max="3" width="10.625" style="491" customWidth="1"/>
    <col min="4" max="4" width="12.125" style="503" customWidth="1"/>
    <col min="5" max="5" width="10.625" style="491" customWidth="1"/>
    <col min="6" max="6" width="9" style="491"/>
    <col min="7" max="7" width="10.5" style="491" customWidth="1"/>
    <col min="8" max="8" width="9.75" style="491" customWidth="1"/>
    <col min="9" max="9" width="11.75" style="491" customWidth="1"/>
    <col min="10" max="16384" width="9" style="491"/>
  </cols>
  <sheetData>
    <row r="1" ht="28.5" customHeight="1" spans="1:9">
      <c r="A1" s="438" t="s">
        <v>166</v>
      </c>
      <c r="B1" s="438"/>
      <c r="C1" s="438"/>
      <c r="D1" s="438"/>
      <c r="E1" s="438"/>
    </row>
    <row r="2" ht="19.5" customHeight="1" spans="1:9">
      <c r="A2" s="537"/>
      <c r="B2" s="537"/>
      <c r="C2" s="537"/>
      <c r="D2" s="538" t="s">
        <v>52</v>
      </c>
      <c r="E2" s="539"/>
    </row>
    <row r="3" ht="23.1" customHeight="1" spans="1:9">
      <c r="A3" s="540" t="s">
        <v>53</v>
      </c>
      <c r="B3" s="505" t="s">
        <v>93</v>
      </c>
      <c r="C3" s="506" t="s">
        <v>94</v>
      </c>
      <c r="D3" s="376" t="s">
        <v>54</v>
      </c>
      <c r="E3" s="506" t="s">
        <v>94</v>
      </c>
      <c r="G3" s="507"/>
      <c r="I3" s="507"/>
    </row>
    <row r="4" ht="23.1" customHeight="1" spans="1:9">
      <c r="A4" s="541" t="s">
        <v>167</v>
      </c>
      <c r="B4" s="510">
        <v>0.1781</v>
      </c>
      <c r="C4" s="511">
        <v>2.1</v>
      </c>
      <c r="D4" s="542">
        <v>1.7269</v>
      </c>
      <c r="E4" s="384">
        <v>-7.2</v>
      </c>
      <c r="G4" s="507"/>
      <c r="I4" s="507"/>
    </row>
    <row r="5" ht="23.1" customHeight="1" spans="1:9">
      <c r="A5" s="508" t="s">
        <v>168</v>
      </c>
      <c r="B5" s="510">
        <v>26.7306</v>
      </c>
      <c r="C5" s="511">
        <v>15</v>
      </c>
      <c r="D5" s="542">
        <v>253.1152</v>
      </c>
      <c r="E5" s="384">
        <v>-12.3</v>
      </c>
      <c r="G5" s="507"/>
      <c r="I5" s="507"/>
    </row>
    <row r="6" ht="23.1" customHeight="1" spans="1:9">
      <c r="A6" s="508" t="s">
        <v>169</v>
      </c>
      <c r="B6" s="510">
        <v>4.4112</v>
      </c>
      <c r="C6" s="511">
        <v>-20.8</v>
      </c>
      <c r="D6" s="542">
        <v>49.2247</v>
      </c>
      <c r="E6" s="384">
        <v>-3.5</v>
      </c>
      <c r="G6" s="507"/>
      <c r="I6" s="507"/>
    </row>
    <row r="7" ht="23.1" customHeight="1" spans="1:9">
      <c r="A7" s="508" t="s">
        <v>170</v>
      </c>
      <c r="B7" s="510">
        <v>3.5877</v>
      </c>
      <c r="C7" s="511">
        <v>55.3</v>
      </c>
      <c r="D7" s="542">
        <v>24.7195</v>
      </c>
      <c r="E7" s="384">
        <v>24.3</v>
      </c>
      <c r="G7" s="507"/>
      <c r="I7" s="507"/>
    </row>
    <row r="8" ht="23.1" customHeight="1" spans="1:9">
      <c r="A8" s="508" t="s">
        <v>171</v>
      </c>
      <c r="B8" s="510">
        <v>2.2011</v>
      </c>
      <c r="C8" s="511">
        <v>-51.1</v>
      </c>
      <c r="D8" s="542">
        <v>20.6094</v>
      </c>
      <c r="E8" s="384">
        <v>-29.7</v>
      </c>
      <c r="G8" s="507"/>
      <c r="I8" s="507"/>
    </row>
    <row r="9" ht="23.1" customHeight="1" spans="1:9">
      <c r="A9" s="508" t="s">
        <v>172</v>
      </c>
      <c r="B9" s="510">
        <v>14.8419</v>
      </c>
      <c r="C9" s="511">
        <v>-3</v>
      </c>
      <c r="D9" s="542">
        <v>125.0306</v>
      </c>
      <c r="E9" s="384">
        <v>10.8</v>
      </c>
      <c r="G9" s="543"/>
      <c r="I9" s="507"/>
    </row>
    <row r="10" ht="23.1" customHeight="1" spans="1:9">
      <c r="A10" s="508" t="s">
        <v>173</v>
      </c>
      <c r="B10" s="510">
        <v>37.7329</v>
      </c>
      <c r="C10" s="511">
        <v>45.2</v>
      </c>
      <c r="D10" s="542">
        <v>378.6385</v>
      </c>
      <c r="E10" s="384">
        <v>4</v>
      </c>
      <c r="G10" s="507"/>
      <c r="I10" s="507"/>
    </row>
    <row r="11" ht="23.1" customHeight="1" spans="1:9">
      <c r="A11" s="508" t="s">
        <v>174</v>
      </c>
      <c r="B11" s="510">
        <v>0.0933</v>
      </c>
      <c r="C11" s="511">
        <v>-74.9</v>
      </c>
      <c r="D11" s="542">
        <v>1.3168</v>
      </c>
      <c r="E11" s="384">
        <v>-45.5</v>
      </c>
      <c r="G11" s="507"/>
      <c r="I11" s="507"/>
    </row>
    <row r="12" ht="23.1" customHeight="1" spans="1:9">
      <c r="A12" s="508" t="s">
        <v>175</v>
      </c>
      <c r="B12" s="510">
        <v>3.3821</v>
      </c>
      <c r="C12" s="511">
        <v>-52.1</v>
      </c>
      <c r="D12" s="542">
        <v>36.5638</v>
      </c>
      <c r="E12" s="384">
        <v>-13.2</v>
      </c>
      <c r="G12" s="507"/>
      <c r="I12" s="507"/>
    </row>
    <row r="13" ht="23.1" customHeight="1" spans="1:9">
      <c r="A13" s="508" t="s">
        <v>176</v>
      </c>
      <c r="B13" s="510">
        <v>0.3932</v>
      </c>
      <c r="C13" s="511">
        <v>2.6</v>
      </c>
      <c r="D13" s="542">
        <v>4.6234</v>
      </c>
      <c r="E13" s="384">
        <v>-14.9</v>
      </c>
      <c r="G13" s="507"/>
      <c r="I13" s="507"/>
    </row>
    <row r="14" ht="23.1" customHeight="1" spans="1:9">
      <c r="A14" s="514" t="s">
        <v>177</v>
      </c>
      <c r="B14" s="510">
        <v>3.0488</v>
      </c>
      <c r="C14" s="524">
        <v>-20.6</v>
      </c>
      <c r="D14" s="542">
        <v>14.1489</v>
      </c>
      <c r="E14" s="384">
        <v>-30.4</v>
      </c>
      <c r="G14" s="507"/>
      <c r="I14" s="507"/>
    </row>
    <row r="15" ht="23.1" customHeight="1" spans="1:9">
      <c r="A15" s="514" t="s">
        <v>178</v>
      </c>
      <c r="B15" s="510">
        <v>0.5889</v>
      </c>
      <c r="C15" s="524">
        <v>9.4</v>
      </c>
      <c r="D15" s="542">
        <v>7.0099</v>
      </c>
      <c r="E15" s="384">
        <v>7</v>
      </c>
      <c r="G15" s="507"/>
      <c r="I15" s="507"/>
    </row>
    <row r="16" ht="23.1" customHeight="1" spans="1:9">
      <c r="A16" s="508" t="s">
        <v>179</v>
      </c>
      <c r="B16" s="510">
        <v>0.3125</v>
      </c>
      <c r="C16" s="511">
        <v>-4.4</v>
      </c>
      <c r="D16" s="542">
        <v>2.5836</v>
      </c>
      <c r="E16" s="384">
        <v>-9.9</v>
      </c>
      <c r="G16" s="507"/>
      <c r="I16" s="507"/>
    </row>
    <row r="17" ht="23.1" customHeight="1" spans="1:9">
      <c r="A17" s="508" t="s">
        <v>180</v>
      </c>
      <c r="B17" s="510">
        <v>16.5858</v>
      </c>
      <c r="C17" s="511">
        <v>22.9</v>
      </c>
      <c r="D17" s="542">
        <v>136.9482</v>
      </c>
      <c r="E17" s="384">
        <v>3.1</v>
      </c>
      <c r="F17" s="154"/>
      <c r="G17" s="517"/>
      <c r="I17" s="507"/>
    </row>
    <row r="18" ht="23.1" customHeight="1" spans="1:9">
      <c r="A18" s="508" t="s">
        <v>181</v>
      </c>
      <c r="B18" s="510">
        <v>0.1905</v>
      </c>
      <c r="C18" s="511">
        <v>83.8</v>
      </c>
      <c r="D18" s="542">
        <v>2.9731</v>
      </c>
      <c r="E18" s="384">
        <v>96.2</v>
      </c>
      <c r="F18" s="154"/>
      <c r="G18" s="507"/>
      <c r="I18" s="507"/>
    </row>
    <row r="19" ht="23.1" customHeight="1" spans="1:9">
      <c r="A19" s="508" t="s">
        <v>182</v>
      </c>
      <c r="B19" s="510">
        <v>0.0482</v>
      </c>
      <c r="C19" s="511">
        <v>-46</v>
      </c>
      <c r="D19" s="542">
        <v>0.4349</v>
      </c>
      <c r="E19" s="384">
        <v>-21.2</v>
      </c>
      <c r="F19" s="154"/>
      <c r="G19" s="507"/>
      <c r="I19" s="507"/>
    </row>
    <row r="20" ht="23.1" customHeight="1" spans="1:9">
      <c r="A20" s="508" t="s">
        <v>183</v>
      </c>
      <c r="B20" s="510">
        <v>3.0301</v>
      </c>
      <c r="C20" s="511">
        <v>-17.6</v>
      </c>
      <c r="D20" s="542">
        <v>19.9884</v>
      </c>
      <c r="E20" s="384">
        <v>-3.2</v>
      </c>
      <c r="G20" s="507"/>
      <c r="I20" s="507"/>
    </row>
    <row r="21" ht="23.1" customHeight="1" spans="1:9">
      <c r="A21" s="508" t="s">
        <v>184</v>
      </c>
      <c r="B21" s="510">
        <v>0.5793</v>
      </c>
      <c r="C21" s="511">
        <v>79.9</v>
      </c>
      <c r="D21" s="542">
        <v>3.2315</v>
      </c>
      <c r="E21" s="384">
        <v>3.9</v>
      </c>
      <c r="G21" s="507"/>
      <c r="I21" s="507"/>
    </row>
    <row r="22" ht="23.1" customHeight="1" spans="1:9">
      <c r="A22" s="508" t="s">
        <v>185</v>
      </c>
      <c r="B22" s="510">
        <v>13.3145</v>
      </c>
      <c r="C22" s="511">
        <v>-7.3</v>
      </c>
      <c r="D22" s="542">
        <v>159.6463</v>
      </c>
      <c r="E22" s="384">
        <v>2.5</v>
      </c>
      <c r="G22" s="507"/>
      <c r="I22" s="507"/>
    </row>
    <row r="23" ht="23.1" customHeight="1" spans="1:9">
      <c r="A23" s="508" t="s">
        <v>186</v>
      </c>
      <c r="B23" s="510">
        <v>0.5961</v>
      </c>
      <c r="C23" s="511">
        <v>11.2</v>
      </c>
      <c r="D23" s="542">
        <v>6.5942</v>
      </c>
      <c r="E23" s="384">
        <v>1.6</v>
      </c>
      <c r="G23" s="507"/>
      <c r="I23" s="507"/>
    </row>
    <row r="24" ht="23.1" customHeight="1" spans="1:9">
      <c r="A24" s="518" t="s">
        <v>187</v>
      </c>
      <c r="B24" s="520">
        <v>0.72</v>
      </c>
      <c r="C24" s="521">
        <v>12.7</v>
      </c>
      <c r="D24" s="544">
        <v>7.7892</v>
      </c>
      <c r="E24" s="394">
        <v>6.6</v>
      </c>
      <c r="G24" s="507"/>
      <c r="I24" s="507"/>
    </row>
    <row r="25" spans="1:9">
      <c r="A25" s="536"/>
      <c r="B25" s="536"/>
      <c r="C25" s="536"/>
      <c r="D25" s="536"/>
      <c r="E25" s="536"/>
    </row>
  </sheetData>
  <mergeCells count="2">
    <mergeCell ref="A1:E1"/>
    <mergeCell ref="D2:E2"/>
  </mergeCells>
  <pageMargins left="0.75" right="0.75" top="1" bottom="1" header="0.5" footer="0.5"/>
  <pageSetup paperSize="9" orientation="portrait"/>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J21"/>
  <sheetViews>
    <sheetView workbookViewId="0">
      <selection activeCell="H18" sqref="H18"/>
    </sheetView>
  </sheetViews>
  <sheetFormatPr defaultColWidth="9" defaultRowHeight="14.25"/>
  <cols>
    <col min="1" max="1" width="25" style="491" customWidth="1"/>
    <col min="2" max="2" width="10.625" style="491" customWidth="1"/>
    <col min="3" max="3" width="12" style="491" customWidth="1"/>
    <col min="4" max="4" width="10.625" style="491" customWidth="1"/>
    <col min="5" max="5" width="12.125" style="503" customWidth="1"/>
    <col min="6" max="6" width="10.625" style="491" customWidth="1"/>
    <col min="7" max="7" width="9" style="491"/>
    <col min="8" max="8" width="10.5" style="491" customWidth="1"/>
    <col min="9" max="9" width="9.75" style="491" customWidth="1"/>
    <col min="10" max="10" width="11.75" style="491" customWidth="1"/>
    <col min="11" max="16384" width="9" style="491"/>
  </cols>
  <sheetData>
    <row r="1" ht="28.5" customHeight="1" spans="1:10">
      <c r="A1" s="437" t="s">
        <v>188</v>
      </c>
      <c r="B1" s="438"/>
      <c r="C1" s="438"/>
      <c r="D1" s="438"/>
      <c r="E1" s="504"/>
      <c r="F1" s="504"/>
    </row>
    <row r="2" ht="23.1" customHeight="1" spans="1:10">
      <c r="A2" s="505" t="s">
        <v>53</v>
      </c>
      <c r="B2" s="505" t="s">
        <v>119</v>
      </c>
      <c r="C2" s="505" t="s">
        <v>93</v>
      </c>
      <c r="D2" s="506" t="s">
        <v>94</v>
      </c>
      <c r="E2" s="376" t="s">
        <v>54</v>
      </c>
      <c r="F2" s="506" t="s">
        <v>94</v>
      </c>
      <c r="H2" s="507"/>
      <c r="J2" s="507"/>
    </row>
    <row r="3" ht="23.1" customHeight="1" spans="1:10">
      <c r="A3" s="450" t="s">
        <v>189</v>
      </c>
      <c r="B3" s="445" t="s">
        <v>82</v>
      </c>
      <c r="C3" s="526">
        <v>0.1592</v>
      </c>
      <c r="D3" s="527">
        <v>248.4</v>
      </c>
      <c r="E3" s="526">
        <v>2.2467</v>
      </c>
      <c r="F3" s="384">
        <v>40.7</v>
      </c>
      <c r="H3" s="507"/>
      <c r="J3" s="507"/>
    </row>
    <row r="4" ht="23.1" customHeight="1" spans="1:10">
      <c r="A4" s="450" t="s">
        <v>190</v>
      </c>
      <c r="B4" s="445" t="s">
        <v>82</v>
      </c>
      <c r="C4" s="526">
        <v>20.8589</v>
      </c>
      <c r="D4" s="527">
        <v>-8.2</v>
      </c>
      <c r="E4" s="526">
        <v>276.8885</v>
      </c>
      <c r="F4" s="384">
        <v>-1.9</v>
      </c>
      <c r="H4" s="507"/>
      <c r="J4" s="507"/>
    </row>
    <row r="5" ht="23.1" customHeight="1" spans="1:10">
      <c r="A5" s="450" t="s">
        <v>191</v>
      </c>
      <c r="B5" s="445" t="s">
        <v>82</v>
      </c>
      <c r="C5" s="526">
        <v>3.5242</v>
      </c>
      <c r="D5" s="527">
        <v>-31.6</v>
      </c>
      <c r="E5" s="526">
        <v>49.9086</v>
      </c>
      <c r="F5" s="384">
        <v>-5.5</v>
      </c>
      <c r="H5" s="507"/>
      <c r="J5" s="507"/>
    </row>
    <row r="6" ht="23.1" customHeight="1" spans="1:10">
      <c r="A6" s="450" t="s">
        <v>192</v>
      </c>
      <c r="B6" s="445" t="s">
        <v>82</v>
      </c>
      <c r="C6" s="526">
        <v>0.567</v>
      </c>
      <c r="D6" s="527">
        <v>21.3</v>
      </c>
      <c r="E6" s="526">
        <v>7.314</v>
      </c>
      <c r="F6" s="384">
        <v>16.5</v>
      </c>
      <c r="H6" s="507"/>
      <c r="J6" s="507"/>
    </row>
    <row r="7" ht="23.1" customHeight="1" spans="1:10">
      <c r="A7" s="450" t="s">
        <v>193</v>
      </c>
      <c r="B7" s="445" t="s">
        <v>82</v>
      </c>
      <c r="C7" s="526">
        <v>0.5736</v>
      </c>
      <c r="D7" s="527">
        <v>-50.9</v>
      </c>
      <c r="E7" s="526">
        <v>10.0264</v>
      </c>
      <c r="F7" s="384">
        <v>-31.6</v>
      </c>
      <c r="H7" s="507"/>
      <c r="J7" s="507"/>
    </row>
    <row r="8" ht="23.1" customHeight="1" spans="1:10">
      <c r="A8" s="440" t="s">
        <v>194</v>
      </c>
      <c r="B8" s="445" t="s">
        <v>82</v>
      </c>
      <c r="C8" s="526">
        <v>14.324</v>
      </c>
      <c r="D8" s="528">
        <v>4.4</v>
      </c>
      <c r="E8" s="526">
        <v>85.6553</v>
      </c>
      <c r="F8" s="384">
        <v>-4.2</v>
      </c>
      <c r="H8" s="507"/>
      <c r="J8" s="507"/>
    </row>
    <row r="9" ht="23.1" customHeight="1" spans="1:10">
      <c r="A9" s="450" t="s">
        <v>195</v>
      </c>
      <c r="B9" s="445" t="s">
        <v>82</v>
      </c>
      <c r="C9" s="526">
        <v>0.866</v>
      </c>
      <c r="D9" s="527">
        <v>-30.8</v>
      </c>
      <c r="E9" s="526">
        <v>6.6894</v>
      </c>
      <c r="F9" s="384">
        <v>-37.9</v>
      </c>
      <c r="G9" s="154"/>
      <c r="H9" s="517"/>
      <c r="J9" s="507"/>
    </row>
    <row r="10" ht="23.1" customHeight="1" spans="1:10">
      <c r="A10" s="450" t="s">
        <v>196</v>
      </c>
      <c r="B10" s="445" t="s">
        <v>197</v>
      </c>
      <c r="C10" s="529">
        <v>16590</v>
      </c>
      <c r="D10" s="527">
        <v>5.3</v>
      </c>
      <c r="E10" s="389">
        <v>151309</v>
      </c>
      <c r="F10" s="384">
        <v>37.4</v>
      </c>
      <c r="H10" s="507"/>
      <c r="J10" s="507"/>
    </row>
    <row r="11" ht="23.1" customHeight="1" spans="1:10">
      <c r="A11" s="450" t="s">
        <v>198</v>
      </c>
      <c r="B11" s="445" t="s">
        <v>197</v>
      </c>
      <c r="C11" s="529">
        <v>18225</v>
      </c>
      <c r="D11" s="527">
        <v>1</v>
      </c>
      <c r="E11" s="389">
        <v>178059</v>
      </c>
      <c r="F11" s="384">
        <v>-14.4</v>
      </c>
      <c r="H11" s="507"/>
      <c r="J11" s="507"/>
    </row>
    <row r="12" ht="23.1" customHeight="1" spans="1:10">
      <c r="A12" s="450" t="s">
        <v>199</v>
      </c>
      <c r="B12" s="445" t="s">
        <v>197</v>
      </c>
      <c r="C12" s="529">
        <v>8268</v>
      </c>
      <c r="D12" s="527">
        <v>45.2</v>
      </c>
      <c r="E12" s="389">
        <v>41633</v>
      </c>
      <c r="F12" s="384">
        <v>-11.4</v>
      </c>
      <c r="H12" s="507"/>
      <c r="J12" s="507"/>
    </row>
    <row r="13" ht="23.1" customHeight="1" spans="1:10">
      <c r="A13" s="450" t="s">
        <v>200</v>
      </c>
      <c r="B13" s="445" t="s">
        <v>197</v>
      </c>
      <c r="C13" s="529">
        <v>8543</v>
      </c>
      <c r="D13" s="527">
        <v>30.8</v>
      </c>
      <c r="E13" s="389">
        <v>117282</v>
      </c>
      <c r="F13" s="384">
        <v>-4</v>
      </c>
    </row>
    <row r="14" ht="23.1" customHeight="1" spans="1:10">
      <c r="A14" s="454" t="s">
        <v>201</v>
      </c>
      <c r="B14" s="445" t="s">
        <v>82</v>
      </c>
      <c r="C14" s="526">
        <v>0.1908</v>
      </c>
      <c r="D14" s="527">
        <v>33</v>
      </c>
      <c r="E14" s="526">
        <v>1.866</v>
      </c>
      <c r="F14" s="530">
        <v>10.3</v>
      </c>
    </row>
    <row r="15" ht="23.1" customHeight="1" spans="1:10">
      <c r="A15" s="454" t="s">
        <v>202</v>
      </c>
      <c r="B15" s="445" t="s">
        <v>82</v>
      </c>
      <c r="C15" s="526">
        <v>4.5549</v>
      </c>
      <c r="D15" s="527">
        <v>8.4</v>
      </c>
      <c r="E15" s="526">
        <v>41.9826</v>
      </c>
      <c r="F15" s="530">
        <v>-4.2</v>
      </c>
    </row>
    <row r="16" ht="23.1" customHeight="1" spans="1:10">
      <c r="A16" s="440" t="s">
        <v>203</v>
      </c>
      <c r="B16" s="445" t="s">
        <v>82</v>
      </c>
      <c r="C16" s="526">
        <v>3.2165</v>
      </c>
      <c r="D16" s="528">
        <v>28.9</v>
      </c>
      <c r="E16" s="526">
        <v>25.0442</v>
      </c>
      <c r="F16" s="530">
        <v>3.9</v>
      </c>
    </row>
    <row r="17" ht="23.1" customHeight="1" spans="1:6">
      <c r="A17" s="440" t="s">
        <v>204</v>
      </c>
      <c r="B17" s="445" t="s">
        <v>205</v>
      </c>
      <c r="C17" s="531">
        <v>5.4972</v>
      </c>
      <c r="D17" s="528">
        <v>-40.1</v>
      </c>
      <c r="E17" s="531">
        <v>115</v>
      </c>
      <c r="F17" s="530">
        <v>-5</v>
      </c>
    </row>
    <row r="18" ht="23.1" customHeight="1" spans="1:6">
      <c r="A18" s="440" t="s">
        <v>206</v>
      </c>
      <c r="B18" s="445" t="s">
        <v>82</v>
      </c>
      <c r="C18" s="526">
        <v>0.1392</v>
      </c>
      <c r="D18" s="528">
        <v>12.3</v>
      </c>
      <c r="E18" s="526">
        <v>1.4467</v>
      </c>
      <c r="F18" s="530">
        <v>8.2</v>
      </c>
    </row>
    <row r="19" ht="23.1" customHeight="1" spans="1:6">
      <c r="A19" s="440" t="s">
        <v>207</v>
      </c>
      <c r="B19" s="445" t="s">
        <v>208</v>
      </c>
      <c r="C19" s="529">
        <v>16703</v>
      </c>
      <c r="D19" s="528">
        <v>-20.8</v>
      </c>
      <c r="E19" s="389">
        <v>83903</v>
      </c>
      <c r="F19" s="530">
        <v>-16.6</v>
      </c>
    </row>
    <row r="20" ht="23.1" customHeight="1" spans="1:6">
      <c r="A20" s="532" t="s">
        <v>209</v>
      </c>
      <c r="B20" s="519" t="s">
        <v>210</v>
      </c>
      <c r="C20" s="533">
        <v>124</v>
      </c>
      <c r="D20" s="534">
        <v>-36.1</v>
      </c>
      <c r="E20" s="393">
        <v>949</v>
      </c>
      <c r="F20" s="535">
        <v>-24.1</v>
      </c>
    </row>
    <row r="21" spans="1:6">
      <c r="A21" s="536"/>
      <c r="B21" s="536"/>
      <c r="C21" s="536"/>
      <c r="D21" s="536"/>
      <c r="E21" s="536"/>
      <c r="F21" s="536"/>
    </row>
  </sheetData>
  <mergeCells count="1">
    <mergeCell ref="A1:F1"/>
  </mergeCells>
  <pageMargins left="0.75" right="0.75" top="1" bottom="1" header="0.5" footer="0.5"/>
  <pageSetup paperSize="9" orientation="portrait"/>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J23"/>
  <sheetViews>
    <sheetView workbookViewId="0">
      <selection activeCell="H18" sqref="H18"/>
    </sheetView>
  </sheetViews>
  <sheetFormatPr defaultColWidth="9" defaultRowHeight="14.25"/>
  <cols>
    <col min="1" max="1" width="25" style="491" customWidth="1"/>
    <col min="2" max="2" width="10.625" style="491" customWidth="1"/>
    <col min="3" max="3" width="12" style="491" customWidth="1"/>
    <col min="4" max="4" width="10.625" style="491" customWidth="1"/>
    <col min="5" max="5" width="12.125" style="503" customWidth="1"/>
    <col min="6" max="6" width="10.625" style="491" customWidth="1"/>
    <col min="7" max="7" width="9" style="491"/>
    <col min="8" max="8" width="10.5" style="491" customWidth="1"/>
    <col min="9" max="9" width="9.75" style="491" customWidth="1"/>
    <col min="10" max="10" width="11.75" style="491" customWidth="1"/>
    <col min="11" max="16384" width="9" style="491"/>
  </cols>
  <sheetData>
    <row r="1" ht="28.5" customHeight="1" spans="1:10">
      <c r="A1" s="437" t="s">
        <v>211</v>
      </c>
      <c r="B1" s="438"/>
      <c r="C1" s="438"/>
      <c r="D1" s="438"/>
      <c r="E1" s="504"/>
      <c r="F1" s="504"/>
    </row>
    <row r="2" ht="23.1" customHeight="1" spans="1:10">
      <c r="A2" s="505" t="s">
        <v>53</v>
      </c>
      <c r="B2" s="505" t="s">
        <v>119</v>
      </c>
      <c r="C2" s="505" t="s">
        <v>93</v>
      </c>
      <c r="D2" s="506" t="s">
        <v>94</v>
      </c>
      <c r="E2" s="376" t="s">
        <v>54</v>
      </c>
      <c r="F2" s="506" t="s">
        <v>94</v>
      </c>
      <c r="H2" s="507"/>
      <c r="J2" s="507"/>
    </row>
    <row r="3" ht="23.1" customHeight="1" spans="1:10">
      <c r="A3" s="508" t="s">
        <v>212</v>
      </c>
      <c r="B3" s="509" t="s">
        <v>82</v>
      </c>
      <c r="C3" s="510">
        <v>5.4707</v>
      </c>
      <c r="D3" s="511">
        <v>27.6</v>
      </c>
      <c r="E3" s="512">
        <v>48.745</v>
      </c>
      <c r="F3" s="513">
        <v>4.6</v>
      </c>
      <c r="H3" s="507"/>
      <c r="J3" s="507"/>
    </row>
    <row r="4" ht="23.1" customHeight="1" spans="1:10">
      <c r="A4" s="508" t="s">
        <v>213</v>
      </c>
      <c r="B4" s="509" t="s">
        <v>214</v>
      </c>
      <c r="C4" s="510">
        <v>9.3753</v>
      </c>
      <c r="D4" s="511">
        <v>29.8</v>
      </c>
      <c r="E4" s="512">
        <v>103.4888</v>
      </c>
      <c r="F4" s="513">
        <v>35.7</v>
      </c>
      <c r="H4" s="507"/>
      <c r="J4" s="507"/>
    </row>
    <row r="5" ht="23.1" customHeight="1" spans="1:10">
      <c r="A5" s="508" t="s">
        <v>215</v>
      </c>
      <c r="B5" s="509" t="s">
        <v>210</v>
      </c>
      <c r="C5" s="510">
        <v>18.317</v>
      </c>
      <c r="D5" s="511">
        <v>-1.7</v>
      </c>
      <c r="E5" s="512">
        <v>256.8251</v>
      </c>
      <c r="F5" s="513">
        <v>-20.1</v>
      </c>
      <c r="H5" s="507"/>
      <c r="J5" s="507"/>
    </row>
    <row r="6" ht="23.1" customHeight="1" spans="1:10">
      <c r="A6" s="508" t="s">
        <v>216</v>
      </c>
      <c r="B6" s="509" t="s">
        <v>82</v>
      </c>
      <c r="C6" s="510">
        <v>8.0527</v>
      </c>
      <c r="D6" s="511">
        <v>3</v>
      </c>
      <c r="E6" s="512">
        <v>73.0765</v>
      </c>
      <c r="F6" s="513">
        <v>-2.7</v>
      </c>
      <c r="H6" s="507"/>
      <c r="J6" s="507"/>
    </row>
    <row r="7" ht="23.1" customHeight="1" spans="1:10">
      <c r="A7" s="508" t="s">
        <v>217</v>
      </c>
      <c r="B7" s="509" t="s">
        <v>82</v>
      </c>
      <c r="C7" s="510">
        <v>24.7725</v>
      </c>
      <c r="D7" s="511">
        <v>18.3</v>
      </c>
      <c r="E7" s="512">
        <v>224.3853</v>
      </c>
      <c r="F7" s="513">
        <v>12.5</v>
      </c>
      <c r="H7" s="507"/>
      <c r="J7" s="507"/>
    </row>
    <row r="8" ht="23.1" customHeight="1" spans="1:10">
      <c r="A8" s="508" t="s">
        <v>218</v>
      </c>
      <c r="B8" s="509" t="s">
        <v>82</v>
      </c>
      <c r="C8" s="510">
        <v>47.1171</v>
      </c>
      <c r="D8" s="511">
        <v>0.8</v>
      </c>
      <c r="E8" s="512">
        <v>462.1445</v>
      </c>
      <c r="F8" s="513">
        <v>-13.7</v>
      </c>
      <c r="H8" s="507"/>
      <c r="J8" s="507"/>
    </row>
    <row r="9" ht="23.1" customHeight="1" spans="1:10">
      <c r="A9" s="508" t="s">
        <v>219</v>
      </c>
      <c r="B9" s="509" t="s">
        <v>82</v>
      </c>
      <c r="C9" s="510">
        <v>15.0091</v>
      </c>
      <c r="D9" s="511">
        <v>-0.4</v>
      </c>
      <c r="E9" s="512">
        <v>149.8357</v>
      </c>
      <c r="F9" s="513">
        <v>-16.8</v>
      </c>
      <c r="H9" s="507"/>
      <c r="J9" s="507"/>
    </row>
    <row r="10" ht="23.1" customHeight="1" spans="1:10">
      <c r="A10" s="450" t="s">
        <v>220</v>
      </c>
      <c r="B10" s="445" t="s">
        <v>82</v>
      </c>
      <c r="C10" s="510">
        <v>17.1681</v>
      </c>
      <c r="D10" s="511">
        <v>0.7</v>
      </c>
      <c r="E10" s="512">
        <v>174.3975</v>
      </c>
      <c r="F10" s="513">
        <v>-15</v>
      </c>
      <c r="H10" s="507"/>
      <c r="J10" s="507"/>
    </row>
    <row r="11" ht="23.1" customHeight="1" spans="1:10">
      <c r="A11" s="508" t="s">
        <v>221</v>
      </c>
      <c r="B11" s="509" t="s">
        <v>82</v>
      </c>
      <c r="C11" s="510">
        <v>2.6926</v>
      </c>
      <c r="D11" s="511">
        <v>9.7</v>
      </c>
      <c r="E11" s="512">
        <v>15.3969</v>
      </c>
      <c r="F11" s="513">
        <v>-14.3</v>
      </c>
      <c r="H11" s="507"/>
      <c r="J11" s="507"/>
    </row>
    <row r="12" ht="23.1" customHeight="1" spans="1:10">
      <c r="A12" s="508" t="s">
        <v>222</v>
      </c>
      <c r="B12" s="509" t="s">
        <v>82</v>
      </c>
      <c r="C12" s="510">
        <v>0.5436</v>
      </c>
      <c r="D12" s="511">
        <v>-16.5</v>
      </c>
      <c r="E12" s="512">
        <v>6.2021</v>
      </c>
      <c r="F12" s="513">
        <v>136.2</v>
      </c>
      <c r="H12" s="507"/>
      <c r="J12" s="507"/>
    </row>
    <row r="13" ht="23.1" customHeight="1" spans="1:10">
      <c r="A13" s="508" t="s">
        <v>223</v>
      </c>
      <c r="B13" s="509" t="s">
        <v>82</v>
      </c>
      <c r="C13" s="510">
        <v>3.2617</v>
      </c>
      <c r="D13" s="511">
        <v>-29</v>
      </c>
      <c r="E13" s="512">
        <v>50.7946</v>
      </c>
      <c r="F13" s="513">
        <v>12.2</v>
      </c>
      <c r="H13" s="507"/>
      <c r="J13" s="507"/>
    </row>
    <row r="14" ht="23.1" customHeight="1" spans="1:10">
      <c r="A14" s="508" t="s">
        <v>224</v>
      </c>
      <c r="B14" s="509" t="s">
        <v>82</v>
      </c>
      <c r="C14" s="510">
        <v>2.8671</v>
      </c>
      <c r="D14" s="511">
        <v>29.9</v>
      </c>
      <c r="E14" s="512">
        <v>25.4689</v>
      </c>
      <c r="F14" s="513">
        <v>-14.7</v>
      </c>
      <c r="H14" s="507"/>
      <c r="J14" s="507"/>
    </row>
    <row r="15" ht="23.1" customHeight="1" spans="1:10">
      <c r="A15" s="514" t="s">
        <v>225</v>
      </c>
      <c r="B15" s="509" t="s">
        <v>82</v>
      </c>
      <c r="C15" s="510">
        <v>0</v>
      </c>
      <c r="D15" s="524">
        <v>0</v>
      </c>
      <c r="E15" s="512">
        <v>9.5562</v>
      </c>
      <c r="F15" s="513">
        <v>-51.5</v>
      </c>
      <c r="H15" s="507"/>
      <c r="J15" s="507"/>
    </row>
    <row r="16" ht="23.1" customHeight="1" spans="1:10">
      <c r="A16" s="508" t="s">
        <v>226</v>
      </c>
      <c r="B16" s="509" t="s">
        <v>82</v>
      </c>
      <c r="C16" s="510">
        <v>0.0944</v>
      </c>
      <c r="D16" s="511">
        <v>-23.4</v>
      </c>
      <c r="E16" s="512">
        <v>0.9466</v>
      </c>
      <c r="F16" s="513">
        <v>9.8</v>
      </c>
      <c r="H16" s="507"/>
      <c r="J16" s="507"/>
    </row>
    <row r="17" ht="23.1" customHeight="1" spans="1:10">
      <c r="A17" s="508" t="s">
        <v>227</v>
      </c>
      <c r="B17" s="509" t="s">
        <v>82</v>
      </c>
      <c r="C17" s="510">
        <v>0.7051</v>
      </c>
      <c r="D17" s="511">
        <v>-4</v>
      </c>
      <c r="E17" s="512">
        <v>8.064</v>
      </c>
      <c r="F17" s="513">
        <v>-26.6</v>
      </c>
      <c r="H17" s="507"/>
      <c r="J17" s="507"/>
    </row>
    <row r="18" ht="23.1" customHeight="1" spans="1:10">
      <c r="A18" s="508" t="s">
        <v>228</v>
      </c>
      <c r="B18" s="509" t="s">
        <v>82</v>
      </c>
      <c r="C18" s="510">
        <v>0</v>
      </c>
      <c r="D18" s="511">
        <v>0</v>
      </c>
      <c r="E18" s="512">
        <v>8.0491</v>
      </c>
      <c r="F18" s="513">
        <v>-40.3</v>
      </c>
      <c r="H18" s="507"/>
      <c r="J18" s="507"/>
    </row>
    <row r="19" ht="23.1" customHeight="1" spans="1:10">
      <c r="A19" s="508" t="s">
        <v>229</v>
      </c>
      <c r="B19" s="509" t="s">
        <v>82</v>
      </c>
      <c r="C19" s="510">
        <v>1.8693</v>
      </c>
      <c r="D19" s="511">
        <v>24.2</v>
      </c>
      <c r="E19" s="512">
        <v>18.4192</v>
      </c>
      <c r="F19" s="513">
        <v>-9.1</v>
      </c>
      <c r="H19" s="507"/>
      <c r="J19" s="507"/>
    </row>
    <row r="20" ht="23.1" customHeight="1" spans="1:10">
      <c r="A20" s="508" t="s">
        <v>230</v>
      </c>
      <c r="B20" s="509" t="s">
        <v>82</v>
      </c>
      <c r="C20" s="510">
        <v>0.0096</v>
      </c>
      <c r="D20" s="511">
        <v>-54.7</v>
      </c>
      <c r="E20" s="512">
        <v>0.1375</v>
      </c>
      <c r="F20" s="513">
        <v>-21</v>
      </c>
      <c r="G20" s="154"/>
      <c r="H20" s="517"/>
      <c r="J20" s="507"/>
    </row>
    <row r="21" ht="23.1" customHeight="1" spans="1:10">
      <c r="A21" s="508" t="s">
        <v>231</v>
      </c>
      <c r="B21" s="509" t="s">
        <v>82</v>
      </c>
      <c r="C21" s="510">
        <v>0</v>
      </c>
      <c r="D21" s="511">
        <v>0</v>
      </c>
      <c r="E21" s="512">
        <v>0</v>
      </c>
      <c r="F21" s="513">
        <v>0</v>
      </c>
      <c r="G21" s="154"/>
      <c r="H21" s="507"/>
      <c r="J21" s="507"/>
    </row>
    <row r="22" ht="23.1" customHeight="1" spans="1:10">
      <c r="A22" s="518" t="s">
        <v>232</v>
      </c>
      <c r="B22" s="525" t="s">
        <v>82</v>
      </c>
      <c r="C22" s="520">
        <v>0.059</v>
      </c>
      <c r="D22" s="521">
        <v>15.8</v>
      </c>
      <c r="E22" s="522">
        <v>0.5269</v>
      </c>
      <c r="F22" s="523">
        <v>3.3</v>
      </c>
      <c r="G22" s="154"/>
      <c r="H22" s="507"/>
      <c r="J22" s="507"/>
    </row>
    <row r="23" spans="1:10">
      <c r="A23" s="463"/>
      <c r="B23" s="463"/>
      <c r="C23" s="463"/>
      <c r="D23" s="463"/>
      <c r="E23" s="463"/>
      <c r="F23" s="463"/>
    </row>
  </sheetData>
  <mergeCells count="1">
    <mergeCell ref="A1:F1"/>
  </mergeCells>
  <pageMargins left="0.75" right="0.75" top="1" bottom="1" header="0.5" footer="0.5"/>
  <pageSetup paperSize="9" scale="98" orientation="portrait"/>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J23"/>
  <sheetViews>
    <sheetView workbookViewId="0">
      <selection activeCell="H24" sqref="H24"/>
    </sheetView>
  </sheetViews>
  <sheetFormatPr defaultColWidth="9" defaultRowHeight="14.25"/>
  <cols>
    <col min="1" max="1" width="25" style="491" customWidth="1"/>
    <col min="2" max="2" width="11.7166666666667" style="491" customWidth="1"/>
    <col min="3" max="3" width="12" style="491" customWidth="1"/>
    <col min="4" max="4" width="10.625" style="491" customWidth="1"/>
    <col min="5" max="5" width="12.125" style="503" customWidth="1"/>
    <col min="6" max="6" width="10.625" style="491" customWidth="1"/>
    <col min="7" max="7" width="9" style="491"/>
    <col min="8" max="8" width="10.5" style="491" customWidth="1"/>
    <col min="9" max="9" width="9.75" style="491" customWidth="1"/>
    <col min="10" max="10" width="11.75" style="491" customWidth="1"/>
    <col min="11" max="16384" width="9" style="491"/>
  </cols>
  <sheetData>
    <row r="1" ht="28.5" customHeight="1" spans="1:10">
      <c r="A1" s="437" t="s">
        <v>233</v>
      </c>
      <c r="B1" s="438"/>
      <c r="C1" s="438"/>
      <c r="D1" s="438"/>
      <c r="E1" s="504"/>
      <c r="F1" s="504"/>
    </row>
    <row r="2" ht="23.1" customHeight="1" spans="1:10">
      <c r="A2" s="505" t="s">
        <v>53</v>
      </c>
      <c r="B2" s="505" t="s">
        <v>119</v>
      </c>
      <c r="C2" s="505" t="s">
        <v>93</v>
      </c>
      <c r="D2" s="506" t="s">
        <v>94</v>
      </c>
      <c r="E2" s="376" t="s">
        <v>54</v>
      </c>
      <c r="F2" s="506" t="s">
        <v>94</v>
      </c>
      <c r="H2" s="507"/>
      <c r="J2" s="507"/>
    </row>
    <row r="3" ht="23.1" customHeight="1" spans="1:10">
      <c r="A3" s="508" t="s">
        <v>234</v>
      </c>
      <c r="B3" s="509" t="s">
        <v>82</v>
      </c>
      <c r="C3" s="510">
        <v>0.8464</v>
      </c>
      <c r="D3" s="511">
        <v>-59.9</v>
      </c>
      <c r="E3" s="512">
        <v>12.7747</v>
      </c>
      <c r="F3" s="513">
        <v>-24.1</v>
      </c>
      <c r="H3" s="507"/>
      <c r="J3" s="507"/>
    </row>
    <row r="4" ht="23.1" customHeight="1" spans="1:10">
      <c r="A4" s="508" t="s">
        <v>235</v>
      </c>
      <c r="B4" s="509" t="s">
        <v>82</v>
      </c>
      <c r="C4" s="510">
        <v>0.1961</v>
      </c>
      <c r="D4" s="511">
        <v>-8.4</v>
      </c>
      <c r="E4" s="512">
        <v>2.0054</v>
      </c>
      <c r="F4" s="513">
        <v>-17.9</v>
      </c>
      <c r="H4" s="507"/>
      <c r="J4" s="507"/>
    </row>
    <row r="5" ht="23.1" customHeight="1" spans="1:10">
      <c r="A5" s="508" t="s">
        <v>236</v>
      </c>
      <c r="B5" s="509" t="s">
        <v>237</v>
      </c>
      <c r="C5" s="510">
        <v>0</v>
      </c>
      <c r="D5" s="511">
        <v>0</v>
      </c>
      <c r="E5" s="512">
        <v>0</v>
      </c>
      <c r="F5" s="513">
        <v>0</v>
      </c>
      <c r="H5" s="507"/>
      <c r="J5" s="507"/>
    </row>
    <row r="6" ht="23.1" customHeight="1" spans="1:10">
      <c r="A6" s="508" t="s">
        <v>238</v>
      </c>
      <c r="B6" s="509" t="s">
        <v>82</v>
      </c>
      <c r="C6" s="510">
        <v>88.7451</v>
      </c>
      <c r="D6" s="511">
        <v>-9.1</v>
      </c>
      <c r="E6" s="512">
        <v>878.0221</v>
      </c>
      <c r="F6" s="513">
        <v>-2.3</v>
      </c>
      <c r="H6" s="507"/>
      <c r="J6" s="507"/>
    </row>
    <row r="7" ht="23.1" customHeight="1" spans="1:10">
      <c r="A7" s="508" t="s">
        <v>239</v>
      </c>
      <c r="B7" s="509" t="s">
        <v>214</v>
      </c>
      <c r="C7" s="510">
        <v>116.6296</v>
      </c>
      <c r="D7" s="511">
        <v>2.7</v>
      </c>
      <c r="E7" s="512">
        <v>975.7419</v>
      </c>
      <c r="F7" s="513">
        <v>2.7</v>
      </c>
      <c r="H7" s="507"/>
      <c r="J7" s="507"/>
    </row>
    <row r="8" ht="23.1" customHeight="1" spans="1:10">
      <c r="A8" s="508" t="s">
        <v>240</v>
      </c>
      <c r="B8" s="509" t="s">
        <v>241</v>
      </c>
      <c r="C8" s="510">
        <v>2.4505</v>
      </c>
      <c r="D8" s="511">
        <v>-12.1</v>
      </c>
      <c r="E8" s="512">
        <v>20.7691</v>
      </c>
      <c r="F8" s="513">
        <v>29.2</v>
      </c>
      <c r="H8" s="507"/>
      <c r="J8" s="507"/>
    </row>
    <row r="9" ht="23.1" customHeight="1" spans="1:10">
      <c r="A9" s="508" t="s">
        <v>242</v>
      </c>
      <c r="B9" s="509" t="s">
        <v>82</v>
      </c>
      <c r="C9" s="510">
        <v>0.2126</v>
      </c>
      <c r="D9" s="511">
        <v>-31.1</v>
      </c>
      <c r="E9" s="512">
        <v>2.8308</v>
      </c>
      <c r="F9" s="513">
        <v>-12.6</v>
      </c>
      <c r="H9" s="507"/>
      <c r="J9" s="507"/>
    </row>
    <row r="10" ht="23.1" customHeight="1" spans="1:10">
      <c r="A10" s="450" t="s">
        <v>243</v>
      </c>
      <c r="B10" s="445" t="s">
        <v>15</v>
      </c>
      <c r="C10" s="510">
        <v>7.3011</v>
      </c>
      <c r="D10" s="511">
        <v>-75.1</v>
      </c>
      <c r="E10" s="512">
        <v>90.8821</v>
      </c>
      <c r="F10" s="513">
        <v>-63.3</v>
      </c>
      <c r="H10" s="507"/>
      <c r="J10" s="507"/>
    </row>
    <row r="11" ht="23.1" customHeight="1" spans="1:10">
      <c r="A11" s="508" t="s">
        <v>244</v>
      </c>
      <c r="B11" s="509" t="s">
        <v>82</v>
      </c>
      <c r="C11" s="510">
        <v>71.2303</v>
      </c>
      <c r="D11" s="511">
        <v>4.3</v>
      </c>
      <c r="E11" s="512">
        <v>834.8854</v>
      </c>
      <c r="F11" s="513">
        <v>-0.5</v>
      </c>
      <c r="H11" s="507"/>
      <c r="J11" s="507"/>
    </row>
    <row r="12" ht="23.1" customHeight="1" spans="1:10">
      <c r="A12" s="508" t="s">
        <v>245</v>
      </c>
      <c r="B12" s="509" t="s">
        <v>82</v>
      </c>
      <c r="C12" s="510">
        <v>75.5432</v>
      </c>
      <c r="D12" s="511">
        <v>6.1</v>
      </c>
      <c r="E12" s="512">
        <v>876.8039</v>
      </c>
      <c r="F12" s="513">
        <v>0</v>
      </c>
      <c r="H12" s="507"/>
      <c r="J12" s="507"/>
    </row>
    <row r="13" ht="23.1" customHeight="1" spans="1:10">
      <c r="A13" s="508" t="s">
        <v>246</v>
      </c>
      <c r="B13" s="509" t="s">
        <v>82</v>
      </c>
      <c r="C13" s="510">
        <v>74.6637</v>
      </c>
      <c r="D13" s="511">
        <v>9</v>
      </c>
      <c r="E13" s="512">
        <v>828.3082</v>
      </c>
      <c r="F13" s="513">
        <v>3.9</v>
      </c>
      <c r="H13" s="507"/>
      <c r="J13" s="507"/>
    </row>
    <row r="14" ht="23.1" customHeight="1" spans="1:10">
      <c r="A14" s="508" t="s">
        <v>247</v>
      </c>
      <c r="B14" s="509" t="s">
        <v>82</v>
      </c>
      <c r="C14" s="510">
        <v>0.407</v>
      </c>
      <c r="D14" s="511">
        <v>-67.1</v>
      </c>
      <c r="E14" s="512">
        <v>9.546</v>
      </c>
      <c r="F14" s="513">
        <v>12</v>
      </c>
      <c r="H14" s="507"/>
      <c r="J14" s="507"/>
    </row>
    <row r="15" ht="23.1" customHeight="1" spans="1:10">
      <c r="A15" s="508" t="s">
        <v>248</v>
      </c>
      <c r="B15" s="509" t="s">
        <v>82</v>
      </c>
      <c r="C15" s="510">
        <v>0</v>
      </c>
      <c r="D15" s="511">
        <v>0</v>
      </c>
      <c r="E15" s="512">
        <v>0.2624</v>
      </c>
      <c r="F15" s="513">
        <v>-78</v>
      </c>
      <c r="H15" s="507"/>
      <c r="J15" s="507"/>
    </row>
    <row r="16" ht="23.1" customHeight="1" spans="1:10">
      <c r="A16" s="514" t="s">
        <v>249</v>
      </c>
      <c r="B16" s="509" t="s">
        <v>82</v>
      </c>
      <c r="C16" s="510">
        <v>0.0788</v>
      </c>
      <c r="D16" s="511">
        <v>18.3</v>
      </c>
      <c r="E16" s="512">
        <v>0.8661</v>
      </c>
      <c r="F16" s="513">
        <v>-2.8</v>
      </c>
      <c r="H16" s="507"/>
      <c r="J16" s="507"/>
    </row>
    <row r="17" ht="23.1" customHeight="1" spans="1:10">
      <c r="A17" s="508" t="s">
        <v>250</v>
      </c>
      <c r="B17" s="509" t="s">
        <v>251</v>
      </c>
      <c r="C17" s="515">
        <v>125</v>
      </c>
      <c r="D17" s="511">
        <v>1036.4</v>
      </c>
      <c r="E17" s="516">
        <v>534</v>
      </c>
      <c r="F17" s="513">
        <v>-75.3</v>
      </c>
      <c r="H17" s="507"/>
      <c r="J17" s="507"/>
    </row>
    <row r="18" ht="23.1" customHeight="1" spans="1:10">
      <c r="A18" s="508" t="s">
        <v>252</v>
      </c>
      <c r="B18" s="509" t="s">
        <v>253</v>
      </c>
      <c r="C18" s="510">
        <v>0.5292</v>
      </c>
      <c r="D18" s="511">
        <v>143.1</v>
      </c>
      <c r="E18" s="512">
        <v>9.2803</v>
      </c>
      <c r="F18" s="513">
        <v>-37.6</v>
      </c>
      <c r="H18" s="507"/>
      <c r="J18" s="507"/>
    </row>
    <row r="19" ht="23.1" customHeight="1" spans="1:10">
      <c r="A19" s="508" t="s">
        <v>254</v>
      </c>
      <c r="B19" s="509" t="s">
        <v>255</v>
      </c>
      <c r="C19" s="510">
        <v>1191.9507</v>
      </c>
      <c r="D19" s="511">
        <v>12.6</v>
      </c>
      <c r="E19" s="512">
        <v>9433.3047</v>
      </c>
      <c r="F19" s="513">
        <v>-5.5</v>
      </c>
      <c r="H19" s="507"/>
      <c r="J19" s="507"/>
    </row>
    <row r="20" ht="23.1" customHeight="1" spans="1:10">
      <c r="A20" s="508" t="s">
        <v>256</v>
      </c>
      <c r="B20" s="509" t="s">
        <v>257</v>
      </c>
      <c r="C20" s="510">
        <v>17.9446</v>
      </c>
      <c r="D20" s="511">
        <v>57.7</v>
      </c>
      <c r="E20" s="512">
        <v>181.8452</v>
      </c>
      <c r="F20" s="513">
        <v>40.6</v>
      </c>
      <c r="G20" s="154"/>
      <c r="H20" s="517"/>
      <c r="J20" s="507"/>
    </row>
    <row r="21" ht="23.1" customHeight="1" spans="1:10">
      <c r="A21" s="508" t="s">
        <v>258</v>
      </c>
      <c r="B21" s="509" t="s">
        <v>32</v>
      </c>
      <c r="C21" s="510">
        <v>21.3868</v>
      </c>
      <c r="D21" s="511">
        <v>13.4</v>
      </c>
      <c r="E21" s="512">
        <v>212.8369</v>
      </c>
      <c r="F21" s="513">
        <v>1.3</v>
      </c>
      <c r="G21" s="154"/>
      <c r="H21" s="507"/>
      <c r="J21" s="507"/>
    </row>
    <row r="22" ht="23.1" customHeight="1" spans="1:10">
      <c r="A22" s="518" t="s">
        <v>259</v>
      </c>
      <c r="B22" s="519" t="s">
        <v>32</v>
      </c>
      <c r="C22" s="520">
        <v>10.6584</v>
      </c>
      <c r="D22" s="521">
        <v>13.7</v>
      </c>
      <c r="E22" s="522">
        <v>136.7243</v>
      </c>
      <c r="F22" s="523">
        <v>11.9</v>
      </c>
      <c r="G22" s="154"/>
      <c r="H22" s="507"/>
      <c r="J22" s="507"/>
    </row>
    <row r="23" spans="1:10">
      <c r="A23" s="463"/>
      <c r="B23" s="463"/>
      <c r="C23" s="463"/>
      <c r="D23" s="463"/>
      <c r="E23" s="463"/>
      <c r="F23" s="463"/>
    </row>
  </sheetData>
  <mergeCells count="1">
    <mergeCell ref="A1:F1"/>
  </mergeCells>
  <pageMargins left="0.75" right="0.75" top="1" bottom="1" header="0.5" footer="0.5"/>
  <pageSetup paperSize="9" orientation="portrait"/>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C15"/>
  <sheetViews>
    <sheetView workbookViewId="0">
      <selection activeCell="E12" sqref="E12"/>
    </sheetView>
  </sheetViews>
  <sheetFormatPr defaultColWidth="9" defaultRowHeight="14.25" outlineLevelCol="2"/>
  <cols>
    <col min="1" max="1" width="46.25" style="491" customWidth="1"/>
    <col min="2" max="3" width="14.5" style="492" customWidth="1"/>
    <col min="4" max="16384" width="9" style="491"/>
  </cols>
  <sheetData>
    <row r="1" ht="28.5" customHeight="1" spans="1:3">
      <c r="A1" s="437" t="s">
        <v>260</v>
      </c>
      <c r="B1" s="438"/>
      <c r="C1" s="438"/>
    </row>
    <row r="2" ht="20" customHeight="1" spans="1:3">
      <c r="A2" s="493"/>
      <c r="B2" s="234" t="s">
        <v>261</v>
      </c>
      <c r="C2" s="234"/>
    </row>
    <row r="3" ht="40.5" customHeight="1" spans="1:3">
      <c r="A3" s="494" t="s">
        <v>53</v>
      </c>
      <c r="B3" s="90" t="s">
        <v>54</v>
      </c>
      <c r="C3" s="495" t="s">
        <v>6</v>
      </c>
    </row>
    <row r="4" s="490" customFormat="1" ht="30" customHeight="1" spans="1:3">
      <c r="A4" s="496" t="s">
        <v>262</v>
      </c>
      <c r="B4" s="497">
        <v>1130.62</v>
      </c>
      <c r="C4" s="103">
        <v>-1.6</v>
      </c>
    </row>
    <row r="5" s="490" customFormat="1" ht="30" customHeight="1" spans="1:3">
      <c r="A5" s="496" t="s">
        <v>263</v>
      </c>
      <c r="B5" s="497">
        <v>51.04</v>
      </c>
      <c r="C5" s="103">
        <v>14.4</v>
      </c>
    </row>
    <row r="6" ht="30" customHeight="1" spans="1:3">
      <c r="A6" s="496" t="s">
        <v>264</v>
      </c>
      <c r="B6" s="497">
        <v>847.91</v>
      </c>
      <c r="C6" s="103">
        <v>-2.7</v>
      </c>
    </row>
    <row r="7" ht="30" customHeight="1" spans="1:3">
      <c r="A7" s="498" t="s">
        <v>265</v>
      </c>
      <c r="B7" s="497">
        <v>231.67</v>
      </c>
      <c r="C7" s="103">
        <v>-0.5</v>
      </c>
    </row>
    <row r="8" ht="30" customHeight="1" spans="1:3">
      <c r="A8" s="498" t="s">
        <v>266</v>
      </c>
      <c r="B8" s="497">
        <v>943.29</v>
      </c>
      <c r="C8" s="103">
        <v>-1.3</v>
      </c>
    </row>
    <row r="9" ht="30" customHeight="1" spans="1:3">
      <c r="A9" s="498" t="s">
        <v>267</v>
      </c>
      <c r="B9" s="497">
        <v>66.39</v>
      </c>
      <c r="C9" s="103">
        <v>-18.7</v>
      </c>
    </row>
    <row r="10" ht="30" customHeight="1" spans="1:3">
      <c r="A10" s="498" t="s">
        <v>268</v>
      </c>
      <c r="B10" s="497">
        <v>3.34</v>
      </c>
      <c r="C10" s="103">
        <v>2.1</v>
      </c>
    </row>
    <row r="11" ht="30" customHeight="1" spans="1:3">
      <c r="A11" s="498" t="s">
        <v>269</v>
      </c>
      <c r="B11" s="497">
        <v>39.83</v>
      </c>
      <c r="C11" s="103">
        <v>6</v>
      </c>
    </row>
    <row r="12" ht="30" customHeight="1" spans="1:3">
      <c r="A12" s="498" t="s">
        <v>270</v>
      </c>
      <c r="B12" s="497">
        <v>603.4</v>
      </c>
      <c r="C12" s="103">
        <v>0.3</v>
      </c>
    </row>
    <row r="13" ht="30" customHeight="1" spans="1:3">
      <c r="A13" s="499" t="s">
        <v>271</v>
      </c>
      <c r="B13" s="497">
        <v>0.03</v>
      </c>
      <c r="C13" s="103">
        <v>-63.3</v>
      </c>
    </row>
    <row r="14" ht="30" customHeight="1" spans="1:3">
      <c r="A14" s="499" t="s">
        <v>272</v>
      </c>
      <c r="B14" s="500">
        <v>230.31</v>
      </c>
      <c r="C14" s="242">
        <v>-0.5</v>
      </c>
    </row>
    <row r="15" ht="32.1" customHeight="1" spans="1:3">
      <c r="A15" s="501" t="s">
        <v>273</v>
      </c>
      <c r="B15" s="501"/>
      <c r="C15" s="502"/>
    </row>
  </sheetData>
  <mergeCells count="3">
    <mergeCell ref="A1:C1"/>
    <mergeCell ref="B2:C2"/>
    <mergeCell ref="A15:C15"/>
  </mergeCells>
  <pageMargins left="0.75" right="0.75" top="1" bottom="1" header="0.5" footer="0.5"/>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zoomScaleSheetLayoutView="80" workbookViewId="0">
      <selection activeCell="H16" sqref="H16"/>
    </sheetView>
  </sheetViews>
  <sheetFormatPr defaultColWidth="9" defaultRowHeight="14.25" outlineLevelCol="5"/>
  <cols>
    <col min="1" max="1" width="28" style="43" customWidth="1"/>
    <col min="2" max="6" width="9.125" style="43" customWidth="1"/>
    <col min="7" max="16384" width="9" style="43"/>
  </cols>
  <sheetData>
    <row r="1" ht="28.5" customHeight="1" spans="1:6">
      <c r="A1" s="644" t="s">
        <v>0</v>
      </c>
      <c r="B1" s="644"/>
      <c r="C1" s="644"/>
      <c r="D1" s="644"/>
      <c r="E1" s="644"/>
      <c r="F1" s="644"/>
    </row>
    <row r="2" ht="20" customHeight="1" spans="1:6">
      <c r="A2" s="645" t="s">
        <v>1</v>
      </c>
      <c r="B2" s="646" t="s">
        <v>2</v>
      </c>
      <c r="C2" s="647" t="s">
        <v>3</v>
      </c>
      <c r="D2" s="656"/>
      <c r="E2" s="647" t="s">
        <v>4</v>
      </c>
      <c r="F2" s="648"/>
    </row>
    <row r="3" ht="20" customHeight="1" spans="1:6">
      <c r="A3" s="649"/>
      <c r="B3" s="650"/>
      <c r="C3" s="649" t="s">
        <v>5</v>
      </c>
      <c r="D3" s="649" t="s">
        <v>6</v>
      </c>
      <c r="E3" s="649" t="s">
        <v>5</v>
      </c>
      <c r="F3" s="651" t="s">
        <v>6</v>
      </c>
    </row>
    <row r="4" ht="23.1" customHeight="1" spans="1:6">
      <c r="A4" s="652" t="s">
        <v>7</v>
      </c>
      <c r="B4" s="473" t="s">
        <v>8</v>
      </c>
      <c r="C4" s="654">
        <v>3064.71972710399</v>
      </c>
      <c r="D4" s="383">
        <v>4.00000098264783</v>
      </c>
      <c r="E4" s="657" t="s">
        <v>9</v>
      </c>
      <c r="F4" s="658" t="s">
        <v>9</v>
      </c>
    </row>
    <row r="5" ht="23.1" customHeight="1" spans="1:6">
      <c r="A5" s="652" t="s">
        <v>10</v>
      </c>
      <c r="B5" s="473" t="s">
        <v>8</v>
      </c>
      <c r="C5" s="654">
        <v>2282.37</v>
      </c>
      <c r="D5" s="383">
        <v>-0.1</v>
      </c>
      <c r="E5" s="654">
        <v>2041.93</v>
      </c>
      <c r="F5" s="383">
        <v>-1.3</v>
      </c>
    </row>
    <row r="6" ht="23.1" customHeight="1" spans="1:6">
      <c r="A6" s="652" t="s">
        <v>11</v>
      </c>
      <c r="B6" s="473" t="s">
        <v>8</v>
      </c>
      <c r="C6" s="654">
        <v>727.66</v>
      </c>
      <c r="D6" s="383">
        <v>-0.3</v>
      </c>
      <c r="E6" s="654">
        <v>651.72</v>
      </c>
      <c r="F6" s="383">
        <v>-1.2</v>
      </c>
    </row>
    <row r="7" ht="23.1" customHeight="1" spans="1:6">
      <c r="A7" s="652" t="s">
        <v>12</v>
      </c>
      <c r="B7" s="473" t="s">
        <v>8</v>
      </c>
      <c r="C7" s="653"/>
      <c r="D7" s="383">
        <v>-2.3</v>
      </c>
      <c r="E7" s="654"/>
      <c r="F7" s="383">
        <v>2.5</v>
      </c>
    </row>
    <row r="8" ht="23.1" customHeight="1" spans="1:6">
      <c r="A8" s="652" t="s">
        <v>13</v>
      </c>
      <c r="B8" s="473" t="s">
        <v>8</v>
      </c>
      <c r="C8" s="653"/>
      <c r="D8" s="383">
        <v>0.4</v>
      </c>
      <c r="E8" s="654"/>
      <c r="F8" s="383">
        <v>6</v>
      </c>
    </row>
    <row r="9" ht="23.1" customHeight="1" spans="1:6">
      <c r="A9" s="652" t="s">
        <v>14</v>
      </c>
      <c r="B9" s="473" t="s">
        <v>15</v>
      </c>
      <c r="C9" s="654">
        <v>529.95</v>
      </c>
      <c r="D9" s="383">
        <v>-3.2</v>
      </c>
      <c r="E9" s="654">
        <v>477.25</v>
      </c>
      <c r="F9" s="383">
        <v>0.8</v>
      </c>
    </row>
    <row r="10" ht="23.1" customHeight="1" spans="1:6">
      <c r="A10" s="652" t="s">
        <v>16</v>
      </c>
      <c r="B10" s="473" t="s">
        <v>8</v>
      </c>
      <c r="C10" s="654">
        <v>1839.5</v>
      </c>
      <c r="D10" s="383">
        <v>8.4</v>
      </c>
      <c r="E10" s="654">
        <v>1680.16</v>
      </c>
      <c r="F10" s="383">
        <v>8.5</v>
      </c>
    </row>
    <row r="11" ht="23.1" customHeight="1" spans="1:6">
      <c r="A11" s="652" t="s">
        <v>17</v>
      </c>
      <c r="B11" s="473" t="s">
        <v>8</v>
      </c>
      <c r="C11" s="654">
        <v>131.26</v>
      </c>
      <c r="D11" s="383">
        <v>7.7</v>
      </c>
      <c r="E11" s="654">
        <v>113.99</v>
      </c>
      <c r="F11" s="383">
        <v>5.7</v>
      </c>
    </row>
    <row r="12" ht="23.1" customHeight="1" spans="1:6">
      <c r="A12" s="652" t="s">
        <v>18</v>
      </c>
      <c r="B12" s="473" t="s">
        <v>8</v>
      </c>
      <c r="C12" s="654">
        <v>507.03</v>
      </c>
      <c r="D12" s="383">
        <v>6.3</v>
      </c>
      <c r="E12" s="654">
        <v>439.19</v>
      </c>
      <c r="F12" s="383">
        <v>7.4</v>
      </c>
    </row>
    <row r="13" ht="23.1" customHeight="1" spans="1:6">
      <c r="A13" s="652" t="s">
        <v>19</v>
      </c>
      <c r="B13" s="473" t="s">
        <v>8</v>
      </c>
      <c r="C13" s="654">
        <v>511.61</v>
      </c>
      <c r="D13" s="383">
        <v>0.35</v>
      </c>
      <c r="E13" s="654">
        <v>477.41</v>
      </c>
      <c r="F13" s="383">
        <v>-0.5</v>
      </c>
    </row>
    <row r="14" ht="23.1" customHeight="1" spans="1:6">
      <c r="A14" s="652" t="s">
        <v>20</v>
      </c>
      <c r="B14" s="473" t="s">
        <v>8</v>
      </c>
      <c r="C14" s="662" t="s">
        <v>9</v>
      </c>
      <c r="D14" s="658" t="s">
        <v>9</v>
      </c>
      <c r="E14" s="654">
        <v>373.1906</v>
      </c>
      <c r="F14" s="383">
        <v>10.1</v>
      </c>
    </row>
    <row r="15" ht="23.1" customHeight="1" spans="1:6">
      <c r="A15" s="652" t="s">
        <v>21</v>
      </c>
      <c r="B15" s="473" t="s">
        <v>8</v>
      </c>
      <c r="C15" s="662" t="s">
        <v>9</v>
      </c>
      <c r="D15" s="658" t="s">
        <v>9</v>
      </c>
      <c r="E15" s="654">
        <v>190.6204</v>
      </c>
      <c r="F15" s="383">
        <v>5.4</v>
      </c>
    </row>
    <row r="16" ht="23.1" customHeight="1" spans="1:6">
      <c r="A16" s="652" t="s">
        <v>22</v>
      </c>
      <c r="B16" s="473" t="s">
        <v>8</v>
      </c>
      <c r="C16" s="657" t="s">
        <v>9</v>
      </c>
      <c r="D16" s="658" t="s">
        <v>9</v>
      </c>
      <c r="E16" s="654">
        <v>182.5702</v>
      </c>
      <c r="F16" s="383">
        <v>15.4</v>
      </c>
    </row>
    <row r="17" ht="23.1" customHeight="1" spans="1:6">
      <c r="A17" s="652" t="s">
        <v>23</v>
      </c>
      <c r="B17" s="473" t="s">
        <v>24</v>
      </c>
      <c r="C17" s="660">
        <v>23577</v>
      </c>
      <c r="D17" s="383">
        <v>237.7</v>
      </c>
      <c r="E17" s="653">
        <v>22808</v>
      </c>
      <c r="F17" s="383">
        <v>303</v>
      </c>
    </row>
    <row r="18" ht="23.1" customHeight="1" spans="1:6">
      <c r="A18" s="652" t="s">
        <v>25</v>
      </c>
      <c r="B18" s="473" t="s">
        <v>8</v>
      </c>
      <c r="C18" s="654">
        <v>3651.54</v>
      </c>
      <c r="D18" s="383">
        <v>9.2</v>
      </c>
      <c r="E18" s="654">
        <v>3668.13</v>
      </c>
      <c r="F18" s="383">
        <v>10.6</v>
      </c>
    </row>
    <row r="19" ht="23.1" customHeight="1" spans="1:6">
      <c r="A19" s="652" t="s">
        <v>26</v>
      </c>
      <c r="B19" s="473" t="s">
        <v>8</v>
      </c>
      <c r="C19" s="654">
        <v>2339.16</v>
      </c>
      <c r="D19" s="383">
        <v>9.9</v>
      </c>
      <c r="E19" s="654">
        <v>2328.99</v>
      </c>
      <c r="F19" s="383">
        <v>10.1</v>
      </c>
    </row>
    <row r="20" ht="23.1" customHeight="1" spans="1:6">
      <c r="A20" s="652" t="s">
        <v>27</v>
      </c>
      <c r="B20" s="473" t="s">
        <v>8</v>
      </c>
      <c r="C20" s="654">
        <v>2508.25</v>
      </c>
      <c r="D20" s="383">
        <v>15.9</v>
      </c>
      <c r="E20" s="653">
        <v>2487.57</v>
      </c>
      <c r="F20" s="383">
        <v>15.2</v>
      </c>
    </row>
    <row r="21" ht="23.1" customHeight="1" spans="1:6">
      <c r="A21" s="652" t="s">
        <v>28</v>
      </c>
      <c r="B21" s="473" t="s">
        <v>29</v>
      </c>
      <c r="C21" s="383">
        <v>103.4</v>
      </c>
      <c r="D21" s="383">
        <v>3.4</v>
      </c>
      <c r="E21" s="383">
        <v>103.2</v>
      </c>
      <c r="F21" s="383">
        <v>3.2</v>
      </c>
    </row>
    <row r="22" ht="23.1" customHeight="1" spans="1:6">
      <c r="A22" s="652" t="s">
        <v>30</v>
      </c>
      <c r="B22" s="473" t="s">
        <v>29</v>
      </c>
      <c r="C22" s="383">
        <v>99.7</v>
      </c>
      <c r="D22" s="383">
        <v>-0.3</v>
      </c>
      <c r="E22" s="383">
        <v>99.6</v>
      </c>
      <c r="F22" s="383">
        <v>-0.4</v>
      </c>
    </row>
    <row r="23" ht="23.1" customHeight="1" spans="1:6">
      <c r="A23" s="652" t="s">
        <v>31</v>
      </c>
      <c r="B23" s="473" t="s">
        <v>32</v>
      </c>
      <c r="C23" s="654">
        <v>212.65</v>
      </c>
      <c r="D23" s="383">
        <v>8.26</v>
      </c>
      <c r="E23" s="654">
        <v>195.46</v>
      </c>
      <c r="F23" s="383">
        <v>8.4</v>
      </c>
    </row>
    <row r="24" ht="23.1" customHeight="1" spans="1:6">
      <c r="A24" s="652" t="s">
        <v>33</v>
      </c>
      <c r="B24" s="473" t="s">
        <v>32</v>
      </c>
      <c r="C24" s="458">
        <v>124.5773</v>
      </c>
      <c r="D24" s="661">
        <v>4.13</v>
      </c>
      <c r="E24" s="654">
        <v>113.71</v>
      </c>
      <c r="F24" s="383">
        <v>4</v>
      </c>
    </row>
    <row r="25" ht="18" customHeight="1" spans="1:6">
      <c r="A25" s="395" t="s">
        <v>34</v>
      </c>
      <c r="B25" s="395"/>
      <c r="C25" s="395"/>
      <c r="D25" s="395"/>
      <c r="E25" s="395"/>
      <c r="F25" s="395"/>
    </row>
  </sheetData>
  <mergeCells count="6">
    <mergeCell ref="A1:F1"/>
    <mergeCell ref="C2:D2"/>
    <mergeCell ref="E2:F2"/>
    <mergeCell ref="A25:F25"/>
    <mergeCell ref="A2:A3"/>
    <mergeCell ref="B2:B3"/>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G17"/>
  <sheetViews>
    <sheetView workbookViewId="0">
      <selection activeCell="G14" sqref="G14"/>
    </sheetView>
  </sheetViews>
  <sheetFormatPr defaultColWidth="9" defaultRowHeight="14.25" outlineLevelCol="6"/>
  <cols>
    <col min="1" max="1" width="29.75" style="43" customWidth="1"/>
    <col min="2" max="2" width="13.375" style="43" customWidth="1"/>
    <col min="3" max="3" width="12.875" style="43" customWidth="1"/>
    <col min="4" max="4" width="13.125" style="43" customWidth="1"/>
    <col min="5" max="16384" width="9" style="43"/>
  </cols>
  <sheetData>
    <row r="1" ht="28.5" customHeight="1" spans="1:7">
      <c r="A1" s="438" t="s">
        <v>274</v>
      </c>
      <c r="B1" s="438"/>
      <c r="C1" s="438"/>
      <c r="D1" s="438"/>
      <c r="E1" s="464"/>
      <c r="F1" s="465"/>
      <c r="G1" s="465"/>
    </row>
    <row r="2" ht="32.25" customHeight="1" spans="1:7">
      <c r="A2" s="401" t="s">
        <v>53</v>
      </c>
      <c r="B2" s="376" t="s">
        <v>119</v>
      </c>
      <c r="C2" s="376" t="s">
        <v>54</v>
      </c>
      <c r="D2" s="466" t="s">
        <v>6</v>
      </c>
      <c r="E2" s="467"/>
      <c r="F2" s="468"/>
      <c r="G2" s="468"/>
    </row>
    <row r="3" ht="30" customHeight="1" spans="1:7">
      <c r="A3" s="419" t="s">
        <v>275</v>
      </c>
      <c r="B3" s="469"/>
      <c r="C3" s="470"/>
      <c r="D3" s="471"/>
      <c r="E3" s="467"/>
      <c r="F3" s="468"/>
      <c r="G3" s="468"/>
    </row>
    <row r="4" ht="30" customHeight="1" spans="1:7">
      <c r="A4" s="472" t="s">
        <v>276</v>
      </c>
      <c r="B4" s="473" t="s">
        <v>82</v>
      </c>
      <c r="C4" s="474">
        <v>21569.5341</v>
      </c>
      <c r="D4" s="475">
        <v>-1</v>
      </c>
      <c r="E4" s="467"/>
      <c r="F4" s="468"/>
      <c r="G4" s="468"/>
    </row>
    <row r="5" ht="30" customHeight="1" spans="1:7">
      <c r="A5" s="472" t="s">
        <v>277</v>
      </c>
      <c r="B5" s="473" t="s">
        <v>278</v>
      </c>
      <c r="C5" s="476">
        <v>111.5308</v>
      </c>
      <c r="D5" s="475">
        <v>10.3</v>
      </c>
      <c r="E5" s="51"/>
    </row>
    <row r="6" s="51" customFormat="1" ht="30" customHeight="1" spans="1:7">
      <c r="A6" s="417" t="s">
        <v>279</v>
      </c>
      <c r="B6" s="477"/>
      <c r="C6" s="478"/>
      <c r="D6" s="475"/>
    </row>
    <row r="7" ht="30" customHeight="1" spans="1:7">
      <c r="A7" s="425" t="s">
        <v>280</v>
      </c>
      <c r="B7" s="473"/>
      <c r="C7" s="478"/>
      <c r="D7" s="475"/>
      <c r="E7" s="479"/>
    </row>
    <row r="8" ht="30" customHeight="1" spans="1:7">
      <c r="A8" s="425" t="s">
        <v>281</v>
      </c>
      <c r="B8" s="473" t="s">
        <v>282</v>
      </c>
      <c r="C8" s="480">
        <v>1.69212088753358</v>
      </c>
      <c r="D8" s="481">
        <v>15.6467236475582</v>
      </c>
      <c r="E8" s="482"/>
    </row>
    <row r="9" ht="30" customHeight="1" spans="1:7">
      <c r="A9" s="425" t="s">
        <v>283</v>
      </c>
      <c r="B9" s="473" t="s">
        <v>284</v>
      </c>
      <c r="C9" s="480">
        <v>376.906352801659</v>
      </c>
      <c r="D9" s="481">
        <v>7.17717798530026</v>
      </c>
      <c r="E9" s="51"/>
    </row>
    <row r="10" ht="30" customHeight="1" spans="1:7">
      <c r="A10" s="425" t="s">
        <v>285</v>
      </c>
      <c r="B10" s="473" t="s">
        <v>134</v>
      </c>
      <c r="C10" s="483">
        <v>8691.09755282158</v>
      </c>
      <c r="D10" s="481">
        <v>3.18108490079814</v>
      </c>
      <c r="E10" s="484"/>
    </row>
    <row r="11" ht="30" customHeight="1" spans="1:7">
      <c r="A11" s="425" t="s">
        <v>286</v>
      </c>
      <c r="B11" s="473" t="s">
        <v>287</v>
      </c>
      <c r="C11" s="480">
        <v>103.472152635651</v>
      </c>
      <c r="D11" s="481">
        <v>10.8627039304715</v>
      </c>
      <c r="E11" s="485"/>
    </row>
    <row r="12" ht="30" customHeight="1" spans="1:7">
      <c r="A12" s="425" t="s">
        <v>288</v>
      </c>
      <c r="B12" s="477"/>
      <c r="C12" s="486"/>
      <c r="D12" s="475"/>
      <c r="E12" s="479"/>
    </row>
    <row r="13" ht="30" customHeight="1" spans="1:7">
      <c r="A13" s="425" t="s">
        <v>281</v>
      </c>
      <c r="B13" s="473" t="s">
        <v>82</v>
      </c>
      <c r="C13" s="483">
        <v>5254.7668547</v>
      </c>
      <c r="D13" s="475">
        <v>22.2891983872469</v>
      </c>
      <c r="E13" s="482"/>
    </row>
    <row r="14" ht="30" customHeight="1" spans="1:7">
      <c r="A14" s="425" t="s">
        <v>283</v>
      </c>
      <c r="B14" s="473" t="s">
        <v>284</v>
      </c>
      <c r="C14" s="474">
        <v>219.05880004857</v>
      </c>
      <c r="D14" s="475">
        <v>-8.7291888417135</v>
      </c>
      <c r="E14" s="479"/>
    </row>
    <row r="15" ht="30" customHeight="1" spans="1:7">
      <c r="A15" s="425" t="s">
        <v>285</v>
      </c>
      <c r="B15" s="473" t="s">
        <v>134</v>
      </c>
      <c r="C15" s="483">
        <v>748.6812</v>
      </c>
      <c r="D15" s="475">
        <v>-1.87664482306684</v>
      </c>
      <c r="E15" s="482"/>
    </row>
    <row r="16" ht="30" customHeight="1" spans="1:7">
      <c r="A16" s="391" t="s">
        <v>286</v>
      </c>
      <c r="B16" s="487" t="s">
        <v>287</v>
      </c>
      <c r="C16" s="488">
        <v>2.03871177904</v>
      </c>
      <c r="D16" s="489">
        <v>-1.03821275472065</v>
      </c>
      <c r="E16" s="485"/>
    </row>
    <row r="17" spans="1:4">
      <c r="A17" s="122"/>
      <c r="B17" s="122"/>
      <c r="C17" s="122"/>
      <c r="D17" s="122"/>
    </row>
  </sheetData>
  <mergeCells count="1">
    <mergeCell ref="A1:D1"/>
  </mergeCells>
  <printOptions horizontalCentered="1"/>
  <pageMargins left="0.75" right="0.75" top="0.98" bottom="0.98" header="0.51" footer="0.51"/>
  <pageSetup paperSize="9" orientation="portrait" blackAndWhite="1"/>
  <headerFooter alignWithMargins="0" scaleWithDoc="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I25"/>
  <sheetViews>
    <sheetView workbookViewId="0">
      <selection activeCell="E22" sqref="E22"/>
    </sheetView>
  </sheetViews>
  <sheetFormatPr defaultColWidth="9" defaultRowHeight="14.25"/>
  <cols>
    <col min="1" max="1" width="41.875" style="435" customWidth="1"/>
    <col min="2" max="2" width="11.875" style="435" customWidth="1"/>
    <col min="3" max="4" width="14.5" style="436" customWidth="1"/>
    <col min="5" max="5" width="12.625" style="435" customWidth="1"/>
    <col min="6" max="9" width="14.125" style="435" customWidth="1"/>
    <col min="10" max="16384" width="9" style="435"/>
  </cols>
  <sheetData>
    <row r="1" ht="28.5" customHeight="1" spans="1:9">
      <c r="A1" s="437" t="s">
        <v>289</v>
      </c>
      <c r="B1" s="438"/>
      <c r="C1" s="84"/>
      <c r="D1" s="84"/>
    </row>
    <row r="2" ht="27" customHeight="1" spans="1:9">
      <c r="A2" s="420" t="s">
        <v>53</v>
      </c>
      <c r="B2" s="439" t="s">
        <v>2</v>
      </c>
      <c r="C2" s="376" t="s">
        <v>54</v>
      </c>
      <c r="D2" s="420" t="s">
        <v>6</v>
      </c>
    </row>
    <row r="3" s="434" customFormat="1" ht="21.95" customHeight="1" spans="1:9">
      <c r="A3" s="440" t="s">
        <v>290</v>
      </c>
      <c r="B3" s="441" t="s">
        <v>8</v>
      </c>
      <c r="C3" s="442"/>
      <c r="D3" s="381">
        <v>-2.3</v>
      </c>
      <c r="F3" s="443"/>
      <c r="G3" s="444"/>
    </row>
    <row r="4" ht="21.95" customHeight="1" spans="1:9">
      <c r="A4" s="440" t="s">
        <v>291</v>
      </c>
      <c r="B4" s="445" t="s">
        <v>8</v>
      </c>
      <c r="C4" s="446"/>
      <c r="D4" s="383">
        <v>-3.1</v>
      </c>
      <c r="F4" s="447"/>
      <c r="G4" s="448"/>
      <c r="I4" s="449"/>
    </row>
    <row r="5" ht="21.95" customHeight="1" spans="1:9">
      <c r="A5" s="450" t="s">
        <v>292</v>
      </c>
      <c r="B5" s="445" t="s">
        <v>8</v>
      </c>
      <c r="C5" s="446"/>
      <c r="D5" s="383">
        <v>4.6</v>
      </c>
      <c r="F5" s="451"/>
      <c r="G5" s="448"/>
      <c r="I5" s="449"/>
    </row>
    <row r="6" ht="21.95" customHeight="1" spans="1:9">
      <c r="A6" s="450" t="s">
        <v>293</v>
      </c>
      <c r="B6" s="445" t="s">
        <v>8</v>
      </c>
      <c r="C6" s="446"/>
      <c r="D6" s="383">
        <v>8.8</v>
      </c>
      <c r="E6" s="452"/>
      <c r="F6" s="452"/>
      <c r="G6" s="448"/>
      <c r="I6" s="449"/>
    </row>
    <row r="7" s="434" customFormat="1" ht="21.95" customHeight="1" spans="1:9">
      <c r="A7" s="440" t="s">
        <v>294</v>
      </c>
      <c r="B7" s="445" t="s">
        <v>8</v>
      </c>
      <c r="C7" s="446"/>
      <c r="D7" s="383">
        <v>0.4</v>
      </c>
      <c r="F7" s="443"/>
      <c r="G7" s="453"/>
    </row>
    <row r="8" s="434" customFormat="1" ht="21.95" customHeight="1" spans="1:9">
      <c r="A8" s="454" t="s">
        <v>295</v>
      </c>
      <c r="B8" s="445" t="s">
        <v>8</v>
      </c>
      <c r="C8" s="446"/>
      <c r="D8" s="383">
        <v>-4</v>
      </c>
      <c r="F8" s="447"/>
    </row>
    <row r="9" s="434" customFormat="1" ht="21.95" customHeight="1" spans="1:9">
      <c r="A9" s="454" t="s">
        <v>296</v>
      </c>
      <c r="B9" s="445" t="s">
        <v>8</v>
      </c>
      <c r="C9" s="446"/>
      <c r="D9" s="383">
        <v>43.8</v>
      </c>
      <c r="F9" s="447"/>
    </row>
    <row r="10" ht="21.95" customHeight="1" spans="1:9">
      <c r="A10" s="450" t="s">
        <v>297</v>
      </c>
      <c r="B10" s="445" t="s">
        <v>8</v>
      </c>
      <c r="C10" s="446"/>
      <c r="D10" s="383">
        <v>-0.2</v>
      </c>
      <c r="G10" s="449"/>
      <c r="I10" s="449"/>
    </row>
    <row r="11" ht="21.95" customHeight="1" spans="1:9">
      <c r="A11" s="450" t="s">
        <v>298</v>
      </c>
      <c r="B11" s="445" t="s">
        <v>8</v>
      </c>
      <c r="C11" s="446"/>
      <c r="D11" s="383">
        <v>-11.6</v>
      </c>
      <c r="G11" s="449"/>
      <c r="I11" s="449"/>
    </row>
    <row r="12" ht="21.95" customHeight="1" spans="1:9">
      <c r="A12" s="450" t="s">
        <v>299</v>
      </c>
      <c r="B12" s="445" t="s">
        <v>8</v>
      </c>
      <c r="C12" s="446"/>
      <c r="D12" s="383">
        <v>7.4</v>
      </c>
      <c r="G12" s="449"/>
      <c r="I12" s="449"/>
    </row>
    <row r="13" ht="21.95" customHeight="1" spans="1:9">
      <c r="A13" s="450" t="s">
        <v>300</v>
      </c>
      <c r="B13" s="445" t="s">
        <v>8</v>
      </c>
      <c r="C13" s="446"/>
      <c r="D13" s="383">
        <v>-54.2</v>
      </c>
      <c r="G13" s="449"/>
      <c r="I13" s="449"/>
    </row>
    <row r="14" ht="21.95" customHeight="1" spans="1:9">
      <c r="A14" s="454" t="s">
        <v>301</v>
      </c>
      <c r="B14" s="445" t="s">
        <v>8</v>
      </c>
      <c r="C14" s="446"/>
      <c r="D14" s="383">
        <v>-4.5</v>
      </c>
      <c r="G14" s="449"/>
      <c r="I14" s="449"/>
    </row>
    <row r="15" ht="21.95" customHeight="1" spans="1:9">
      <c r="A15" s="454" t="s">
        <v>302</v>
      </c>
      <c r="B15" s="445" t="s">
        <v>8</v>
      </c>
      <c r="C15" s="446"/>
      <c r="D15" s="383">
        <v>0.3</v>
      </c>
      <c r="G15" s="449"/>
      <c r="I15" s="449"/>
    </row>
    <row r="16" ht="21.95" customHeight="1" spans="1:9">
      <c r="A16" s="454" t="s">
        <v>303</v>
      </c>
      <c r="B16" s="455" t="s">
        <v>122</v>
      </c>
      <c r="C16" s="456">
        <v>918</v>
      </c>
      <c r="D16" s="383">
        <v>-6.6</v>
      </c>
      <c r="F16" s="457"/>
      <c r="G16" s="449"/>
      <c r="I16" s="449"/>
    </row>
    <row r="17" ht="21.95" customHeight="1" spans="1:9">
      <c r="A17" s="454" t="s">
        <v>304</v>
      </c>
      <c r="B17" s="455" t="s">
        <v>122</v>
      </c>
      <c r="C17" s="456">
        <v>282</v>
      </c>
      <c r="D17" s="383">
        <v>23.1</v>
      </c>
      <c r="G17" s="449"/>
      <c r="I17" s="449"/>
    </row>
    <row r="18" ht="21.95" customHeight="1" spans="1:9">
      <c r="A18" s="454" t="s">
        <v>305</v>
      </c>
      <c r="B18" s="455" t="s">
        <v>122</v>
      </c>
      <c r="C18" s="456">
        <v>230</v>
      </c>
      <c r="D18" s="383">
        <v>16.8</v>
      </c>
      <c r="G18" s="449"/>
      <c r="I18" s="449"/>
    </row>
    <row r="19" ht="21.95" customHeight="1" spans="1:9">
      <c r="A19" s="454" t="s">
        <v>306</v>
      </c>
      <c r="B19" s="455" t="s">
        <v>15</v>
      </c>
      <c r="C19" s="458">
        <v>3759.92</v>
      </c>
      <c r="D19" s="383">
        <v>19.8</v>
      </c>
      <c r="G19" s="449"/>
      <c r="I19" s="449"/>
    </row>
    <row r="20" ht="21.95" customHeight="1" spans="1:9">
      <c r="A20" s="454" t="s">
        <v>307</v>
      </c>
      <c r="B20" s="455" t="s">
        <v>15</v>
      </c>
      <c r="C20" s="458">
        <v>3517.04</v>
      </c>
      <c r="D20" s="383">
        <v>23.6</v>
      </c>
      <c r="G20" s="449"/>
      <c r="I20" s="449"/>
    </row>
    <row r="21" ht="21.95" customHeight="1" spans="1:9">
      <c r="A21" s="454" t="s">
        <v>308</v>
      </c>
      <c r="B21" s="455" t="s">
        <v>15</v>
      </c>
      <c r="C21" s="458">
        <v>150.27</v>
      </c>
      <c r="D21" s="383">
        <v>-53.8</v>
      </c>
    </row>
    <row r="22" ht="21.95" customHeight="1" spans="1:9">
      <c r="A22" s="454" t="s">
        <v>307</v>
      </c>
      <c r="B22" s="455" t="s">
        <v>15</v>
      </c>
      <c r="C22" s="458">
        <v>86.61</v>
      </c>
      <c r="D22" s="383">
        <v>-70.7</v>
      </c>
    </row>
    <row r="23" ht="21.95" customHeight="1" spans="1:9">
      <c r="A23" s="454" t="s">
        <v>309</v>
      </c>
      <c r="B23" s="455" t="s">
        <v>15</v>
      </c>
      <c r="C23" s="458">
        <v>529.95</v>
      </c>
      <c r="D23" s="383">
        <v>-3.2</v>
      </c>
    </row>
    <row r="24" ht="21.95" customHeight="1" spans="1:9">
      <c r="A24" s="459" t="s">
        <v>310</v>
      </c>
      <c r="B24" s="460" t="s">
        <v>8</v>
      </c>
      <c r="C24" s="461">
        <v>446.08</v>
      </c>
      <c r="D24" s="462">
        <v>0.9</v>
      </c>
    </row>
    <row r="25" spans="1:9">
      <c r="A25" s="463"/>
      <c r="B25" s="463"/>
    </row>
  </sheetData>
  <mergeCells count="1">
    <mergeCell ref="A1:D1"/>
  </mergeCells>
  <printOptions horizontalCentered="1"/>
  <pageMargins left="0.55" right="0.55" top="0.98" bottom="0.98" header="0.51" footer="0.51"/>
  <pageSetup paperSize="9" orientation="portrait" blackAndWhite="1" horizontalDpi="200" verticalDpi="300"/>
  <headerFooter alignWithMargins="0" scaleWithDoc="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C31"/>
  <sheetViews>
    <sheetView zoomScale="90" zoomScaleNormal="90" workbookViewId="0">
      <selection activeCell="G30" sqref="G30"/>
    </sheetView>
  </sheetViews>
  <sheetFormatPr defaultColWidth="9" defaultRowHeight="14.25" outlineLevelCol="2"/>
  <cols>
    <col min="1" max="1" width="43.5" style="43" customWidth="1"/>
    <col min="2" max="2" width="17.375" style="43" customWidth="1"/>
    <col min="3" max="3" width="17.125" style="43" customWidth="1"/>
    <col min="4" max="16384" width="9" style="43"/>
  </cols>
  <sheetData>
    <row r="1" ht="28.5" customHeight="1" spans="1:3">
      <c r="A1" s="84" t="s">
        <v>16</v>
      </c>
      <c r="B1" s="84"/>
      <c r="C1" s="84"/>
    </row>
    <row r="2" ht="21" customHeight="1" spans="1:3">
      <c r="A2" s="419"/>
      <c r="B2" s="399"/>
      <c r="C2" s="246" t="s">
        <v>52</v>
      </c>
    </row>
    <row r="3" ht="21.95" customHeight="1" spans="1:3">
      <c r="A3" s="420" t="s">
        <v>53</v>
      </c>
      <c r="B3" s="421" t="s">
        <v>54</v>
      </c>
      <c r="C3" s="421" t="s">
        <v>94</v>
      </c>
    </row>
    <row r="4" ht="18.95" customHeight="1" spans="1:3">
      <c r="A4" s="422" t="s">
        <v>311</v>
      </c>
      <c r="B4" s="423">
        <v>1839.4995</v>
      </c>
      <c r="C4" s="424">
        <v>8.4</v>
      </c>
    </row>
    <row r="5" ht="18.95" customHeight="1" spans="1:3">
      <c r="A5" s="425" t="s">
        <v>312</v>
      </c>
      <c r="B5" s="426"/>
      <c r="C5" s="427"/>
    </row>
    <row r="6" ht="18.95" customHeight="1" spans="1:3">
      <c r="A6" s="425" t="s">
        <v>313</v>
      </c>
      <c r="B6" s="426">
        <v>1489.2023</v>
      </c>
      <c r="C6" s="427">
        <v>8.1</v>
      </c>
    </row>
    <row r="7" ht="18.95" customHeight="1" spans="1:3">
      <c r="A7" s="425" t="s">
        <v>314</v>
      </c>
      <c r="B7" s="426">
        <v>350.2972</v>
      </c>
      <c r="C7" s="427">
        <v>9.5</v>
      </c>
    </row>
    <row r="8" ht="18.95" customHeight="1" spans="1:3">
      <c r="A8" s="425" t="s">
        <v>315</v>
      </c>
      <c r="B8" s="426"/>
      <c r="C8" s="427"/>
    </row>
    <row r="9" ht="18.95" customHeight="1" spans="1:3">
      <c r="A9" s="425" t="s">
        <v>316</v>
      </c>
      <c r="B9" s="426">
        <v>1631.6677</v>
      </c>
      <c r="C9" s="427">
        <v>8.5</v>
      </c>
    </row>
    <row r="10" ht="18.95" customHeight="1" spans="1:3">
      <c r="A10" s="425" t="s">
        <v>317</v>
      </c>
      <c r="B10" s="426">
        <v>207.8318</v>
      </c>
      <c r="C10" s="427">
        <v>7.5</v>
      </c>
    </row>
    <row r="11" ht="18.95" customHeight="1" spans="1:3">
      <c r="A11" s="428" t="s">
        <v>318</v>
      </c>
      <c r="B11" s="426">
        <v>231.6845</v>
      </c>
      <c r="C11" s="427">
        <v>2.3</v>
      </c>
    </row>
    <row r="12" ht="18.95" customHeight="1" spans="1:3">
      <c r="A12" s="425" t="s">
        <v>319</v>
      </c>
      <c r="B12" s="426">
        <v>40.5191</v>
      </c>
      <c r="C12" s="427">
        <v>13.6</v>
      </c>
    </row>
    <row r="13" ht="18.95" customHeight="1" spans="1:3">
      <c r="A13" s="425" t="s">
        <v>320</v>
      </c>
      <c r="B13" s="426">
        <v>3.2748</v>
      </c>
      <c r="C13" s="427">
        <v>3.7</v>
      </c>
    </row>
    <row r="14" ht="18.95" customHeight="1" spans="1:3">
      <c r="A14" s="425" t="s">
        <v>321</v>
      </c>
      <c r="B14" s="426">
        <v>1.7848</v>
      </c>
      <c r="C14" s="427">
        <v>19.8</v>
      </c>
    </row>
    <row r="15" ht="18.95" customHeight="1" spans="1:3">
      <c r="A15" s="425" t="s">
        <v>322</v>
      </c>
      <c r="B15" s="426">
        <v>1.9081</v>
      </c>
      <c r="C15" s="427">
        <v>9.3</v>
      </c>
    </row>
    <row r="16" ht="18.95" customHeight="1" spans="1:3">
      <c r="A16" s="429" t="s">
        <v>323</v>
      </c>
      <c r="B16" s="426">
        <v>8.1186</v>
      </c>
      <c r="C16" s="427">
        <v>16.7</v>
      </c>
    </row>
    <row r="17" ht="18.95" customHeight="1" spans="1:3">
      <c r="A17" s="430" t="s">
        <v>324</v>
      </c>
      <c r="B17" s="426">
        <v>1.128</v>
      </c>
      <c r="C17" s="427">
        <v>2.8</v>
      </c>
    </row>
    <row r="18" ht="18.95" customHeight="1" spans="1:3">
      <c r="A18" s="430" t="s">
        <v>325</v>
      </c>
      <c r="B18" s="426">
        <v>0.1217</v>
      </c>
      <c r="C18" s="427">
        <v>32.4</v>
      </c>
    </row>
    <row r="19" ht="18.95" customHeight="1" spans="1:3">
      <c r="A19" s="430" t="s">
        <v>326</v>
      </c>
      <c r="B19" s="426">
        <v>2.1994</v>
      </c>
      <c r="C19" s="427">
        <v>8.9</v>
      </c>
    </row>
    <row r="20" ht="18.95" customHeight="1" spans="1:3">
      <c r="A20" s="430" t="s">
        <v>327</v>
      </c>
      <c r="B20" s="426">
        <v>0.0339</v>
      </c>
      <c r="C20" s="427">
        <v>-39.9</v>
      </c>
    </row>
    <row r="21" ht="18.95" customHeight="1" spans="1:3">
      <c r="A21" s="430" t="s">
        <v>328</v>
      </c>
      <c r="B21" s="426">
        <v>12.6141</v>
      </c>
      <c r="C21" s="427">
        <v>12.2</v>
      </c>
    </row>
    <row r="22" ht="18.95" customHeight="1" spans="1:3">
      <c r="A22" s="430" t="s">
        <v>329</v>
      </c>
      <c r="B22" s="426">
        <v>12.2293</v>
      </c>
      <c r="C22" s="427">
        <v>23.6</v>
      </c>
    </row>
    <row r="23" ht="18.95" customHeight="1" spans="1:3">
      <c r="A23" s="430" t="s">
        <v>330</v>
      </c>
      <c r="B23" s="426">
        <v>1.5126</v>
      </c>
      <c r="C23" s="427">
        <v>-1.5</v>
      </c>
    </row>
    <row r="24" ht="18.95" customHeight="1" spans="1:3">
      <c r="A24" s="430" t="s">
        <v>331</v>
      </c>
      <c r="B24" s="426">
        <v>1.9698</v>
      </c>
      <c r="C24" s="427">
        <v>14.2</v>
      </c>
    </row>
    <row r="25" ht="18.95" customHeight="1" spans="1:3">
      <c r="A25" s="430" t="s">
        <v>332</v>
      </c>
      <c r="B25" s="426">
        <v>2.6285</v>
      </c>
      <c r="C25" s="427">
        <v>20.4</v>
      </c>
    </row>
    <row r="26" ht="18.95" customHeight="1" spans="1:3">
      <c r="A26" s="430" t="s">
        <v>333</v>
      </c>
      <c r="B26" s="426">
        <v>64.9074</v>
      </c>
      <c r="C26" s="427">
        <v>-9.2</v>
      </c>
    </row>
    <row r="27" ht="18.95" customHeight="1" spans="1:3">
      <c r="A27" s="430" t="s">
        <v>334</v>
      </c>
      <c r="B27" s="426">
        <v>0.9747</v>
      </c>
      <c r="C27" s="427">
        <v>8.5</v>
      </c>
    </row>
    <row r="28" ht="18.95" customHeight="1" spans="1:3">
      <c r="A28" s="430" t="s">
        <v>335</v>
      </c>
      <c r="B28" s="426">
        <v>2.2829</v>
      </c>
      <c r="C28" s="427">
        <v>63.8</v>
      </c>
    </row>
    <row r="29" ht="18.95" customHeight="1" spans="1:3">
      <c r="A29" s="430" t="s">
        <v>336</v>
      </c>
      <c r="B29" s="426">
        <v>68.9866</v>
      </c>
      <c r="C29" s="427">
        <v>-3.3</v>
      </c>
    </row>
    <row r="30" ht="18.95" customHeight="1" spans="1:3">
      <c r="A30" s="431" t="s">
        <v>337</v>
      </c>
      <c r="B30" s="432">
        <v>4.4901</v>
      </c>
      <c r="C30" s="433">
        <v>78.3</v>
      </c>
    </row>
    <row r="31" spans="1:3">
      <c r="A31"/>
      <c r="B31"/>
      <c r="C31"/>
    </row>
  </sheetData>
  <mergeCells count="1">
    <mergeCell ref="A1:C1"/>
  </mergeCells>
  <pageMargins left="0.75" right="0.55" top="0.59" bottom="0.79" header="0.51" footer="0.51"/>
  <pageSetup paperSize="9" scale="111" orientation="portrait"/>
  <headerFooter alignWithMargins="0" scaleWithDoc="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C28"/>
  <sheetViews>
    <sheetView workbookViewId="0">
      <selection activeCell="F22" sqref="F22"/>
    </sheetView>
  </sheetViews>
  <sheetFormatPr defaultColWidth="9" defaultRowHeight="14.25" outlineLevelCol="2"/>
  <cols>
    <col min="1" max="1" width="43.5" style="43" customWidth="1"/>
    <col min="2" max="2" width="13.5" style="398" customWidth="1"/>
    <col min="3" max="3" width="13.875" style="43" customWidth="1"/>
    <col min="4" max="16384" width="9" style="43"/>
  </cols>
  <sheetData>
    <row r="1" ht="28.5" customHeight="1" spans="1:3">
      <c r="A1" s="84" t="s">
        <v>338</v>
      </c>
      <c r="B1" s="84"/>
      <c r="C1" s="84"/>
    </row>
    <row r="2" ht="21" customHeight="1" spans="1:3">
      <c r="A2" s="399"/>
      <c r="B2" s="400"/>
      <c r="C2" s="246" t="s">
        <v>339</v>
      </c>
    </row>
    <row r="3" ht="32.1" customHeight="1" spans="1:3">
      <c r="A3" s="401" t="s">
        <v>53</v>
      </c>
      <c r="B3" s="376" t="s">
        <v>54</v>
      </c>
      <c r="C3" s="401" t="s">
        <v>340</v>
      </c>
    </row>
    <row r="4" ht="21.95" customHeight="1" spans="1:3">
      <c r="A4" s="382" t="s">
        <v>341</v>
      </c>
      <c r="B4" s="415">
        <v>131.2581</v>
      </c>
      <c r="C4" s="416">
        <v>7.7</v>
      </c>
    </row>
    <row r="5" ht="21.95" customHeight="1" spans="1:3">
      <c r="A5" s="382" t="s">
        <v>342</v>
      </c>
      <c r="B5" s="415">
        <v>92.1053</v>
      </c>
      <c r="C5" s="416">
        <v>2</v>
      </c>
    </row>
    <row r="6" ht="21.95" customHeight="1" spans="1:3">
      <c r="A6" s="382" t="s">
        <v>343</v>
      </c>
      <c r="B6" s="415">
        <v>31.8295</v>
      </c>
      <c r="C6" s="416">
        <v>-3.1</v>
      </c>
    </row>
    <row r="7" ht="21.95" customHeight="1" spans="1:3">
      <c r="A7" s="382" t="s">
        <v>344</v>
      </c>
      <c r="B7" s="415">
        <v>10.5792</v>
      </c>
      <c r="C7" s="416">
        <v>2.5</v>
      </c>
    </row>
    <row r="8" ht="21.95" customHeight="1" spans="1:3">
      <c r="A8" s="382" t="s">
        <v>345</v>
      </c>
      <c r="B8" s="415">
        <v>3.217</v>
      </c>
      <c r="C8" s="416">
        <v>-17.6</v>
      </c>
    </row>
    <row r="9" ht="21.95" customHeight="1" spans="1:3">
      <c r="A9" s="382" t="s">
        <v>346</v>
      </c>
      <c r="B9" s="415">
        <v>39.1528</v>
      </c>
      <c r="C9" s="416">
        <v>24</v>
      </c>
    </row>
    <row r="10" ht="21.95" customHeight="1" spans="1:3">
      <c r="A10" s="382" t="s">
        <v>347</v>
      </c>
      <c r="B10" s="415">
        <v>507.0251</v>
      </c>
      <c r="C10" s="416">
        <v>6.3</v>
      </c>
    </row>
    <row r="11" ht="21.95" customHeight="1" spans="1:3">
      <c r="A11" s="382" t="s">
        <v>348</v>
      </c>
      <c r="B11" s="415">
        <v>45.7858</v>
      </c>
      <c r="C11" s="416">
        <v>12.2</v>
      </c>
    </row>
    <row r="12" ht="21.95" customHeight="1" spans="1:3">
      <c r="A12" s="382" t="s">
        <v>349</v>
      </c>
      <c r="B12" s="415">
        <v>4.3686</v>
      </c>
      <c r="C12" s="416">
        <v>53.1</v>
      </c>
    </row>
    <row r="13" ht="21.95" customHeight="1" spans="1:3">
      <c r="A13" s="382" t="s">
        <v>350</v>
      </c>
      <c r="B13" s="415">
        <v>413.7675</v>
      </c>
      <c r="C13" s="416">
        <v>5</v>
      </c>
    </row>
    <row r="14" ht="21.95" customHeight="1" spans="1:3">
      <c r="A14" s="417" t="s">
        <v>351</v>
      </c>
      <c r="B14" s="415">
        <v>109.6508</v>
      </c>
      <c r="C14" s="416">
        <v>11.7</v>
      </c>
    </row>
    <row r="15" ht="21.95" customHeight="1" spans="1:3">
      <c r="A15" s="382" t="s">
        <v>352</v>
      </c>
      <c r="B15" s="415">
        <v>13.0825</v>
      </c>
      <c r="C15" s="416">
        <v>10.8</v>
      </c>
    </row>
    <row r="16" ht="21.95" customHeight="1" spans="1:3">
      <c r="A16" s="382" t="s">
        <v>353</v>
      </c>
      <c r="B16" s="415">
        <v>85.2916</v>
      </c>
      <c r="C16" s="416">
        <v>11.2</v>
      </c>
    </row>
    <row r="17" ht="21.95" customHeight="1" spans="1:3">
      <c r="A17" s="382" t="s">
        <v>354</v>
      </c>
      <c r="B17" s="415">
        <v>73.5761</v>
      </c>
      <c r="C17" s="416">
        <v>11.7</v>
      </c>
    </row>
    <row r="18" ht="21.95" customHeight="1" spans="1:3">
      <c r="A18" s="382" t="s">
        <v>355</v>
      </c>
      <c r="B18" s="415">
        <v>9.0969</v>
      </c>
      <c r="C18" s="416">
        <v>69.5</v>
      </c>
    </row>
    <row r="19" ht="21.95" customHeight="1" spans="1:3">
      <c r="A19" s="382" t="s">
        <v>356</v>
      </c>
      <c r="B19" s="415">
        <v>33.5947</v>
      </c>
      <c r="C19" s="416">
        <v>-22.7</v>
      </c>
    </row>
    <row r="20" ht="21.95" customHeight="1" spans="1:3">
      <c r="A20" s="382" t="s">
        <v>357</v>
      </c>
      <c r="B20" s="415">
        <v>55.1322</v>
      </c>
      <c r="C20" s="416">
        <v>-8.8</v>
      </c>
    </row>
    <row r="21" ht="21.95" customHeight="1" spans="1:3">
      <c r="A21" s="382" t="s">
        <v>358</v>
      </c>
      <c r="B21" s="415">
        <v>22.0845</v>
      </c>
      <c r="C21" s="416">
        <v>5.8</v>
      </c>
    </row>
    <row r="22" ht="21.95" customHeight="1" spans="1:3">
      <c r="A22" s="382" t="s">
        <v>359</v>
      </c>
      <c r="B22" s="415">
        <v>10.9606</v>
      </c>
      <c r="C22" s="416">
        <v>14.7</v>
      </c>
    </row>
    <row r="23" ht="21.95" customHeight="1" spans="1:3">
      <c r="A23" s="382" t="s">
        <v>360</v>
      </c>
      <c r="B23" s="415">
        <v>1.2976</v>
      </c>
      <c r="C23" s="418">
        <v>-36.7</v>
      </c>
    </row>
    <row r="24" ht="18" customHeight="1" spans="1:3">
      <c r="A24" s="395" t="s">
        <v>361</v>
      </c>
      <c r="B24" s="395"/>
      <c r="C24" s="395"/>
    </row>
    <row r="28" spans="1:3">
      <c r="A28" s="412"/>
      <c r="B28" s="413"/>
      <c r="C28" s="414"/>
    </row>
  </sheetData>
  <mergeCells count="2">
    <mergeCell ref="A1:C1"/>
    <mergeCell ref="A24:C24"/>
  </mergeCells>
  <printOptions horizontalCentered="1"/>
  <pageMargins left="0.75" right="0.75" top="0.98" bottom="0.98" header="0.51" footer="0.51"/>
  <pageSetup paperSize="9" orientation="portrait" blackAndWhite="1"/>
  <headerFooter alignWithMargins="0" scaleWithDoc="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C38"/>
  <sheetViews>
    <sheetView workbookViewId="0">
      <selection activeCell="E35" sqref="E35"/>
    </sheetView>
  </sheetViews>
  <sheetFormatPr defaultColWidth="9" defaultRowHeight="14.25" outlineLevelCol="2"/>
  <cols>
    <col min="1" max="1" width="42.875" style="43" customWidth="1"/>
    <col min="2" max="2" width="17.125" style="398" customWidth="1"/>
    <col min="3" max="3" width="13.875" style="43" customWidth="1"/>
    <col min="4" max="6" width="12.625" style="43" customWidth="1"/>
    <col min="7" max="16384" width="9" style="43"/>
  </cols>
  <sheetData>
    <row r="1" ht="28.5" customHeight="1" spans="1:3">
      <c r="A1" s="84" t="s">
        <v>362</v>
      </c>
      <c r="B1" s="84"/>
      <c r="C1" s="84"/>
    </row>
    <row r="2" ht="20.25" customHeight="1" spans="1:3">
      <c r="A2" s="399"/>
      <c r="B2" s="400"/>
      <c r="C2" s="246" t="s">
        <v>52</v>
      </c>
    </row>
    <row r="3" ht="23.1" customHeight="1" spans="1:3">
      <c r="A3" s="401" t="s">
        <v>53</v>
      </c>
      <c r="B3" s="402" t="s">
        <v>363</v>
      </c>
      <c r="C3" s="401" t="s">
        <v>6</v>
      </c>
    </row>
    <row r="4" ht="15" customHeight="1" spans="1:3">
      <c r="A4" s="403" t="s">
        <v>364</v>
      </c>
      <c r="B4" s="404">
        <v>3651.5406</v>
      </c>
      <c r="C4" s="405">
        <v>9.2</v>
      </c>
    </row>
    <row r="5" ht="15" customHeight="1" spans="1:3">
      <c r="A5" s="406" t="s">
        <v>365</v>
      </c>
      <c r="B5" s="407">
        <v>3646.7892</v>
      </c>
      <c r="C5" s="408">
        <v>9.2</v>
      </c>
    </row>
    <row r="6" ht="15" customHeight="1" spans="1:3">
      <c r="A6" s="409" t="s">
        <v>366</v>
      </c>
      <c r="B6" s="407">
        <v>2339.1567</v>
      </c>
      <c r="C6" s="408">
        <v>9.9</v>
      </c>
    </row>
    <row r="7" ht="15" customHeight="1" spans="1:3">
      <c r="A7" s="406" t="s">
        <v>367</v>
      </c>
      <c r="B7" s="407">
        <v>692.1569</v>
      </c>
      <c r="C7" s="408">
        <v>13.3</v>
      </c>
    </row>
    <row r="8" ht="15" customHeight="1" spans="1:3">
      <c r="A8" s="406" t="s">
        <v>368</v>
      </c>
      <c r="B8" s="407">
        <v>613.2693</v>
      </c>
      <c r="C8" s="408">
        <v>2.1</v>
      </c>
    </row>
    <row r="9" ht="15" customHeight="1" spans="1:3">
      <c r="A9" s="406" t="s">
        <v>369</v>
      </c>
      <c r="B9" s="407">
        <v>2.2063</v>
      </c>
      <c r="C9" s="408">
        <v>1338.7</v>
      </c>
    </row>
    <row r="10" ht="15" customHeight="1" spans="1:3">
      <c r="A10" s="406" t="s">
        <v>370</v>
      </c>
      <c r="B10" s="407">
        <v>4.7514</v>
      </c>
      <c r="C10" s="408">
        <v>13.4</v>
      </c>
    </row>
    <row r="11" ht="15" customHeight="1" spans="1:3">
      <c r="A11" s="410" t="s">
        <v>371</v>
      </c>
      <c r="B11" s="404">
        <v>2508.2496</v>
      </c>
      <c r="C11" s="405">
        <v>15.9</v>
      </c>
    </row>
    <row r="12" ht="15" customHeight="1" spans="1:3">
      <c r="A12" s="406" t="s">
        <v>372</v>
      </c>
      <c r="B12" s="407">
        <v>2506.7133</v>
      </c>
      <c r="C12" s="408">
        <v>15.9</v>
      </c>
    </row>
    <row r="13" ht="15" customHeight="1" spans="1:3">
      <c r="A13" s="409" t="s">
        <v>373</v>
      </c>
      <c r="B13" s="407">
        <v>1004.8457</v>
      </c>
      <c r="C13" s="408">
        <v>23.3</v>
      </c>
    </row>
    <row r="14" ht="15" customHeight="1" spans="1:3">
      <c r="A14" s="409" t="s">
        <v>374</v>
      </c>
      <c r="B14" s="407">
        <v>1501.8676</v>
      </c>
      <c r="C14" s="408">
        <v>11.4</v>
      </c>
    </row>
    <row r="15" ht="15" customHeight="1" spans="1:3">
      <c r="A15" s="409" t="s">
        <v>375</v>
      </c>
      <c r="B15" s="407">
        <v>0</v>
      </c>
      <c r="C15" s="408">
        <v>0</v>
      </c>
    </row>
    <row r="16" ht="15" customHeight="1" spans="1:3">
      <c r="A16" s="406" t="s">
        <v>376</v>
      </c>
      <c r="B16" s="407">
        <v>1.5363</v>
      </c>
      <c r="C16" s="408">
        <v>18.1</v>
      </c>
    </row>
    <row r="17" ht="15" customHeight="1" spans="1:3">
      <c r="A17" s="410" t="s">
        <v>377</v>
      </c>
      <c r="B17" s="404">
        <v>3637.294</v>
      </c>
      <c r="C17" s="405">
        <v>9.3</v>
      </c>
    </row>
    <row r="18" ht="15" customHeight="1" spans="1:3">
      <c r="A18" s="406" t="s">
        <v>365</v>
      </c>
      <c r="B18" s="407">
        <v>3632.6888</v>
      </c>
      <c r="C18" s="408">
        <v>9.3</v>
      </c>
    </row>
    <row r="19" ht="15" customHeight="1" spans="1:3">
      <c r="A19" s="409" t="s">
        <v>366</v>
      </c>
      <c r="B19" s="407">
        <v>2330.5798</v>
      </c>
      <c r="C19" s="408">
        <v>10</v>
      </c>
    </row>
    <row r="20" ht="15" customHeight="1" spans="1:3">
      <c r="A20" s="406" t="s">
        <v>378</v>
      </c>
      <c r="B20" s="407">
        <v>1236.9081</v>
      </c>
      <c r="C20" s="408">
        <v>8.6</v>
      </c>
    </row>
    <row r="21" ht="15" customHeight="1" spans="1:3">
      <c r="A21" s="406" t="s">
        <v>367</v>
      </c>
      <c r="B21" s="407">
        <v>686.7358</v>
      </c>
      <c r="C21" s="408">
        <v>13.9</v>
      </c>
    </row>
    <row r="22" ht="15" customHeight="1" spans="1:3">
      <c r="A22" s="406" t="s">
        <v>368</v>
      </c>
      <c r="B22" s="407">
        <v>613.2033</v>
      </c>
      <c r="C22" s="408">
        <v>2.1</v>
      </c>
    </row>
    <row r="23" ht="15" customHeight="1" spans="1:3">
      <c r="A23" s="406" t="s">
        <v>379</v>
      </c>
      <c r="B23" s="407">
        <v>567.7131</v>
      </c>
      <c r="C23" s="408">
        <v>5.1</v>
      </c>
    </row>
    <row r="24" ht="15" customHeight="1" spans="1:3">
      <c r="A24" s="406" t="s">
        <v>369</v>
      </c>
      <c r="B24" s="407">
        <v>2.17</v>
      </c>
      <c r="C24" s="408">
        <v>1747.2</v>
      </c>
    </row>
    <row r="25" ht="15" customHeight="1" spans="1:3">
      <c r="A25" s="406" t="s">
        <v>370</v>
      </c>
      <c r="B25" s="407">
        <v>4.6052</v>
      </c>
      <c r="C25" s="408">
        <v>13.6</v>
      </c>
    </row>
    <row r="26" ht="15" customHeight="1" spans="1:3">
      <c r="A26" s="410" t="s">
        <v>380</v>
      </c>
      <c r="B26" s="404">
        <v>2497.9291</v>
      </c>
      <c r="C26" s="405">
        <v>16.2</v>
      </c>
    </row>
    <row r="27" ht="15" customHeight="1" spans="1:3">
      <c r="A27" s="406" t="s">
        <v>372</v>
      </c>
      <c r="B27" s="407">
        <v>2496.3928</v>
      </c>
      <c r="C27" s="408">
        <v>16.2</v>
      </c>
    </row>
    <row r="28" ht="15" customHeight="1" spans="1:3">
      <c r="A28" s="409" t="s">
        <v>373</v>
      </c>
      <c r="B28" s="407">
        <v>1004.8071</v>
      </c>
      <c r="C28" s="408">
        <v>23.3</v>
      </c>
    </row>
    <row r="29" ht="15" customHeight="1" spans="1:3">
      <c r="A29" s="409" t="s">
        <v>381</v>
      </c>
      <c r="B29" s="407">
        <v>885.0724</v>
      </c>
      <c r="C29" s="408">
        <v>24.2</v>
      </c>
    </row>
    <row r="30" ht="15" customHeight="1" spans="1:3">
      <c r="A30" s="409" t="s">
        <v>374</v>
      </c>
      <c r="B30" s="407">
        <v>1491.5857</v>
      </c>
      <c r="C30" s="408">
        <v>11.9</v>
      </c>
    </row>
    <row r="31" ht="15" customHeight="1" spans="1:3">
      <c r="A31" s="409" t="s">
        <v>382</v>
      </c>
      <c r="B31" s="407">
        <v>538.3134</v>
      </c>
      <c r="C31" s="408">
        <v>8.2</v>
      </c>
    </row>
    <row r="32" ht="15" customHeight="1" spans="1:3">
      <c r="A32" s="409" t="s">
        <v>383</v>
      </c>
      <c r="B32" s="407">
        <v>832.9676</v>
      </c>
      <c r="C32" s="408">
        <v>12.9</v>
      </c>
    </row>
    <row r="33" ht="15" customHeight="1" spans="1:3">
      <c r="A33" s="409" t="s">
        <v>375</v>
      </c>
      <c r="B33" s="407">
        <v>0</v>
      </c>
      <c r="C33" s="408">
        <v>0</v>
      </c>
    </row>
    <row r="34" ht="15" customHeight="1" spans="1:3">
      <c r="A34" s="411" t="s">
        <v>376</v>
      </c>
      <c r="B34" s="407">
        <v>1.5363</v>
      </c>
      <c r="C34" s="408">
        <v>18.1</v>
      </c>
    </row>
    <row r="35" ht="19.5" customHeight="1" spans="1:3">
      <c r="A35" s="395" t="s">
        <v>384</v>
      </c>
      <c r="B35" s="395"/>
      <c r="C35" s="395"/>
    </row>
    <row r="38" spans="1:3">
      <c r="A38" s="412"/>
      <c r="B38" s="413"/>
      <c r="C38" s="414"/>
    </row>
  </sheetData>
  <mergeCells count="2">
    <mergeCell ref="A1:C1"/>
    <mergeCell ref="A35:C35"/>
  </mergeCells>
  <pageMargins left="0.75" right="0.75" top="0.59" bottom="0.59" header="0.51" footer="0.51"/>
  <pageSetup paperSize="9" scale="93" orientation="portrait"/>
  <headerFooter alignWithMargins="0" scaleWithDoc="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F35"/>
  <sheetViews>
    <sheetView workbookViewId="0">
      <selection activeCell="A1" sqref="A1:D1"/>
    </sheetView>
  </sheetViews>
  <sheetFormatPr defaultColWidth="9" defaultRowHeight="14.25" outlineLevelCol="5"/>
  <cols>
    <col min="1" max="1" width="34.25" style="218" customWidth="1"/>
    <col min="2" max="2" width="10" style="218" customWidth="1"/>
    <col min="3" max="3" width="15.25" style="218" customWidth="1"/>
    <col min="4" max="4" width="15.25" style="305" customWidth="1"/>
    <col min="5" max="16384" width="9" style="218"/>
  </cols>
  <sheetData>
    <row r="1" ht="28.5" customHeight="1" spans="1:4">
      <c r="A1" s="84" t="s">
        <v>385</v>
      </c>
      <c r="B1" s="84"/>
      <c r="C1" s="84"/>
      <c r="D1" s="84"/>
    </row>
    <row r="2" ht="17.1" customHeight="1" spans="1:4">
      <c r="A2" s="375" t="s">
        <v>53</v>
      </c>
      <c r="B2" s="376" t="s">
        <v>2</v>
      </c>
      <c r="C2" s="376" t="s">
        <v>120</v>
      </c>
      <c r="D2" s="377" t="s">
        <v>6</v>
      </c>
    </row>
    <row r="3" ht="17.1" customHeight="1" spans="1:4">
      <c r="A3" s="378" t="s">
        <v>386</v>
      </c>
      <c r="B3" s="379" t="s">
        <v>8</v>
      </c>
      <c r="C3" s="380">
        <v>373.1906</v>
      </c>
      <c r="D3" s="381">
        <v>10.1</v>
      </c>
    </row>
    <row r="4" ht="17.1" customHeight="1" spans="1:4">
      <c r="A4" s="382" t="s">
        <v>387</v>
      </c>
      <c r="B4" s="379" t="s">
        <v>8</v>
      </c>
      <c r="C4" s="380">
        <v>190.6204</v>
      </c>
      <c r="D4" s="383">
        <v>5.4</v>
      </c>
    </row>
    <row r="5" ht="17.1" customHeight="1" spans="1:4">
      <c r="A5" s="382" t="s">
        <v>388</v>
      </c>
      <c r="B5" s="379"/>
      <c r="C5" s="380"/>
      <c r="D5" s="383"/>
    </row>
    <row r="6" ht="17.1" customHeight="1" spans="1:4">
      <c r="A6" s="382" t="s">
        <v>389</v>
      </c>
      <c r="B6" s="379" t="s">
        <v>8</v>
      </c>
      <c r="C6" s="380">
        <v>150.2846</v>
      </c>
      <c r="D6" s="383">
        <v>-0.4</v>
      </c>
    </row>
    <row r="7" ht="17.1" customHeight="1" spans="1:4">
      <c r="A7" s="382" t="s">
        <v>390</v>
      </c>
      <c r="B7" s="379" t="s">
        <v>8</v>
      </c>
      <c r="C7" s="380">
        <v>4.0877</v>
      </c>
      <c r="D7" s="383">
        <v>43.9</v>
      </c>
    </row>
    <row r="8" ht="17.1" customHeight="1" spans="1:4">
      <c r="A8" s="382" t="s">
        <v>391</v>
      </c>
      <c r="B8" s="379" t="s">
        <v>8</v>
      </c>
      <c r="C8" s="380">
        <v>14.7161</v>
      </c>
      <c r="D8" s="383">
        <v>59.3</v>
      </c>
    </row>
    <row r="9" ht="17.1" customHeight="1" spans="1:4">
      <c r="A9" s="382" t="s">
        <v>392</v>
      </c>
      <c r="B9" s="379" t="s">
        <v>8</v>
      </c>
      <c r="C9" s="380">
        <v>0.3179</v>
      </c>
      <c r="D9" s="383">
        <v>523.6</v>
      </c>
    </row>
    <row r="10" ht="17.1" customHeight="1" spans="1:4">
      <c r="A10" s="382" t="s">
        <v>393</v>
      </c>
      <c r="B10" s="379"/>
      <c r="C10" s="380"/>
      <c r="D10" s="384"/>
    </row>
    <row r="11" ht="17.1" customHeight="1" spans="1:4">
      <c r="A11" s="382" t="s">
        <v>394</v>
      </c>
      <c r="B11" s="379" t="s">
        <v>8</v>
      </c>
      <c r="C11" s="380">
        <v>42.9778</v>
      </c>
      <c r="D11" s="383">
        <v>47.8</v>
      </c>
    </row>
    <row r="12" ht="17.1" customHeight="1" spans="1:4">
      <c r="A12" s="382" t="s">
        <v>395</v>
      </c>
      <c r="B12" s="379" t="s">
        <v>8</v>
      </c>
      <c r="C12" s="380">
        <v>41.4316</v>
      </c>
      <c r="D12" s="383">
        <v>-12.1</v>
      </c>
    </row>
    <row r="13" ht="17.1" customHeight="1" spans="1:4">
      <c r="A13" s="382" t="s">
        <v>396</v>
      </c>
      <c r="B13" s="379" t="s">
        <v>8</v>
      </c>
      <c r="C13" s="380">
        <v>0.5843</v>
      </c>
      <c r="D13" s="383">
        <v>-36.4</v>
      </c>
    </row>
    <row r="14" ht="17.1" customHeight="1" spans="1:4">
      <c r="A14" s="382" t="s">
        <v>397</v>
      </c>
      <c r="B14" s="379" t="s">
        <v>8</v>
      </c>
      <c r="C14" s="380">
        <v>105.0422</v>
      </c>
      <c r="D14" s="383">
        <v>1.8</v>
      </c>
    </row>
    <row r="15" ht="17.1" customHeight="1" spans="1:4">
      <c r="A15" s="385" t="s">
        <v>398</v>
      </c>
      <c r="B15" s="379"/>
      <c r="C15" s="380"/>
      <c r="D15" s="384"/>
    </row>
    <row r="16" ht="17.1" customHeight="1" spans="1:4">
      <c r="A16" s="386" t="s">
        <v>399</v>
      </c>
      <c r="B16" s="379" t="s">
        <v>8</v>
      </c>
      <c r="C16" s="380">
        <v>30.6423</v>
      </c>
      <c r="D16" s="383">
        <v>17.6</v>
      </c>
    </row>
    <row r="17" ht="17.1" customHeight="1" spans="1:4">
      <c r="A17" s="386" t="s">
        <v>400</v>
      </c>
      <c r="B17" s="379" t="s">
        <v>8</v>
      </c>
      <c r="C17" s="380">
        <v>22.2116</v>
      </c>
      <c r="D17" s="383">
        <v>13.3</v>
      </c>
    </row>
    <row r="18" ht="17.1" customHeight="1" spans="1:4">
      <c r="A18" s="386" t="s">
        <v>401</v>
      </c>
      <c r="B18" s="379" t="s">
        <v>8</v>
      </c>
      <c r="C18" s="380">
        <v>19.4594</v>
      </c>
      <c r="D18" s="383">
        <v>-42.9</v>
      </c>
    </row>
    <row r="19" ht="17.1" customHeight="1" spans="1:4">
      <c r="A19" s="386" t="s">
        <v>402</v>
      </c>
      <c r="B19" s="379" t="s">
        <v>8</v>
      </c>
      <c r="C19" s="380">
        <v>11.3782</v>
      </c>
      <c r="D19" s="383">
        <v>106.1</v>
      </c>
    </row>
    <row r="20" ht="17.1" customHeight="1" spans="1:4">
      <c r="A20" s="387" t="s">
        <v>403</v>
      </c>
      <c r="B20" s="379" t="s">
        <v>8</v>
      </c>
      <c r="C20" s="380">
        <v>9.6745</v>
      </c>
      <c r="D20" s="383">
        <v>11.4</v>
      </c>
    </row>
    <row r="21" ht="17.1" customHeight="1" spans="1:4">
      <c r="A21" s="388" t="s">
        <v>404</v>
      </c>
      <c r="B21" s="379" t="s">
        <v>8</v>
      </c>
      <c r="C21" s="380">
        <v>182.5702</v>
      </c>
      <c r="D21" s="383">
        <v>15.4</v>
      </c>
    </row>
    <row r="22" ht="17.1" customHeight="1" spans="1:4">
      <c r="A22" s="388" t="s">
        <v>405</v>
      </c>
      <c r="B22" s="379"/>
      <c r="C22" s="380"/>
      <c r="D22" s="383"/>
    </row>
    <row r="23" ht="17.1" customHeight="1" spans="1:4">
      <c r="A23" s="388" t="s">
        <v>406</v>
      </c>
      <c r="B23" s="379" t="s">
        <v>8</v>
      </c>
      <c r="C23" s="380">
        <v>131.6627</v>
      </c>
      <c r="D23" s="383">
        <v>3</v>
      </c>
    </row>
    <row r="24" ht="17.1" customHeight="1" spans="1:4">
      <c r="A24" s="388" t="s">
        <v>407</v>
      </c>
      <c r="B24" s="379" t="s">
        <v>8</v>
      </c>
      <c r="C24" s="380">
        <v>2.4695</v>
      </c>
      <c r="D24" s="383">
        <v>-11.3</v>
      </c>
    </row>
    <row r="25" ht="17.1" customHeight="1" spans="1:4">
      <c r="A25" s="388" t="s">
        <v>408</v>
      </c>
      <c r="B25" s="379" t="s">
        <v>8</v>
      </c>
      <c r="C25" s="380">
        <v>12.1157</v>
      </c>
      <c r="D25" s="383">
        <v>142.2</v>
      </c>
    </row>
    <row r="26" ht="17.1" customHeight="1" spans="1:4">
      <c r="A26" s="388" t="s">
        <v>409</v>
      </c>
      <c r="B26" s="379" t="s">
        <v>8</v>
      </c>
      <c r="C26" s="380">
        <v>36.3153</v>
      </c>
      <c r="D26" s="383">
        <v>61.3</v>
      </c>
    </row>
    <row r="27" ht="17.1" customHeight="1" spans="1:4">
      <c r="A27" s="382" t="s">
        <v>410</v>
      </c>
      <c r="B27" s="379"/>
      <c r="C27" s="389"/>
      <c r="D27" s="384"/>
    </row>
    <row r="28" ht="17.1" customHeight="1" spans="1:4">
      <c r="A28" s="382" t="s">
        <v>411</v>
      </c>
      <c r="B28" s="379" t="s">
        <v>122</v>
      </c>
      <c r="C28" s="390">
        <v>20</v>
      </c>
      <c r="D28" s="384">
        <v>-86.5</v>
      </c>
    </row>
    <row r="29" ht="17.1" customHeight="1" spans="1:4">
      <c r="A29" s="382" t="s">
        <v>412</v>
      </c>
      <c r="B29" s="379" t="s">
        <v>24</v>
      </c>
      <c r="C29" s="389">
        <v>76339</v>
      </c>
      <c r="D29" s="384">
        <v>-8.3</v>
      </c>
    </row>
    <row r="30" ht="17.1" customHeight="1" spans="1:4">
      <c r="A30" s="391" t="s">
        <v>413</v>
      </c>
      <c r="B30" s="392" t="s">
        <v>24</v>
      </c>
      <c r="C30" s="393">
        <v>23577</v>
      </c>
      <c r="D30" s="394">
        <v>237.7</v>
      </c>
    </row>
    <row r="31" ht="16.5" customHeight="1" spans="1:4">
      <c r="A31" s="395" t="s">
        <v>414</v>
      </c>
      <c r="B31" s="395"/>
      <c r="C31" s="395"/>
      <c r="D31" s="395"/>
    </row>
    <row r="35" spans="1:6">
      <c r="A35" s="396"/>
      <c r="B35" s="396"/>
      <c r="C35" s="47"/>
      <c r="D35" s="397"/>
      <c r="E35" s="47"/>
      <c r="F35" s="47"/>
    </row>
  </sheetData>
  <mergeCells count="2">
    <mergeCell ref="A1:D1"/>
    <mergeCell ref="A31:D31"/>
  </mergeCells>
  <printOptions horizontalCentered="1"/>
  <pageMargins left="0.75" right="0.75" top="0.79" bottom="0.79" header="0.51" footer="0.51"/>
  <pageSetup paperSize="9" orientation="portrait" blackAndWhite="1"/>
  <headerFooter alignWithMargins="0" scaleWithDoc="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249977111117893"/>
  </sheetPr>
  <dimension ref="A1:C22"/>
  <sheetViews>
    <sheetView tabSelected="1" zoomScale="90" zoomScaleNormal="90" workbookViewId="0">
      <selection activeCell="F6" sqref="F6"/>
    </sheetView>
  </sheetViews>
  <sheetFormatPr defaultColWidth="9" defaultRowHeight="14.25" outlineLevelCol="2"/>
  <cols>
    <col min="1" max="1" width="36.375" style="218" customWidth="1"/>
    <col min="2" max="3" width="16.625" style="218" customWidth="1"/>
    <col min="4" max="4" width="9.5" style="218" customWidth="1"/>
    <col min="5" max="16384" width="9" style="218"/>
  </cols>
  <sheetData>
    <row r="1" ht="34.5" customHeight="1" spans="1:3">
      <c r="A1" s="84" t="s">
        <v>415</v>
      </c>
      <c r="B1" s="84"/>
      <c r="C1" s="84"/>
    </row>
    <row r="2" ht="22.5" customHeight="1" spans="1:3">
      <c r="A2" s="359"/>
      <c r="B2" s="276"/>
      <c r="C2" s="131" t="s">
        <v>416</v>
      </c>
    </row>
    <row r="3" s="358" customFormat="1" ht="30" customHeight="1" spans="1:3">
      <c r="A3" s="360" t="s">
        <v>53</v>
      </c>
      <c r="B3" s="361" t="s">
        <v>54</v>
      </c>
      <c r="C3" s="362" t="s">
        <v>6</v>
      </c>
    </row>
    <row r="4" ht="24.95" customHeight="1" spans="1:3">
      <c r="A4" s="363" t="s">
        <v>417</v>
      </c>
      <c r="B4" s="364">
        <v>23320.4</v>
      </c>
      <c r="C4" s="365">
        <v>8.8</v>
      </c>
    </row>
    <row r="5" ht="24.95" customHeight="1" spans="1:3">
      <c r="A5" s="366" t="s">
        <v>418</v>
      </c>
      <c r="B5" s="367"/>
      <c r="C5" s="368"/>
    </row>
    <row r="6" ht="24.95" customHeight="1" spans="1:3">
      <c r="A6" s="366" t="s">
        <v>419</v>
      </c>
      <c r="B6" s="367"/>
      <c r="C6" s="368"/>
    </row>
    <row r="7" ht="24.95" customHeight="1" spans="1:3">
      <c r="A7" s="366" t="s">
        <v>420</v>
      </c>
      <c r="B7" s="367"/>
      <c r="C7" s="368"/>
    </row>
    <row r="8" ht="24.95" customHeight="1" spans="1:3">
      <c r="A8" s="366" t="s">
        <v>421</v>
      </c>
      <c r="B8" s="367"/>
      <c r="C8" s="368"/>
    </row>
    <row r="9" ht="24.95" customHeight="1" spans="1:3">
      <c r="A9" s="366" t="s">
        <v>422</v>
      </c>
      <c r="B9" s="367">
        <v>31240.7</v>
      </c>
      <c r="C9" s="368">
        <v>7.6</v>
      </c>
    </row>
    <row r="10" ht="24.95" customHeight="1" spans="1:3">
      <c r="A10" s="366" t="s">
        <v>423</v>
      </c>
      <c r="B10" s="367">
        <v>17343</v>
      </c>
      <c r="C10" s="368">
        <v>9.2</v>
      </c>
    </row>
    <row r="11" ht="24.95" customHeight="1" spans="1:3">
      <c r="A11" s="363" t="s">
        <v>424</v>
      </c>
      <c r="B11" s="369"/>
      <c r="C11" s="365"/>
    </row>
    <row r="12" ht="24.95" customHeight="1" spans="1:3">
      <c r="A12" s="366" t="s">
        <v>425</v>
      </c>
      <c r="B12" s="367"/>
      <c r="C12" s="368"/>
    </row>
    <row r="13" ht="24.95" customHeight="1" spans="1:3">
      <c r="A13" s="366" t="s">
        <v>426</v>
      </c>
      <c r="B13" s="367"/>
      <c r="C13" s="368"/>
    </row>
    <row r="14" ht="24.95" customHeight="1" spans="1:3">
      <c r="A14" s="366" t="s">
        <v>427</v>
      </c>
      <c r="B14" s="367"/>
      <c r="C14" s="368"/>
    </row>
    <row r="15" ht="24.95" customHeight="1" spans="1:3">
      <c r="A15" s="366" t="s">
        <v>428</v>
      </c>
      <c r="B15" s="367"/>
      <c r="C15" s="368"/>
    </row>
    <row r="16" ht="24.95" customHeight="1" spans="1:3">
      <c r="A16" s="366" t="s">
        <v>429</v>
      </c>
      <c r="B16" s="367"/>
      <c r="C16" s="368"/>
    </row>
    <row r="17" ht="24.95" customHeight="1" spans="1:3">
      <c r="A17" s="366" t="s">
        <v>430</v>
      </c>
      <c r="B17" s="367"/>
      <c r="C17" s="368"/>
    </row>
    <row r="18" ht="24.95" customHeight="1" spans="1:3">
      <c r="A18" s="366" t="s">
        <v>431</v>
      </c>
      <c r="B18" s="367"/>
      <c r="C18" s="368"/>
    </row>
    <row r="19" ht="24.95" customHeight="1" spans="1:3">
      <c r="A19" s="366" t="s">
        <v>432</v>
      </c>
      <c r="B19" s="367"/>
      <c r="C19" s="368"/>
    </row>
    <row r="20" ht="24.95" customHeight="1" spans="1:3">
      <c r="A20" s="366" t="s">
        <v>433</v>
      </c>
      <c r="B20" s="367"/>
      <c r="C20" s="368"/>
    </row>
    <row r="21" ht="24.95" customHeight="1" spans="1:3">
      <c r="A21" s="370" t="s">
        <v>434</v>
      </c>
      <c r="B21" s="371"/>
      <c r="C21" s="372"/>
    </row>
    <row r="22" ht="20.25" customHeight="1" spans="1:3">
      <c r="A22" s="232" t="s">
        <v>435</v>
      </c>
      <c r="B22" s="373"/>
      <c r="C22" s="374"/>
    </row>
  </sheetData>
  <mergeCells count="2">
    <mergeCell ref="A1:C1"/>
    <mergeCell ref="A22:C22"/>
  </mergeCells>
  <printOptions horizontalCentered="1"/>
  <pageMargins left="0.75" right="0.75" top="0.98" bottom="0.98" header="0.51" footer="0.51"/>
  <pageSetup paperSize="9" orientation="portrait"/>
  <headerFooter alignWithMargins="0" scaleWithDoc="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D22"/>
  <sheetViews>
    <sheetView zoomScale="90" zoomScaleNormal="90" workbookViewId="0">
      <selection activeCell="F10" sqref="F10"/>
    </sheetView>
  </sheetViews>
  <sheetFormatPr defaultColWidth="9" defaultRowHeight="14.25" outlineLevelCol="3"/>
  <cols>
    <col min="1" max="1" width="35.5" customWidth="1"/>
    <col min="2" max="3" width="16.125" customWidth="1"/>
  </cols>
  <sheetData>
    <row r="1" ht="25.5" customHeight="1" spans="1:4">
      <c r="A1" s="84" t="s">
        <v>28</v>
      </c>
      <c r="B1" s="84"/>
      <c r="C1" s="84"/>
    </row>
    <row r="2" ht="21.75" customHeight="1" spans="1:4">
      <c r="A2" s="233"/>
      <c r="B2" s="233"/>
      <c r="C2" s="88" t="s">
        <v>436</v>
      </c>
    </row>
    <row r="3" ht="26.1" customHeight="1" spans="1:4">
      <c r="A3" s="347" t="s">
        <v>53</v>
      </c>
      <c r="B3" s="348" t="s">
        <v>437</v>
      </c>
      <c r="C3" s="349" t="s">
        <v>438</v>
      </c>
    </row>
    <row r="4" ht="26.1" customHeight="1" spans="1:4">
      <c r="A4" s="350" t="s">
        <v>439</v>
      </c>
      <c r="B4" s="351">
        <v>105</v>
      </c>
      <c r="C4" s="351">
        <v>103.35460072</v>
      </c>
    </row>
    <row r="5" s="346" customFormat="1" ht="26.1" customHeight="1" spans="1:4">
      <c r="A5" s="270" t="s">
        <v>440</v>
      </c>
      <c r="B5" s="229">
        <v>114.1</v>
      </c>
      <c r="C5" s="229">
        <v>107.41552376</v>
      </c>
      <c r="D5" s="352"/>
    </row>
    <row r="6" s="346" customFormat="1" ht="26.1" customHeight="1" spans="1:4">
      <c r="A6" s="270" t="s">
        <v>441</v>
      </c>
      <c r="B6" s="229">
        <v>99.3</v>
      </c>
      <c r="C6" s="229">
        <v>99.07382405</v>
      </c>
      <c r="D6" s="352"/>
    </row>
    <row r="7" s="346" customFormat="1" ht="26.1" customHeight="1" spans="1:4">
      <c r="A7" s="270" t="s">
        <v>442</v>
      </c>
      <c r="B7" s="229">
        <v>101.2</v>
      </c>
      <c r="C7" s="229">
        <v>104.21906359</v>
      </c>
      <c r="D7" s="352"/>
    </row>
    <row r="8" s="346" customFormat="1" ht="26.1" customHeight="1" spans="1:4">
      <c r="A8" s="270" t="s">
        <v>443</v>
      </c>
      <c r="B8" s="229">
        <v>182.3</v>
      </c>
      <c r="C8" s="229">
        <v>128.78922062</v>
      </c>
      <c r="D8" s="353"/>
    </row>
    <row r="9" s="346" customFormat="1" ht="26.1" customHeight="1" spans="1:4">
      <c r="A9" s="270" t="s">
        <v>444</v>
      </c>
      <c r="B9" s="229">
        <v>102.7</v>
      </c>
      <c r="C9" s="229">
        <v>100.86435845</v>
      </c>
    </row>
    <row r="10" s="346" customFormat="1" ht="26.1" customHeight="1" spans="1:4">
      <c r="A10" s="270" t="s">
        <v>445</v>
      </c>
      <c r="B10" s="229">
        <v>106.3</v>
      </c>
      <c r="C10" s="229">
        <v>105.77744469</v>
      </c>
    </row>
    <row r="11" s="346" customFormat="1" ht="26.1" customHeight="1" spans="1:4">
      <c r="A11" s="270" t="s">
        <v>446</v>
      </c>
      <c r="B11" s="229">
        <v>102.4</v>
      </c>
      <c r="C11" s="229">
        <v>102.87778723</v>
      </c>
    </row>
    <row r="12" s="346" customFormat="1" ht="26.1" customHeight="1" spans="1:4">
      <c r="A12" s="270" t="s">
        <v>447</v>
      </c>
      <c r="B12" s="229">
        <v>94</v>
      </c>
      <c r="C12" s="229">
        <v>103.25363133</v>
      </c>
    </row>
    <row r="13" s="346" customFormat="1" ht="26.1" customHeight="1" spans="1:4">
      <c r="A13" s="270" t="s">
        <v>448</v>
      </c>
      <c r="B13" s="229">
        <v>99.7</v>
      </c>
      <c r="C13" s="229">
        <v>102.11502148</v>
      </c>
    </row>
    <row r="14" s="346" customFormat="1" ht="26.1" customHeight="1" spans="1:4">
      <c r="A14" s="270" t="s">
        <v>449</v>
      </c>
      <c r="B14" s="229">
        <v>101</v>
      </c>
      <c r="C14" s="229">
        <v>100.27561203</v>
      </c>
    </row>
    <row r="15" s="346" customFormat="1" ht="26.1" customHeight="1" spans="1:4">
      <c r="A15" s="270" t="s">
        <v>450</v>
      </c>
      <c r="B15" s="229">
        <v>99.2</v>
      </c>
      <c r="C15" s="229">
        <v>97.73914491</v>
      </c>
    </row>
    <row r="16" s="346" customFormat="1" ht="26.1" customHeight="1" spans="1:4">
      <c r="A16" s="270" t="s">
        <v>451</v>
      </c>
      <c r="B16" s="229">
        <v>103.5</v>
      </c>
      <c r="C16" s="229">
        <v>101.47108965</v>
      </c>
    </row>
    <row r="17" s="346" customFormat="1" ht="26.1" customHeight="1" spans="1:3">
      <c r="A17" s="270" t="s">
        <v>452</v>
      </c>
      <c r="B17" s="229">
        <v>104.4</v>
      </c>
      <c r="C17" s="229">
        <v>103.3924541</v>
      </c>
    </row>
    <row r="18" s="346" customFormat="1" ht="26.1" customHeight="1" spans="1:3">
      <c r="A18" s="270" t="s">
        <v>453</v>
      </c>
      <c r="B18" s="229">
        <v>105.5</v>
      </c>
      <c r="C18" s="229">
        <v>104.83404954</v>
      </c>
    </row>
    <row r="19" s="346" customFormat="1" ht="26.1" customHeight="1" spans="1:3">
      <c r="A19" s="270" t="s">
        <v>454</v>
      </c>
      <c r="B19" s="229">
        <v>103.3</v>
      </c>
      <c r="C19" s="229">
        <v>102.29471041</v>
      </c>
    </row>
    <row r="20" s="346" customFormat="1" ht="26.1" customHeight="1" spans="1:3">
      <c r="A20" s="270" t="s">
        <v>455</v>
      </c>
      <c r="B20" s="229">
        <v>101.5</v>
      </c>
      <c r="C20" s="229">
        <v>102.95606698</v>
      </c>
    </row>
    <row r="21" s="346" customFormat="1" ht="26.1" customHeight="1" spans="1:3">
      <c r="A21" s="354" t="s">
        <v>456</v>
      </c>
      <c r="B21" s="355">
        <v>103.6</v>
      </c>
      <c r="C21" s="356">
        <v>101.21843818</v>
      </c>
    </row>
    <row r="22" ht="21" customHeight="1" spans="1:3">
      <c r="A22" s="357" t="s">
        <v>457</v>
      </c>
      <c r="B22" s="357"/>
      <c r="C22" s="357"/>
    </row>
  </sheetData>
  <mergeCells count="2">
    <mergeCell ref="A1:C1"/>
    <mergeCell ref="A22:C22"/>
  </mergeCells>
  <printOptions horizontalCentered="1"/>
  <pageMargins left="0.55" right="0.55" top="0.98" bottom="0.98" header="0.51" footer="0.51"/>
  <pageSetup paperSize="9" orientation="portrait"/>
  <headerFooter alignWithMargins="0" scaleWithDoc="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D30"/>
  <sheetViews>
    <sheetView zoomScale="90" zoomScaleNormal="90" workbookViewId="0">
      <selection activeCell="I28" sqref="I28"/>
    </sheetView>
  </sheetViews>
  <sheetFormatPr defaultColWidth="9" defaultRowHeight="14.25" outlineLevelCol="3"/>
  <cols>
    <col min="1" max="1" width="33.375" style="329" customWidth="1"/>
    <col min="2" max="2" width="13.125" style="330" customWidth="1"/>
    <col min="3" max="3" width="13.125" style="343" customWidth="1"/>
    <col min="4" max="16384" width="9" style="330"/>
  </cols>
  <sheetData>
    <row r="1" ht="28.5" customHeight="1" spans="1:3">
      <c r="A1" s="84" t="s">
        <v>458</v>
      </c>
      <c r="B1" s="84"/>
      <c r="C1" s="84"/>
    </row>
    <row r="2" ht="20.25" customHeight="1" spans="1:3">
      <c r="A2" s="233"/>
      <c r="B2" s="233"/>
      <c r="C2" s="131" t="s">
        <v>52</v>
      </c>
    </row>
    <row r="3" ht="31.5" customHeight="1" spans="1:3">
      <c r="A3" s="89" t="s">
        <v>459</v>
      </c>
      <c r="B3" s="138" t="s">
        <v>54</v>
      </c>
      <c r="C3" s="92" t="s">
        <v>6</v>
      </c>
    </row>
    <row r="4" ht="18" customHeight="1" spans="1:3">
      <c r="A4" s="332" t="s">
        <v>460</v>
      </c>
      <c r="B4" s="212"/>
      <c r="C4" s="333"/>
    </row>
    <row r="5" ht="18" customHeight="1" spans="1:3">
      <c r="A5" s="86" t="s">
        <v>461</v>
      </c>
      <c r="B5" s="111">
        <v>3064.71972710399</v>
      </c>
      <c r="C5" s="113">
        <v>4.00000098264783</v>
      </c>
    </row>
    <row r="6" ht="18" customHeight="1" spans="1:3">
      <c r="A6" s="86" t="s">
        <v>462</v>
      </c>
      <c r="B6" s="111">
        <v>318.214755674875</v>
      </c>
      <c r="C6" s="113">
        <v>4</v>
      </c>
    </row>
    <row r="7" ht="18" customHeight="1" spans="1:3">
      <c r="A7" s="270" t="s">
        <v>463</v>
      </c>
      <c r="B7" s="111">
        <v>399.991423460185</v>
      </c>
      <c r="C7" s="113">
        <v>-3.9958165157351</v>
      </c>
    </row>
    <row r="8" ht="18" customHeight="1" spans="1:3">
      <c r="A8" s="271" t="s">
        <v>464</v>
      </c>
      <c r="B8" s="111">
        <v>317.682640020239</v>
      </c>
      <c r="C8" s="113">
        <v>3.61414105167923</v>
      </c>
    </row>
    <row r="9" ht="18" customHeight="1" spans="1:3">
      <c r="A9" s="271" t="s">
        <v>465</v>
      </c>
      <c r="B9" s="111">
        <v>373.440873968931</v>
      </c>
      <c r="C9" s="113">
        <v>6.9</v>
      </c>
    </row>
    <row r="10" ht="18" customHeight="1" spans="1:3">
      <c r="A10" s="270" t="s">
        <v>466</v>
      </c>
      <c r="B10" s="111">
        <v>179.475118137565</v>
      </c>
      <c r="C10" s="113">
        <v>7.06687866071174</v>
      </c>
    </row>
    <row r="11" ht="18" customHeight="1" spans="1:3">
      <c r="A11" s="270" t="s">
        <v>467</v>
      </c>
      <c r="B11" s="111">
        <v>439.214069797375</v>
      </c>
      <c r="C11" s="113">
        <v>6.65457947988276</v>
      </c>
    </row>
    <row r="12" ht="18" customHeight="1" spans="1:3">
      <c r="A12" s="270" t="s">
        <v>468</v>
      </c>
      <c r="B12" s="111">
        <v>272.077119152963</v>
      </c>
      <c r="C12" s="113">
        <v>4.9845196694562</v>
      </c>
    </row>
    <row r="13" ht="18" customHeight="1" spans="1:3">
      <c r="A13" s="270" t="s">
        <v>469</v>
      </c>
      <c r="B13" s="111">
        <v>189.928916530827</v>
      </c>
      <c r="C13" s="113">
        <v>5.60997011255921</v>
      </c>
    </row>
    <row r="14" ht="18" customHeight="1" spans="1:3">
      <c r="A14" s="270" t="s">
        <v>470</v>
      </c>
      <c r="B14" s="111">
        <v>324.131071196617</v>
      </c>
      <c r="C14" s="113">
        <v>3</v>
      </c>
    </row>
    <row r="15" ht="18" customHeight="1" spans="1:3">
      <c r="A15" s="270" t="s">
        <v>471</v>
      </c>
      <c r="B15" s="111">
        <v>375.592685025087</v>
      </c>
      <c r="C15" s="113">
        <v>6.25482156590866</v>
      </c>
    </row>
    <row r="16" ht="18" customHeight="1" spans="1:3">
      <c r="A16" s="270" t="s">
        <v>472</v>
      </c>
      <c r="B16" s="111">
        <v>493.547230074271</v>
      </c>
      <c r="C16" s="113">
        <v>2.08045372979927</v>
      </c>
    </row>
    <row r="17" ht="18" customHeight="1" spans="1:4">
      <c r="A17" s="272" t="s">
        <v>473</v>
      </c>
      <c r="B17" s="111"/>
      <c r="C17" s="113"/>
      <c r="D17" s="344"/>
    </row>
    <row r="18" ht="18" customHeight="1" spans="1:4">
      <c r="A18" s="86" t="s">
        <v>461</v>
      </c>
      <c r="B18" s="111">
        <v>585.235145</v>
      </c>
      <c r="C18" s="113">
        <v>4.15874129366706</v>
      </c>
    </row>
    <row r="19" ht="18" customHeight="1" spans="1:4">
      <c r="A19" s="86" t="s">
        <v>462</v>
      </c>
      <c r="B19" s="111">
        <v>1.452161</v>
      </c>
      <c r="C19" s="113">
        <v>-8.33106311295856</v>
      </c>
    </row>
    <row r="20" ht="18" customHeight="1" spans="1:4">
      <c r="A20" s="270" t="s">
        <v>463</v>
      </c>
      <c r="B20" s="111">
        <v>2.495573</v>
      </c>
      <c r="C20" s="113">
        <v>2.03878625147928</v>
      </c>
    </row>
    <row r="21" ht="18" customHeight="1" spans="1:4">
      <c r="A21" s="271" t="s">
        <v>464</v>
      </c>
      <c r="B21" s="111">
        <v>19.640626</v>
      </c>
      <c r="C21" s="113">
        <v>2.32166911414259</v>
      </c>
    </row>
    <row r="22" ht="18" customHeight="1" spans="1:4">
      <c r="A22" s="271" t="s">
        <v>465</v>
      </c>
      <c r="B22" s="111">
        <v>48.208652</v>
      </c>
      <c r="C22" s="113">
        <v>2.1</v>
      </c>
    </row>
    <row r="23" ht="18" customHeight="1" spans="1:4">
      <c r="A23" s="270" t="s">
        <v>466</v>
      </c>
      <c r="B23" s="111">
        <v>25.325437</v>
      </c>
      <c r="C23" s="113">
        <v>2.20500542589801</v>
      </c>
    </row>
    <row r="24" ht="18" customHeight="1" spans="1:4">
      <c r="A24" s="270" t="s">
        <v>467</v>
      </c>
      <c r="B24" s="111">
        <v>22.883215</v>
      </c>
      <c r="C24" s="113">
        <v>1.9136217777656</v>
      </c>
    </row>
    <row r="25" ht="18" customHeight="1" spans="1:4">
      <c r="A25" s="270" t="s">
        <v>468</v>
      </c>
      <c r="B25" s="111">
        <v>34.31976</v>
      </c>
      <c r="C25" s="113">
        <v>4.44615940230541</v>
      </c>
    </row>
    <row r="26" ht="18" customHeight="1" spans="1:4">
      <c r="A26" s="270" t="s">
        <v>469</v>
      </c>
      <c r="B26" s="111">
        <v>95.809693</v>
      </c>
      <c r="C26" s="113">
        <v>4.7069871241505</v>
      </c>
    </row>
    <row r="27" ht="18" customHeight="1" spans="1:4">
      <c r="A27" s="270" t="s">
        <v>470</v>
      </c>
      <c r="B27" s="111">
        <v>129.764706</v>
      </c>
      <c r="C27" s="113">
        <v>4.82030260644069</v>
      </c>
    </row>
    <row r="28" ht="18" customHeight="1" spans="1:4">
      <c r="A28" s="270" t="s">
        <v>471</v>
      </c>
      <c r="B28" s="111">
        <v>126.2723</v>
      </c>
      <c r="C28" s="113">
        <v>4.88801388991061</v>
      </c>
    </row>
    <row r="29" ht="18" customHeight="1" spans="1:4">
      <c r="A29" s="274" t="s">
        <v>472</v>
      </c>
      <c r="B29" s="120">
        <v>127.162691</v>
      </c>
      <c r="C29" s="121">
        <v>4.14630614426514</v>
      </c>
    </row>
    <row r="30" ht="47.1" customHeight="1" spans="1:4">
      <c r="A30" s="345" t="s">
        <v>71</v>
      </c>
      <c r="B30" s="345"/>
      <c r="C30" s="345"/>
    </row>
  </sheetData>
  <mergeCells count="2">
    <mergeCell ref="A1:C1"/>
    <mergeCell ref="A30:C30"/>
  </mergeCells>
  <printOptions horizontalCentered="1"/>
  <pageMargins left="0.75" right="0.75" top="0.39" bottom="0.39" header="0.51" footer="0.51"/>
  <pageSetup paperSize="9" orientation="portrait"/>
  <headerFooter alignWithMargins="0" scaleWithDoc="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C39"/>
  <sheetViews>
    <sheetView workbookViewId="0">
      <selection activeCell="G24" sqref="G24"/>
    </sheetView>
  </sheetViews>
  <sheetFormatPr defaultColWidth="9" defaultRowHeight="14.25" outlineLevelCol="2"/>
  <cols>
    <col min="1" max="1" width="32.375" style="217" customWidth="1"/>
    <col min="2" max="2" width="13.125" style="245" customWidth="1"/>
    <col min="3" max="3" width="13.125" style="342" customWidth="1"/>
    <col min="4" max="16384" width="9" style="245"/>
  </cols>
  <sheetData>
    <row r="1" ht="28.5" customHeight="1" spans="1:3">
      <c r="A1" s="84" t="s">
        <v>474</v>
      </c>
      <c r="B1" s="84"/>
      <c r="C1" s="84"/>
    </row>
    <row r="2" ht="20.25" customHeight="1" spans="1:3">
      <c r="A2" s="233"/>
      <c r="B2" s="233"/>
      <c r="C2" s="131" t="s">
        <v>52</v>
      </c>
    </row>
    <row r="3" ht="28.5" customHeight="1" spans="1:3">
      <c r="A3" s="89" t="s">
        <v>459</v>
      </c>
      <c r="B3" s="138" t="s">
        <v>54</v>
      </c>
      <c r="C3" s="92" t="s">
        <v>6</v>
      </c>
    </row>
    <row r="4" ht="18" customHeight="1" spans="1:3">
      <c r="A4" s="332" t="s">
        <v>475</v>
      </c>
      <c r="B4" s="212"/>
      <c r="C4" s="333"/>
    </row>
    <row r="5" ht="18" customHeight="1" spans="1:3">
      <c r="A5" s="86" t="s">
        <v>461</v>
      </c>
      <c r="B5" s="111">
        <v>1054.99928139787</v>
      </c>
      <c r="C5" s="113">
        <v>-0.775983884681537</v>
      </c>
    </row>
    <row r="6" ht="18" customHeight="1" spans="1:3">
      <c r="A6" s="86" t="s">
        <v>462</v>
      </c>
      <c r="B6" s="111">
        <v>65.9287199022098</v>
      </c>
      <c r="C6" s="113">
        <v>0.500502481688443</v>
      </c>
    </row>
    <row r="7" ht="18" customHeight="1" spans="1:3">
      <c r="A7" s="270" t="s">
        <v>463</v>
      </c>
      <c r="B7" s="111">
        <v>191.860443155224</v>
      </c>
      <c r="C7" s="113">
        <v>-9.74466671430572</v>
      </c>
    </row>
    <row r="8" ht="18" customHeight="1" spans="1:3">
      <c r="A8" s="271" t="s">
        <v>464</v>
      </c>
      <c r="B8" s="111">
        <v>215.759923077526</v>
      </c>
      <c r="C8" s="113">
        <v>0.40870895077461</v>
      </c>
    </row>
    <row r="9" ht="18" customHeight="1" spans="1:3">
      <c r="A9" s="271" t="s">
        <v>465</v>
      </c>
      <c r="B9" s="111">
        <v>210.824516418474</v>
      </c>
      <c r="C9" s="113">
        <v>7.7</v>
      </c>
    </row>
    <row r="10" ht="18" customHeight="1" spans="1:3">
      <c r="A10" s="270" t="s">
        <v>466</v>
      </c>
      <c r="B10" s="111">
        <v>60.8548592433939</v>
      </c>
      <c r="C10" s="113">
        <v>8.78071447378805</v>
      </c>
    </row>
    <row r="11" ht="18" customHeight="1" spans="1:3">
      <c r="A11" s="270" t="s">
        <v>467</v>
      </c>
      <c r="B11" s="111">
        <v>219.619430670514</v>
      </c>
      <c r="C11" s="113">
        <v>7.10116027296614</v>
      </c>
    </row>
    <row r="12" ht="18" customHeight="1" spans="1:3">
      <c r="A12" s="270" t="s">
        <v>468</v>
      </c>
      <c r="B12" s="111">
        <v>85.1768358222934</v>
      </c>
      <c r="C12" s="113">
        <v>3.11500385800014</v>
      </c>
    </row>
    <row r="13" ht="18" customHeight="1" spans="1:3">
      <c r="A13" s="270" t="s">
        <v>469</v>
      </c>
      <c r="B13" s="111">
        <v>15.6239785208439</v>
      </c>
      <c r="C13" s="113">
        <v>5.70246183428016</v>
      </c>
    </row>
    <row r="14" ht="18" customHeight="1" spans="1:3">
      <c r="A14" s="270" t="s">
        <v>470</v>
      </c>
      <c r="B14" s="111">
        <v>33.3729660511892</v>
      </c>
      <c r="C14" s="113">
        <v>3.69765027563007</v>
      </c>
    </row>
    <row r="15" ht="18" customHeight="1" spans="1:3">
      <c r="A15" s="270" t="s">
        <v>471</v>
      </c>
      <c r="B15" s="111">
        <v>58.985038443333</v>
      </c>
      <c r="C15" s="113">
        <v>10.2275909877199</v>
      </c>
    </row>
    <row r="16" ht="18" customHeight="1" spans="1:3">
      <c r="A16" s="270" t="s">
        <v>472</v>
      </c>
      <c r="B16" s="111">
        <v>177.466860006773</v>
      </c>
      <c r="C16" s="113">
        <v>-2.18309653549935</v>
      </c>
    </row>
    <row r="17" ht="18" customHeight="1" spans="1:3">
      <c r="A17" s="272" t="s">
        <v>476</v>
      </c>
      <c r="B17" s="111"/>
      <c r="C17" s="113"/>
    </row>
    <row r="18" ht="18" customHeight="1" spans="1:3">
      <c r="A18" s="86" t="s">
        <v>461</v>
      </c>
      <c r="B18" s="111">
        <v>1424.48530070613</v>
      </c>
      <c r="C18" s="113">
        <v>8.01856891553328</v>
      </c>
    </row>
    <row r="19" ht="18" customHeight="1" spans="1:3">
      <c r="A19" s="86" t="s">
        <v>462</v>
      </c>
      <c r="B19" s="111">
        <v>250.833874772666</v>
      </c>
      <c r="C19" s="113">
        <v>5</v>
      </c>
    </row>
    <row r="20" ht="18" customHeight="1" spans="1:3">
      <c r="A20" s="270" t="s">
        <v>463</v>
      </c>
      <c r="B20" s="111">
        <v>205.635407304961</v>
      </c>
      <c r="C20" s="113">
        <v>2.58813472501819</v>
      </c>
    </row>
    <row r="21" ht="18" customHeight="1" spans="1:3">
      <c r="A21" s="271" t="s">
        <v>464</v>
      </c>
      <c r="B21" s="111">
        <v>82.282090942713</v>
      </c>
      <c r="C21" s="113">
        <v>15.8096814524675</v>
      </c>
    </row>
    <row r="22" ht="18" customHeight="1" spans="1:3">
      <c r="A22" s="271" t="s">
        <v>465</v>
      </c>
      <c r="B22" s="111">
        <v>114.407705550458</v>
      </c>
      <c r="C22" s="113">
        <v>7</v>
      </c>
    </row>
    <row r="23" ht="18" customHeight="1" spans="1:3">
      <c r="A23" s="270" t="s">
        <v>466</v>
      </c>
      <c r="B23" s="111">
        <v>93.2948218941711</v>
      </c>
      <c r="C23" s="113">
        <v>7.10335778277557</v>
      </c>
    </row>
    <row r="24" ht="18" customHeight="1" spans="1:3">
      <c r="A24" s="270" t="s">
        <v>467</v>
      </c>
      <c r="B24" s="111">
        <v>196.711424126861</v>
      </c>
      <c r="C24" s="113">
        <v>6.62191441997051</v>
      </c>
    </row>
    <row r="25" ht="18" customHeight="1" spans="1:3">
      <c r="A25" s="270" t="s">
        <v>468</v>
      </c>
      <c r="B25" s="111">
        <v>152.580523330669</v>
      </c>
      <c r="C25" s="113">
        <v>6.20823485547513</v>
      </c>
    </row>
    <row r="26" ht="18" customHeight="1" spans="1:3">
      <c r="A26" s="270" t="s">
        <v>469</v>
      </c>
      <c r="B26" s="111">
        <v>78.495245009983</v>
      </c>
      <c r="C26" s="113">
        <v>6.61797455699269</v>
      </c>
    </row>
    <row r="27" ht="18" customHeight="1" spans="1:3">
      <c r="A27" s="270" t="s">
        <v>470</v>
      </c>
      <c r="B27" s="111">
        <v>160.993399145428</v>
      </c>
      <c r="C27" s="113">
        <v>1.5334141963784</v>
      </c>
    </row>
    <row r="28" ht="18" customHeight="1" spans="1:3">
      <c r="A28" s="270" t="s">
        <v>471</v>
      </c>
      <c r="B28" s="111">
        <v>190.335346581754</v>
      </c>
      <c r="C28" s="113">
        <v>5.84422143161281</v>
      </c>
    </row>
    <row r="29" ht="18" customHeight="1" spans="1:3">
      <c r="A29" s="274" t="s">
        <v>472</v>
      </c>
      <c r="B29" s="120">
        <v>188.917679067497</v>
      </c>
      <c r="C29" s="121">
        <v>5.4430966966133</v>
      </c>
    </row>
    <row r="30" spans="1:3">
      <c r="A30" s="303"/>
    </row>
    <row r="31" spans="1:3">
      <c r="A31" s="303"/>
    </row>
    <row r="32" spans="1:3">
      <c r="A32" s="304"/>
    </row>
    <row r="33" spans="1:1">
      <c r="A33" s="284"/>
    </row>
    <row r="34" spans="1:1">
      <c r="A34" s="284"/>
    </row>
    <row r="35" spans="1:1">
      <c r="A35" s="284"/>
    </row>
    <row r="36" spans="1:1">
      <c r="A36" s="284"/>
    </row>
    <row r="37" spans="1:1">
      <c r="A37" s="284"/>
    </row>
    <row r="38" spans="1:1">
      <c r="A38" s="305"/>
    </row>
    <row r="39" spans="1:1">
      <c r="A39" s="303"/>
    </row>
  </sheetData>
  <mergeCells count="1">
    <mergeCell ref="A1:C1"/>
  </mergeCells>
  <pageMargins left="0.75" right="0.75" top="0.59" bottom="0.59" header="0.51" footer="0.51"/>
  <pageSetup paperSize="9" scale="98"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zoomScale="90" zoomScaleNormal="90" zoomScaleSheetLayoutView="73" workbookViewId="0">
      <selection activeCell="J21" sqref="J21"/>
    </sheetView>
  </sheetViews>
  <sheetFormatPr defaultColWidth="9" defaultRowHeight="14.25" outlineLevelCol="5"/>
  <cols>
    <col min="1" max="1" width="28" style="43" customWidth="1"/>
    <col min="2" max="4" width="9.125" style="43" customWidth="1"/>
    <col min="5" max="5" width="9.375" style="43" customWidth="1"/>
    <col min="6" max="16384" width="9" style="43"/>
  </cols>
  <sheetData>
    <row r="1" ht="28.5" customHeight="1" spans="1:6">
      <c r="A1" s="644" t="s">
        <v>35</v>
      </c>
      <c r="B1" s="644"/>
      <c r="C1" s="644"/>
      <c r="D1" s="644"/>
      <c r="E1" s="644"/>
      <c r="F1" s="644"/>
    </row>
    <row r="2" ht="20" customHeight="1" spans="1:6">
      <c r="A2" s="645" t="s">
        <v>1</v>
      </c>
      <c r="B2" s="646" t="s">
        <v>2</v>
      </c>
      <c r="C2" s="647" t="s">
        <v>36</v>
      </c>
      <c r="D2" s="656"/>
      <c r="E2" s="647" t="s">
        <v>37</v>
      </c>
      <c r="F2" s="648"/>
    </row>
    <row r="3" ht="20" customHeight="1" spans="1:6">
      <c r="A3" s="649"/>
      <c r="B3" s="650"/>
      <c r="C3" s="649" t="s">
        <v>5</v>
      </c>
      <c r="D3" s="649" t="s">
        <v>6</v>
      </c>
      <c r="E3" s="649" t="s">
        <v>5</v>
      </c>
      <c r="F3" s="651" t="s">
        <v>6</v>
      </c>
    </row>
    <row r="4" ht="24.95" customHeight="1" spans="1:6">
      <c r="A4" s="652" t="s">
        <v>7</v>
      </c>
      <c r="B4" s="473" t="s">
        <v>8</v>
      </c>
      <c r="C4" s="657" t="s">
        <v>9</v>
      </c>
      <c r="D4" s="658" t="s">
        <v>9</v>
      </c>
      <c r="E4" s="654">
        <v>2231.78</v>
      </c>
      <c r="F4" s="383">
        <v>4.1</v>
      </c>
    </row>
    <row r="5" ht="24.95" customHeight="1" spans="1:6">
      <c r="A5" s="652" t="s">
        <v>10</v>
      </c>
      <c r="B5" s="473" t="s">
        <v>8</v>
      </c>
      <c r="C5" s="654">
        <v>1840.08</v>
      </c>
      <c r="D5" s="383">
        <v>-2.1</v>
      </c>
      <c r="E5" s="654">
        <v>1674.62</v>
      </c>
      <c r="F5" s="383">
        <v>-1.9</v>
      </c>
    </row>
    <row r="6" ht="24.95" customHeight="1" spans="1:6">
      <c r="A6" s="652" t="s">
        <v>11</v>
      </c>
      <c r="B6" s="473" t="s">
        <v>8</v>
      </c>
      <c r="C6" s="654">
        <v>585.78</v>
      </c>
      <c r="D6" s="383">
        <v>-2</v>
      </c>
      <c r="E6" s="654">
        <v>529.34</v>
      </c>
      <c r="F6" s="383">
        <v>-2.4</v>
      </c>
    </row>
    <row r="7" ht="24.95" customHeight="1" spans="1:6">
      <c r="A7" s="652" t="s">
        <v>12</v>
      </c>
      <c r="B7" s="473" t="s">
        <v>8</v>
      </c>
      <c r="C7" s="653"/>
      <c r="D7" s="383">
        <v>4.4</v>
      </c>
      <c r="E7" s="653"/>
      <c r="F7" s="383">
        <v>4.9</v>
      </c>
    </row>
    <row r="8" ht="24.95" customHeight="1" spans="1:6">
      <c r="A8" s="652" t="s">
        <v>13</v>
      </c>
      <c r="B8" s="473" t="s">
        <v>8</v>
      </c>
      <c r="C8" s="654"/>
      <c r="D8" s="383">
        <v>2.3</v>
      </c>
      <c r="E8" s="653"/>
      <c r="F8" s="383">
        <v>4.26</v>
      </c>
    </row>
    <row r="9" ht="24.95" customHeight="1" spans="1:6">
      <c r="A9" s="652" t="s">
        <v>14</v>
      </c>
      <c r="B9" s="473" t="s">
        <v>15</v>
      </c>
      <c r="C9" s="654">
        <v>431.08</v>
      </c>
      <c r="D9" s="383">
        <v>-1</v>
      </c>
      <c r="E9" s="654">
        <v>394.3</v>
      </c>
      <c r="F9" s="383">
        <v>-0.7</v>
      </c>
    </row>
    <row r="10" ht="24.95" customHeight="1" spans="1:6">
      <c r="A10" s="652" t="s">
        <v>16</v>
      </c>
      <c r="B10" s="473" t="s">
        <v>8</v>
      </c>
      <c r="C10" s="654">
        <v>1522.21</v>
      </c>
      <c r="D10" s="383">
        <v>8.4</v>
      </c>
      <c r="E10" s="654">
        <v>1362.96</v>
      </c>
      <c r="F10" s="383">
        <v>8.5</v>
      </c>
    </row>
    <row r="11" ht="24.95" customHeight="1" spans="1:6">
      <c r="A11" s="652" t="s">
        <v>17</v>
      </c>
      <c r="B11" s="473" t="s">
        <v>8</v>
      </c>
      <c r="C11" s="654">
        <v>105.14</v>
      </c>
      <c r="D11" s="383">
        <v>4.7</v>
      </c>
      <c r="E11" s="654">
        <v>97.96</v>
      </c>
      <c r="F11" s="383">
        <v>6.3</v>
      </c>
    </row>
    <row r="12" ht="24.95" customHeight="1" spans="1:6">
      <c r="A12" s="652" t="s">
        <v>18</v>
      </c>
      <c r="B12" s="473" t="s">
        <v>8</v>
      </c>
      <c r="C12" s="654">
        <v>403.94</v>
      </c>
      <c r="D12" s="383">
        <v>6.9</v>
      </c>
      <c r="E12" s="654">
        <v>372.37</v>
      </c>
      <c r="F12" s="383">
        <v>6.6</v>
      </c>
    </row>
    <row r="13" ht="24.95" customHeight="1" spans="1:6">
      <c r="A13" s="652" t="s">
        <v>19</v>
      </c>
      <c r="B13" s="473" t="s">
        <v>8</v>
      </c>
      <c r="C13" s="654">
        <v>453.4</v>
      </c>
      <c r="D13" s="383">
        <v>2</v>
      </c>
      <c r="E13" s="654">
        <v>418.07</v>
      </c>
      <c r="F13" s="383">
        <v>1.5</v>
      </c>
    </row>
    <row r="14" ht="24.95" customHeight="1" spans="1:6">
      <c r="A14" s="652" t="s">
        <v>20</v>
      </c>
      <c r="B14" s="473" t="s">
        <v>8</v>
      </c>
      <c r="C14" s="659">
        <v>327.6519</v>
      </c>
      <c r="D14" s="383">
        <v>7.8</v>
      </c>
      <c r="E14" s="654">
        <v>291.38</v>
      </c>
      <c r="F14" s="383">
        <v>7.8</v>
      </c>
    </row>
    <row r="15" ht="24.95" customHeight="1" spans="1:6">
      <c r="A15" s="652" t="s">
        <v>21</v>
      </c>
      <c r="B15" s="473" t="s">
        <v>8</v>
      </c>
      <c r="C15" s="659">
        <v>168.3045</v>
      </c>
      <c r="D15" s="383">
        <v>5.6</v>
      </c>
      <c r="E15" s="654">
        <v>151.66</v>
      </c>
      <c r="F15" s="383">
        <v>6.5</v>
      </c>
    </row>
    <row r="16" ht="24.95" customHeight="1" spans="1:6">
      <c r="A16" s="652" t="s">
        <v>22</v>
      </c>
      <c r="B16" s="473" t="s">
        <v>8</v>
      </c>
      <c r="C16" s="654">
        <v>159.3474</v>
      </c>
      <c r="D16" s="383">
        <v>10.3</v>
      </c>
      <c r="E16" s="654">
        <v>139.72</v>
      </c>
      <c r="F16" s="383">
        <v>9.2</v>
      </c>
    </row>
    <row r="17" ht="24.95" customHeight="1" spans="1:6">
      <c r="A17" s="652" t="s">
        <v>23</v>
      </c>
      <c r="B17" s="473" t="s">
        <v>24</v>
      </c>
      <c r="C17" s="660">
        <v>22808</v>
      </c>
      <c r="D17" s="383">
        <v>306.7</v>
      </c>
      <c r="E17" s="653">
        <v>19329</v>
      </c>
      <c r="F17" s="383">
        <v>192.5</v>
      </c>
    </row>
    <row r="18" ht="24.95" customHeight="1" spans="1:6">
      <c r="A18" s="652" t="s">
        <v>25</v>
      </c>
      <c r="B18" s="473" t="s">
        <v>8</v>
      </c>
      <c r="C18" s="654">
        <v>3681.5</v>
      </c>
      <c r="D18" s="383">
        <v>10.7</v>
      </c>
      <c r="E18" s="653">
        <v>3681.79</v>
      </c>
      <c r="F18" s="383">
        <v>10.3</v>
      </c>
    </row>
    <row r="19" ht="24.95" customHeight="1" spans="1:6">
      <c r="A19" s="652" t="s">
        <v>26</v>
      </c>
      <c r="B19" s="473" t="s">
        <v>8</v>
      </c>
      <c r="C19" s="654">
        <v>2319.01</v>
      </c>
      <c r="D19" s="383">
        <v>10.3</v>
      </c>
      <c r="E19" s="654">
        <v>2344.17</v>
      </c>
      <c r="F19" s="383">
        <v>11.2</v>
      </c>
    </row>
    <row r="20" ht="24.95" customHeight="1" spans="1:6">
      <c r="A20" s="652" t="s">
        <v>27</v>
      </c>
      <c r="B20" s="473" t="s">
        <v>8</v>
      </c>
      <c r="C20" s="654">
        <v>2470.86</v>
      </c>
      <c r="D20" s="383">
        <v>15.9</v>
      </c>
      <c r="E20" s="653">
        <v>2426.56</v>
      </c>
      <c r="F20" s="383">
        <v>14.9</v>
      </c>
    </row>
    <row r="21" ht="24.95" customHeight="1" spans="1:6">
      <c r="A21" s="652" t="s">
        <v>28</v>
      </c>
      <c r="B21" s="473" t="s">
        <v>29</v>
      </c>
      <c r="C21" s="383">
        <v>103</v>
      </c>
      <c r="D21" s="383">
        <v>3</v>
      </c>
      <c r="E21" s="653">
        <v>102.8</v>
      </c>
      <c r="F21" s="383">
        <v>2.8</v>
      </c>
    </row>
    <row r="22" ht="24.95" customHeight="1" spans="1:6">
      <c r="A22" s="652" t="s">
        <v>30</v>
      </c>
      <c r="B22" s="473" t="s">
        <v>29</v>
      </c>
      <c r="C22" s="383">
        <v>99.7</v>
      </c>
      <c r="D22" s="383">
        <v>-0.3</v>
      </c>
      <c r="E22" s="383">
        <v>99.9</v>
      </c>
      <c r="F22" s="383">
        <v>-0.1</v>
      </c>
    </row>
    <row r="23" ht="24.95" customHeight="1" spans="1:6">
      <c r="A23" s="652" t="s">
        <v>31</v>
      </c>
      <c r="B23" s="473" t="s">
        <v>32</v>
      </c>
      <c r="C23" s="654">
        <v>178.81</v>
      </c>
      <c r="D23" s="383">
        <v>8.6</v>
      </c>
      <c r="E23" s="654">
        <v>160.5604</v>
      </c>
      <c r="F23" s="383">
        <v>8.57</v>
      </c>
    </row>
    <row r="24" ht="24.95" customHeight="1" spans="1:6">
      <c r="A24" s="652" t="s">
        <v>33</v>
      </c>
      <c r="B24" s="473" t="s">
        <v>32</v>
      </c>
      <c r="C24" s="458">
        <v>103.21</v>
      </c>
      <c r="D24" s="661">
        <v>3.9</v>
      </c>
      <c r="E24" s="654">
        <v>92.8654</v>
      </c>
      <c r="F24" s="383">
        <v>3.88</v>
      </c>
    </row>
    <row r="25" ht="19" customHeight="1" spans="1:6">
      <c r="A25" s="395" t="s">
        <v>34</v>
      </c>
      <c r="B25" s="395"/>
      <c r="C25" s="395"/>
      <c r="D25" s="395"/>
      <c r="E25" s="395"/>
      <c r="F25" s="395"/>
    </row>
  </sheetData>
  <mergeCells count="6">
    <mergeCell ref="A1:F1"/>
    <mergeCell ref="C2:D2"/>
    <mergeCell ref="E2:F2"/>
    <mergeCell ref="A25:F25"/>
    <mergeCell ref="A2:A3"/>
    <mergeCell ref="B2:B3"/>
  </mergeCells>
  <pageMargins left="0.75" right="0.75" top="1" bottom="1" header="0.5" footer="0.5"/>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C42"/>
  <sheetViews>
    <sheetView workbookViewId="0">
      <selection activeCell="H24" sqref="H24"/>
    </sheetView>
  </sheetViews>
  <sheetFormatPr defaultColWidth="9" defaultRowHeight="14.25" outlineLevelCol="2"/>
  <cols>
    <col min="1" max="1" width="46" style="329" customWidth="1"/>
    <col min="2" max="2" width="11.5" style="330" customWidth="1"/>
    <col min="3" max="3" width="9.375" style="331" customWidth="1"/>
    <col min="4" max="16384" width="9" style="330"/>
  </cols>
  <sheetData>
    <row r="1" ht="28.5" customHeight="1" spans="1:3">
      <c r="A1" s="84" t="s">
        <v>477</v>
      </c>
      <c r="B1" s="84"/>
      <c r="C1" s="84"/>
    </row>
    <row r="2" ht="20.25" customHeight="1" spans="1:3">
      <c r="A2" s="233"/>
      <c r="B2" s="233"/>
      <c r="C2" s="131" t="s">
        <v>52</v>
      </c>
    </row>
    <row r="3" ht="28.5" customHeight="1" spans="1:3">
      <c r="A3" s="89" t="s">
        <v>459</v>
      </c>
      <c r="B3" s="138" t="s">
        <v>54</v>
      </c>
      <c r="C3" s="92" t="s">
        <v>6</v>
      </c>
    </row>
    <row r="4" ht="18" customHeight="1" spans="1:3">
      <c r="A4" s="332" t="s">
        <v>478</v>
      </c>
      <c r="B4" s="212"/>
      <c r="C4" s="333"/>
    </row>
    <row r="5" ht="18" customHeight="1" spans="1:3">
      <c r="A5" s="86" t="s">
        <v>461</v>
      </c>
      <c r="B5" s="111">
        <v>870.31364364039</v>
      </c>
      <c r="C5" s="113">
        <v>-0.370320000000021</v>
      </c>
    </row>
    <row r="6" ht="18" customHeight="1" spans="1:3">
      <c r="A6" s="86" t="s">
        <v>462</v>
      </c>
      <c r="B6" s="111">
        <v>42.7921321876317</v>
      </c>
      <c r="C6" s="113">
        <v>1.51944394211969</v>
      </c>
    </row>
    <row r="7" ht="18" customHeight="1" spans="1:3">
      <c r="A7" s="270" t="s">
        <v>463</v>
      </c>
      <c r="B7" s="111">
        <v>159.189413939111</v>
      </c>
      <c r="C7" s="113">
        <v>-11.2815426828221</v>
      </c>
    </row>
    <row r="8" ht="18" customHeight="1" spans="1:3">
      <c r="A8" s="271" t="s">
        <v>464</v>
      </c>
      <c r="B8" s="111">
        <v>210.636261826753</v>
      </c>
      <c r="C8" s="113">
        <v>2.37167895446998</v>
      </c>
    </row>
    <row r="9" ht="18" customHeight="1" spans="1:3">
      <c r="A9" s="271" t="s">
        <v>465</v>
      </c>
      <c r="B9" s="111">
        <v>204.277161953023</v>
      </c>
      <c r="C9" s="113">
        <v>8.00902953228744</v>
      </c>
    </row>
    <row r="10" ht="18" customHeight="1" spans="1:3">
      <c r="A10" s="270" t="s">
        <v>466</v>
      </c>
      <c r="B10" s="111">
        <v>56.3468899338223</v>
      </c>
      <c r="C10" s="113">
        <v>9.33025253220828</v>
      </c>
    </row>
    <row r="11" ht="18" customHeight="1" spans="1:3">
      <c r="A11" s="270" t="s">
        <v>467</v>
      </c>
      <c r="B11" s="111">
        <v>207.507618825377</v>
      </c>
      <c r="C11" s="113">
        <v>7.51413321015826</v>
      </c>
    </row>
    <row r="12" ht="18" customHeight="1" spans="1:3">
      <c r="A12" s="270" t="s">
        <v>468</v>
      </c>
      <c r="B12" s="111">
        <v>50.9098003906552</v>
      </c>
      <c r="C12" s="113">
        <v>5.0665499567085</v>
      </c>
    </row>
    <row r="13" ht="18" customHeight="1" spans="1:3">
      <c r="A13" s="270" t="s">
        <v>469</v>
      </c>
      <c r="B13" s="111">
        <v>12.9178305771671</v>
      </c>
      <c r="C13" s="113">
        <v>5.52850715290367</v>
      </c>
    </row>
    <row r="14" ht="18" customHeight="1" spans="1:3">
      <c r="A14" s="270" t="s">
        <v>470</v>
      </c>
      <c r="B14" s="111">
        <v>23.2490770094513</v>
      </c>
      <c r="C14" s="113">
        <v>2.88426508498215</v>
      </c>
    </row>
    <row r="15" ht="18" customHeight="1" spans="1:3">
      <c r="A15" s="270" t="s">
        <v>471</v>
      </c>
      <c r="B15" s="111">
        <v>43.3522471855077</v>
      </c>
      <c r="C15" s="113">
        <v>8.88705152790894</v>
      </c>
    </row>
    <row r="16" ht="15.95" customHeight="1" spans="1:3">
      <c r="A16" s="270" t="s">
        <v>472</v>
      </c>
      <c r="B16" s="111">
        <v>122.98971857109</v>
      </c>
      <c r="C16" s="113">
        <v>1.38086999632405</v>
      </c>
    </row>
    <row r="17" ht="18" customHeight="1" spans="1:3">
      <c r="A17" s="272" t="s">
        <v>479</v>
      </c>
      <c r="B17" s="334"/>
      <c r="C17" s="335"/>
    </row>
    <row r="18" ht="18" customHeight="1" spans="1:3">
      <c r="A18" s="86" t="s">
        <v>461</v>
      </c>
      <c r="B18" s="334">
        <v>2243.3788</v>
      </c>
      <c r="C18" s="336" t="s">
        <v>9</v>
      </c>
    </row>
    <row r="19" ht="18" customHeight="1" spans="1:3">
      <c r="A19" s="86" t="s">
        <v>462</v>
      </c>
      <c r="B19" s="334">
        <v>100.0544</v>
      </c>
      <c r="C19" s="336" t="s">
        <v>9</v>
      </c>
    </row>
    <row r="20" ht="18" customHeight="1" spans="1:3">
      <c r="A20" s="270" t="s">
        <v>463</v>
      </c>
      <c r="B20" s="334">
        <v>553.1689</v>
      </c>
      <c r="C20" s="336" t="s">
        <v>9</v>
      </c>
    </row>
    <row r="21" ht="18" customHeight="1" spans="1:3">
      <c r="A21" s="271" t="s">
        <v>464</v>
      </c>
      <c r="B21" s="334">
        <v>282.4312</v>
      </c>
      <c r="C21" s="336" t="s">
        <v>9</v>
      </c>
    </row>
    <row r="22" ht="18" customHeight="1" spans="1:3">
      <c r="A22" s="270" t="s">
        <v>480</v>
      </c>
      <c r="B22" s="334">
        <v>190.8694</v>
      </c>
      <c r="C22" s="336" t="s">
        <v>9</v>
      </c>
    </row>
    <row r="23" ht="18" customHeight="1" spans="1:3">
      <c r="A23" s="270" t="s">
        <v>468</v>
      </c>
      <c r="B23" s="334">
        <v>164.4933</v>
      </c>
      <c r="C23" s="336" t="s">
        <v>9</v>
      </c>
    </row>
    <row r="24" ht="18" customHeight="1" spans="1:3">
      <c r="A24" s="270" t="s">
        <v>469</v>
      </c>
      <c r="B24" s="334">
        <v>23.9182</v>
      </c>
      <c r="C24" s="336" t="s">
        <v>9</v>
      </c>
    </row>
    <row r="25" ht="18" customHeight="1" spans="1:3">
      <c r="A25" s="270" t="s">
        <v>470</v>
      </c>
      <c r="B25" s="334">
        <v>58.8073</v>
      </c>
      <c r="C25" s="336" t="s">
        <v>9</v>
      </c>
    </row>
    <row r="26" ht="18" customHeight="1" spans="1:3">
      <c r="A26" s="270" t="s">
        <v>471</v>
      </c>
      <c r="B26" s="334">
        <v>148.0461</v>
      </c>
      <c r="C26" s="336" t="s">
        <v>9</v>
      </c>
    </row>
    <row r="27" ht="18" customHeight="1" spans="1:3">
      <c r="A27" s="270" t="s">
        <v>472</v>
      </c>
      <c r="B27" s="334">
        <v>272.2301</v>
      </c>
      <c r="C27" s="336" t="s">
        <v>9</v>
      </c>
    </row>
    <row r="28" ht="15" spans="1:3">
      <c r="A28" s="274" t="s">
        <v>481</v>
      </c>
      <c r="B28" s="337">
        <v>689.4908</v>
      </c>
      <c r="C28" s="338" t="s">
        <v>9</v>
      </c>
    </row>
    <row r="29" spans="1:3">
      <c r="B29" s="339"/>
      <c r="C29" s="340"/>
    </row>
    <row r="32" spans="1:3">
      <c r="A32" s="243"/>
    </row>
    <row r="33" spans="1:1">
      <c r="A33" s="243"/>
    </row>
    <row r="34" spans="1:1">
      <c r="A34" s="243"/>
    </row>
    <row r="35" spans="1:1">
      <c r="A35" s="304"/>
    </row>
    <row r="36" spans="1:1">
      <c r="A36" s="284"/>
    </row>
    <row r="37" spans="1:1">
      <c r="A37" s="284"/>
    </row>
    <row r="38" spans="1:1">
      <c r="A38" s="284"/>
    </row>
    <row r="39" spans="1:1">
      <c r="A39" s="284"/>
    </row>
    <row r="40" spans="1:1">
      <c r="A40" s="284"/>
    </row>
    <row r="41" spans="1:1">
      <c r="A41" s="341"/>
    </row>
    <row r="42" spans="1:1">
      <c r="A42" s="243"/>
    </row>
  </sheetData>
  <mergeCells count="1">
    <mergeCell ref="A1:C1"/>
  </mergeCells>
  <pageMargins left="0.75" right="0.75" top="0.59" bottom="0.59" header="0.51" footer="0.51"/>
  <pageSetup paperSize="9" scale="98" orientation="portrait"/>
  <headerFooter alignWithMargins="0" scaleWithDoc="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E30"/>
  <sheetViews>
    <sheetView workbookViewId="0">
      <selection activeCell="H6" sqref="H6"/>
    </sheetView>
  </sheetViews>
  <sheetFormatPr defaultColWidth="9" defaultRowHeight="14.25" outlineLevelCol="4"/>
  <cols>
    <col min="1" max="1" width="28.125" style="44" customWidth="1"/>
    <col min="2" max="2" width="13" style="44" customWidth="1"/>
    <col min="3" max="3" width="11.875" style="44" customWidth="1"/>
    <col min="4" max="4" width="13.125" style="43" customWidth="1"/>
    <col min="5" max="5" width="13.125" style="311" customWidth="1"/>
    <col min="6" max="16384" width="9" style="43"/>
  </cols>
  <sheetData>
    <row r="1" ht="28.5" customHeight="1" spans="1:5">
      <c r="A1" s="84" t="s">
        <v>482</v>
      </c>
      <c r="B1" s="84"/>
      <c r="C1" s="84"/>
      <c r="D1" s="84"/>
      <c r="E1" s="84"/>
    </row>
    <row r="2" ht="18" customHeight="1" spans="1:5">
      <c r="A2" s="110"/>
      <c r="B2" s="110"/>
      <c r="C2" s="110"/>
      <c r="D2" s="110"/>
      <c r="E2" s="88" t="s">
        <v>52</v>
      </c>
    </row>
    <row r="3" ht="15" customHeight="1" spans="1:5">
      <c r="A3" s="312" t="s">
        <v>459</v>
      </c>
      <c r="B3" s="313" t="s">
        <v>93</v>
      </c>
      <c r="C3" s="314" t="s">
        <v>94</v>
      </c>
      <c r="D3" s="138" t="s">
        <v>54</v>
      </c>
      <c r="E3" s="138" t="s">
        <v>6</v>
      </c>
    </row>
    <row r="4" ht="15" customHeight="1" spans="1:5">
      <c r="A4" s="315" t="s">
        <v>483</v>
      </c>
      <c r="B4" s="316"/>
      <c r="C4" s="317"/>
      <c r="D4" s="316"/>
      <c r="E4" s="318"/>
    </row>
    <row r="5" ht="15" customHeight="1" spans="1:5">
      <c r="A5" s="319" t="s">
        <v>461</v>
      </c>
      <c r="B5" s="320">
        <v>76.2039</v>
      </c>
      <c r="C5" s="321">
        <v>7.7</v>
      </c>
      <c r="D5" s="320">
        <v>727.6593</v>
      </c>
      <c r="E5" s="321">
        <v>-0.3</v>
      </c>
    </row>
    <row r="6" ht="15" customHeight="1" spans="1:5">
      <c r="A6" s="319" t="s">
        <v>462</v>
      </c>
      <c r="B6" s="320">
        <v>2.0111</v>
      </c>
      <c r="C6" s="321">
        <v>-14.9</v>
      </c>
      <c r="D6" s="320">
        <v>26.9672</v>
      </c>
      <c r="E6" s="321">
        <v>1.6</v>
      </c>
    </row>
    <row r="7" ht="15" customHeight="1" spans="1:5">
      <c r="A7" s="322" t="s">
        <v>463</v>
      </c>
      <c r="B7" s="320">
        <v>14.7361</v>
      </c>
      <c r="C7" s="321">
        <v>8.5</v>
      </c>
      <c r="D7" s="320">
        <v>144.9115</v>
      </c>
      <c r="E7" s="321">
        <v>-11.5</v>
      </c>
    </row>
    <row r="8" ht="15" customHeight="1" spans="1:5">
      <c r="A8" s="323" t="s">
        <v>464</v>
      </c>
      <c r="B8" s="320">
        <v>21.9446</v>
      </c>
      <c r="C8" s="321">
        <v>10.7</v>
      </c>
      <c r="D8" s="320">
        <v>209.6425</v>
      </c>
      <c r="E8" s="321">
        <v>2.4</v>
      </c>
    </row>
    <row r="9" ht="15" customHeight="1" spans="1:5">
      <c r="A9" s="322" t="s">
        <v>480</v>
      </c>
      <c r="B9" s="320">
        <v>5.839</v>
      </c>
      <c r="C9" s="321">
        <v>21.4</v>
      </c>
      <c r="D9" s="320">
        <v>58.1005</v>
      </c>
      <c r="E9" s="321">
        <v>10.3</v>
      </c>
    </row>
    <row r="10" ht="15" customHeight="1" spans="1:5">
      <c r="A10" s="322" t="s">
        <v>468</v>
      </c>
      <c r="B10" s="320">
        <v>5.0596</v>
      </c>
      <c r="C10" s="321">
        <v>-14.3</v>
      </c>
      <c r="D10" s="320">
        <v>29.9211</v>
      </c>
      <c r="E10" s="321">
        <v>6</v>
      </c>
    </row>
    <row r="11" ht="15" customHeight="1" spans="1:5">
      <c r="A11" s="322" t="s">
        <v>469</v>
      </c>
      <c r="B11" s="320">
        <v>1.335</v>
      </c>
      <c r="C11" s="321">
        <v>8.1</v>
      </c>
      <c r="D11" s="320">
        <v>12.4006</v>
      </c>
      <c r="E11" s="321">
        <v>8.2</v>
      </c>
    </row>
    <row r="12" ht="15" customHeight="1" spans="1:5">
      <c r="A12" s="322" t="s">
        <v>470</v>
      </c>
      <c r="B12" s="320">
        <v>1.4355</v>
      </c>
      <c r="C12" s="321">
        <v>43</v>
      </c>
      <c r="D12" s="320">
        <v>9.2898</v>
      </c>
      <c r="E12" s="321">
        <v>5.5</v>
      </c>
    </row>
    <row r="13" ht="15" customHeight="1" spans="1:5">
      <c r="A13" s="322" t="s">
        <v>471</v>
      </c>
      <c r="B13" s="320">
        <v>2.4547</v>
      </c>
      <c r="C13" s="321">
        <v>7.8</v>
      </c>
      <c r="D13" s="320">
        <v>23.5664</v>
      </c>
      <c r="E13" s="321">
        <v>10.3</v>
      </c>
    </row>
    <row r="14" ht="15" customHeight="1" spans="1:5">
      <c r="A14" s="322" t="s">
        <v>472</v>
      </c>
      <c r="B14" s="320">
        <v>7.2019</v>
      </c>
      <c r="C14" s="321">
        <v>5.5</v>
      </c>
      <c r="D14" s="320">
        <v>68.9122</v>
      </c>
      <c r="E14" s="321">
        <v>1.5</v>
      </c>
    </row>
    <row r="15" ht="15" customHeight="1" spans="1:5">
      <c r="A15" s="322" t="s">
        <v>481</v>
      </c>
      <c r="B15" s="320">
        <v>19.3743</v>
      </c>
      <c r="C15" s="321">
        <v>23.9</v>
      </c>
      <c r="D15" s="320">
        <v>188.9881</v>
      </c>
      <c r="E15" s="321">
        <v>7.6</v>
      </c>
    </row>
    <row r="16" ht="15" customHeight="1" spans="1:5">
      <c r="A16" s="324" t="s">
        <v>484</v>
      </c>
      <c r="B16" s="320"/>
      <c r="C16" s="321"/>
      <c r="D16" s="320"/>
      <c r="E16" s="321"/>
    </row>
    <row r="17" ht="15" customHeight="1" spans="1:5">
      <c r="A17" s="319" t="s">
        <v>461</v>
      </c>
      <c r="B17" s="320">
        <v>243.1715</v>
      </c>
      <c r="C17" s="321">
        <v>5.1</v>
      </c>
      <c r="D17" s="320">
        <v>2282.3739</v>
      </c>
      <c r="E17" s="321">
        <v>-0.1</v>
      </c>
    </row>
    <row r="18" ht="15" customHeight="1" spans="1:5">
      <c r="A18" s="319" t="s">
        <v>462</v>
      </c>
      <c r="B18" s="320">
        <v>7.5064</v>
      </c>
      <c r="C18" s="321">
        <v>-15.5</v>
      </c>
      <c r="D18" s="320">
        <v>98.1689</v>
      </c>
      <c r="E18" s="321">
        <v>-0.9</v>
      </c>
    </row>
    <row r="19" ht="15" customHeight="1" spans="1:5">
      <c r="A19" s="322" t="s">
        <v>463</v>
      </c>
      <c r="B19" s="320">
        <v>49.654</v>
      </c>
      <c r="C19" s="321">
        <v>-1.8</v>
      </c>
      <c r="D19" s="320">
        <v>528.0838</v>
      </c>
      <c r="E19" s="321">
        <v>-9.2</v>
      </c>
    </row>
    <row r="20" ht="15" customHeight="1" spans="1:5">
      <c r="A20" s="323" t="s">
        <v>464</v>
      </c>
      <c r="B20" s="320">
        <v>29.9867</v>
      </c>
      <c r="C20" s="321">
        <v>8.7</v>
      </c>
      <c r="D20" s="320">
        <v>282.3344</v>
      </c>
      <c r="E20" s="321">
        <v>2.4</v>
      </c>
    </row>
    <row r="21" ht="15" customHeight="1" spans="1:5">
      <c r="A21" s="322" t="s">
        <v>480</v>
      </c>
      <c r="B21" s="320">
        <v>22.1545</v>
      </c>
      <c r="C21" s="321">
        <v>22.6</v>
      </c>
      <c r="D21" s="320">
        <v>221.418</v>
      </c>
      <c r="E21" s="321">
        <v>11.9</v>
      </c>
    </row>
    <row r="22" ht="15" customHeight="1" spans="1:5">
      <c r="A22" s="322" t="s">
        <v>468</v>
      </c>
      <c r="B22" s="320">
        <v>28.7284</v>
      </c>
      <c r="C22" s="321">
        <v>-19.5</v>
      </c>
      <c r="D22" s="320">
        <v>169.8788</v>
      </c>
      <c r="E22" s="321">
        <v>-1</v>
      </c>
    </row>
    <row r="23" ht="15" customHeight="1" spans="1:5">
      <c r="A23" s="322" t="s">
        <v>469</v>
      </c>
      <c r="B23" s="320">
        <v>2.9363</v>
      </c>
      <c r="C23" s="321">
        <v>6.8</v>
      </c>
      <c r="D23" s="320">
        <v>24.3224</v>
      </c>
      <c r="E23" s="321">
        <v>3.3</v>
      </c>
    </row>
    <row r="24" ht="15" customHeight="1" spans="1:5">
      <c r="A24" s="322" t="s">
        <v>470</v>
      </c>
      <c r="B24" s="320">
        <v>9.1815</v>
      </c>
      <c r="C24" s="321">
        <v>26</v>
      </c>
      <c r="D24" s="320">
        <v>62.2752</v>
      </c>
      <c r="E24" s="321">
        <v>2.8</v>
      </c>
    </row>
    <row r="25" ht="15" customHeight="1" spans="1:5">
      <c r="A25" s="322" t="s">
        <v>471</v>
      </c>
      <c r="B25" s="320">
        <v>16.0629</v>
      </c>
      <c r="C25" s="321">
        <v>9.4</v>
      </c>
      <c r="D25" s="320">
        <v>147.9718</v>
      </c>
      <c r="E25" s="321">
        <v>7</v>
      </c>
    </row>
    <row r="26" ht="15" customHeight="1" spans="1:5">
      <c r="A26" s="322" t="s">
        <v>472</v>
      </c>
      <c r="B26" s="320">
        <v>28.5879</v>
      </c>
      <c r="C26" s="321">
        <v>-7.7</v>
      </c>
      <c r="D26" s="320">
        <v>279.8189</v>
      </c>
      <c r="E26" s="321">
        <v>-3</v>
      </c>
    </row>
    <row r="27" ht="15" customHeight="1" spans="1:5">
      <c r="A27" s="325" t="s">
        <v>481</v>
      </c>
      <c r="B27" s="326">
        <v>75.1741</v>
      </c>
      <c r="C27" s="327">
        <v>25.8</v>
      </c>
      <c r="D27" s="326">
        <v>722.9866</v>
      </c>
      <c r="E27" s="327">
        <v>4.8</v>
      </c>
    </row>
    <row r="28" spans="1:5">
      <c r="A28" s="284"/>
      <c r="B28" s="284"/>
      <c r="C28" s="284"/>
      <c r="D28" s="244"/>
      <c r="E28" s="328"/>
    </row>
    <row r="29" spans="1:5">
      <c r="A29" s="51"/>
      <c r="B29" s="51"/>
      <c r="C29" s="51"/>
    </row>
    <row r="30" spans="1:5">
      <c r="A30" s="281"/>
      <c r="B30" s="281"/>
      <c r="C30" s="281"/>
    </row>
  </sheetData>
  <mergeCells count="1">
    <mergeCell ref="A1:E1"/>
  </mergeCells>
  <pageMargins left="0.75" right="0.75" top="0.59" bottom="0.59" header="0.51" footer="0.51"/>
  <pageSetup paperSize="9" scale="95" orientation="portrait"/>
  <headerFooter alignWithMargins="0" scaleWithDoc="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C43"/>
  <sheetViews>
    <sheetView workbookViewId="0">
      <selection activeCell="A1" sqref="A1:C27"/>
    </sheetView>
  </sheetViews>
  <sheetFormatPr defaultColWidth="9" defaultRowHeight="14.25" outlineLevelCol="2"/>
  <cols>
    <col min="1" max="1" width="42.125" style="44" customWidth="1"/>
    <col min="2" max="2" width="10.875" style="43" customWidth="1"/>
    <col min="3" max="3" width="13.125" style="311" customWidth="1"/>
    <col min="4" max="16384" width="9" style="43"/>
  </cols>
  <sheetData>
    <row r="1" ht="28.5" customHeight="1" spans="1:3">
      <c r="A1" s="84" t="s">
        <v>485</v>
      </c>
      <c r="B1" s="84"/>
      <c r="C1" s="84"/>
    </row>
    <row r="2" ht="15.95" customHeight="1" spans="1:3">
      <c r="A2" s="89" t="s">
        <v>459</v>
      </c>
      <c r="B2" s="138" t="s">
        <v>54</v>
      </c>
      <c r="C2" s="138" t="s">
        <v>6</v>
      </c>
    </row>
    <row r="3" ht="15.95" customHeight="1" spans="1:3">
      <c r="A3" s="240" t="s">
        <v>486</v>
      </c>
      <c r="B3" s="278"/>
      <c r="C3" s="278"/>
    </row>
    <row r="4" ht="15.95" customHeight="1" spans="1:3">
      <c r="A4" s="223" t="s">
        <v>461</v>
      </c>
      <c r="B4" s="308">
        <v>98.3</v>
      </c>
      <c r="C4" s="103">
        <v>-0.3</v>
      </c>
    </row>
    <row r="5" ht="15.95" customHeight="1" spans="1:3">
      <c r="A5" s="223" t="s">
        <v>462</v>
      </c>
      <c r="B5" s="308">
        <v>101.9</v>
      </c>
      <c r="C5" s="103">
        <v>-0.4</v>
      </c>
    </row>
    <row r="6" ht="15.95" customHeight="1" spans="1:3">
      <c r="A6" s="226" t="s">
        <v>463</v>
      </c>
      <c r="B6" s="308">
        <v>104.8</v>
      </c>
      <c r="C6" s="103">
        <v>2</v>
      </c>
    </row>
    <row r="7" ht="15.95" customHeight="1" spans="1:3">
      <c r="A7" s="227" t="s">
        <v>464</v>
      </c>
      <c r="B7" s="308">
        <v>100</v>
      </c>
      <c r="C7" s="103">
        <v>1.8</v>
      </c>
    </row>
    <row r="8" ht="15.95" customHeight="1" spans="1:3">
      <c r="A8" s="226" t="s">
        <v>480</v>
      </c>
      <c r="B8" s="308">
        <v>86.2</v>
      </c>
      <c r="C8" s="103">
        <v>-2.9</v>
      </c>
    </row>
    <row r="9" ht="15.95" customHeight="1" spans="1:3">
      <c r="A9" s="226" t="s">
        <v>468</v>
      </c>
      <c r="B9" s="308">
        <v>96.8</v>
      </c>
      <c r="C9" s="103">
        <v>-0.3</v>
      </c>
    </row>
    <row r="10" ht="15.95" customHeight="1" spans="1:3">
      <c r="A10" s="226" t="s">
        <v>469</v>
      </c>
      <c r="B10" s="308">
        <v>98.3</v>
      </c>
      <c r="C10" s="103">
        <v>2.2</v>
      </c>
    </row>
    <row r="11" ht="15.95" customHeight="1" spans="1:3">
      <c r="A11" s="226" t="s">
        <v>470</v>
      </c>
      <c r="B11" s="308">
        <v>94.4</v>
      </c>
      <c r="C11" s="103">
        <v>2.7</v>
      </c>
    </row>
    <row r="12" ht="15.95" customHeight="1" spans="1:3">
      <c r="A12" s="226" t="s">
        <v>471</v>
      </c>
      <c r="B12" s="308">
        <v>100.1</v>
      </c>
      <c r="C12" s="103">
        <v>-0.2</v>
      </c>
    </row>
    <row r="13" ht="15.95" customHeight="1" spans="1:3">
      <c r="A13" s="226" t="s">
        <v>472</v>
      </c>
      <c r="B13" s="308">
        <v>97.3</v>
      </c>
      <c r="C13" s="103">
        <v>0.7</v>
      </c>
    </row>
    <row r="14" ht="15.95" customHeight="1" spans="1:3">
      <c r="A14" s="226" t="s">
        <v>481</v>
      </c>
      <c r="B14" s="308">
        <v>95.4</v>
      </c>
      <c r="C14" s="103">
        <v>-1.1</v>
      </c>
    </row>
    <row r="15" ht="15.95" customHeight="1" spans="1:3">
      <c r="A15" s="219" t="s">
        <v>487</v>
      </c>
      <c r="B15" s="228"/>
      <c r="C15" s="103"/>
    </row>
    <row r="16" ht="15.95" customHeight="1" spans="1:3">
      <c r="A16" s="223" t="s">
        <v>461</v>
      </c>
      <c r="B16" s="101">
        <v>162.8803</v>
      </c>
      <c r="C16" s="103">
        <v>1.9</v>
      </c>
    </row>
    <row r="17" ht="15.95" customHeight="1" spans="1:3">
      <c r="A17" s="223" t="s">
        <v>462</v>
      </c>
      <c r="B17" s="101">
        <v>5.7868</v>
      </c>
      <c r="C17" s="103">
        <v>-5.1</v>
      </c>
    </row>
    <row r="18" ht="15.95" customHeight="1" spans="1:3">
      <c r="A18" s="226" t="s">
        <v>463</v>
      </c>
      <c r="B18" s="101">
        <v>23.8889</v>
      </c>
      <c r="C18" s="103">
        <v>-37.1</v>
      </c>
    </row>
    <row r="19" ht="15.95" customHeight="1" spans="1:3">
      <c r="A19" s="227" t="s">
        <v>464</v>
      </c>
      <c r="B19" s="101">
        <v>26.3561</v>
      </c>
      <c r="C19" s="103">
        <v>33.5</v>
      </c>
    </row>
    <row r="20" ht="15.95" customHeight="1" spans="1:3">
      <c r="A20" s="226" t="s">
        <v>480</v>
      </c>
      <c r="B20" s="101">
        <v>9.4923</v>
      </c>
      <c r="C20" s="103">
        <v>-17.4</v>
      </c>
    </row>
    <row r="21" ht="15.95" customHeight="1" spans="1:3">
      <c r="A21" s="226" t="s">
        <v>468</v>
      </c>
      <c r="B21" s="101">
        <v>8.3879</v>
      </c>
      <c r="C21" s="103">
        <v>39.1</v>
      </c>
    </row>
    <row r="22" ht="15.95" customHeight="1" spans="1:3">
      <c r="A22" s="226" t="s">
        <v>469</v>
      </c>
      <c r="B22" s="101">
        <v>0.6159</v>
      </c>
      <c r="C22" s="103">
        <v>-16.3</v>
      </c>
    </row>
    <row r="23" ht="15.95" customHeight="1" spans="1:3">
      <c r="A23" s="226" t="s">
        <v>470</v>
      </c>
      <c r="B23" s="101">
        <v>6.3363</v>
      </c>
      <c r="C23" s="103">
        <v>4.2</v>
      </c>
    </row>
    <row r="24" ht="15.95" customHeight="1" spans="1:3">
      <c r="A24" s="226" t="s">
        <v>471</v>
      </c>
      <c r="B24" s="101">
        <v>15.1765</v>
      </c>
      <c r="C24" s="103">
        <v>-11.9</v>
      </c>
    </row>
    <row r="25" ht="15.95" customHeight="1" spans="1:3">
      <c r="A25" s="226" t="s">
        <v>472</v>
      </c>
      <c r="B25" s="101">
        <v>34.157</v>
      </c>
      <c r="C25" s="103">
        <v>-10.3</v>
      </c>
    </row>
    <row r="26" ht="15.95" customHeight="1" spans="1:3">
      <c r="A26" s="231" t="s">
        <v>481</v>
      </c>
      <c r="B26" s="307">
        <v>48.4272</v>
      </c>
      <c r="C26" s="242">
        <v>20.4</v>
      </c>
    </row>
    <row r="27" spans="1:3">
      <c r="A27" s="244"/>
      <c r="B27" s="244"/>
      <c r="C27" s="244"/>
    </row>
    <row r="33" spans="1:1">
      <c r="A33" s="281"/>
    </row>
    <row r="34" spans="1:1">
      <c r="A34" s="281"/>
    </row>
    <row r="35" spans="1:1">
      <c r="A35" s="281"/>
    </row>
    <row r="36" spans="1:1">
      <c r="A36" s="282"/>
    </row>
    <row r="37" spans="1:1">
      <c r="A37" s="283"/>
    </row>
    <row r="38" spans="1:1">
      <c r="A38" s="283"/>
    </row>
    <row r="39" spans="1:1">
      <c r="A39" s="283"/>
    </row>
    <row r="40" spans="1:1">
      <c r="A40" s="283"/>
    </row>
    <row r="41" spans="1:1">
      <c r="A41" s="284"/>
    </row>
    <row r="42" spans="1:1">
      <c r="A42" s="51"/>
    </row>
    <row r="43" spans="1:1">
      <c r="A43" s="281"/>
    </row>
  </sheetData>
  <mergeCells count="1">
    <mergeCell ref="A1:C1"/>
  </mergeCells>
  <printOptions horizontalCentered="1"/>
  <pageMargins left="0.75" right="0.75" top="0.39" bottom="0.39" header="0.51" footer="0.51"/>
  <pageSetup paperSize="9" orientation="portrait"/>
  <headerFooter alignWithMargins="0" scaleWithDoc="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C43"/>
  <sheetViews>
    <sheetView workbookViewId="0">
      <selection activeCell="A1" sqref="A1:C27"/>
    </sheetView>
  </sheetViews>
  <sheetFormatPr defaultColWidth="9" defaultRowHeight="14.25" outlineLevelCol="2"/>
  <cols>
    <col min="1" max="1" width="42.5" style="44" customWidth="1"/>
    <col min="2" max="2" width="11.25" customWidth="1"/>
    <col min="3" max="3" width="13.125" style="277" customWidth="1"/>
  </cols>
  <sheetData>
    <row r="1" ht="28.5" customHeight="1" spans="1:3">
      <c r="A1" s="84" t="s">
        <v>488</v>
      </c>
      <c r="B1" s="84"/>
      <c r="C1" s="84"/>
    </row>
    <row r="2" ht="17.1" customHeight="1" spans="1:3">
      <c r="A2" s="89" t="s">
        <v>459</v>
      </c>
      <c r="B2" s="138" t="s">
        <v>120</v>
      </c>
      <c r="C2" s="138" t="s">
        <v>6</v>
      </c>
    </row>
    <row r="3" ht="17.1" customHeight="1" spans="1:3">
      <c r="A3" s="240" t="s">
        <v>489</v>
      </c>
      <c r="B3" s="278"/>
      <c r="C3" s="278"/>
    </row>
    <row r="4" ht="17.1" customHeight="1" spans="1:3">
      <c r="A4" s="223" t="s">
        <v>461</v>
      </c>
      <c r="B4" s="308">
        <v>479.61</v>
      </c>
      <c r="C4" s="103">
        <v>-16.8</v>
      </c>
    </row>
    <row r="5" ht="17.1" customHeight="1" spans="1:3">
      <c r="A5" s="223" t="s">
        <v>462</v>
      </c>
      <c r="B5" s="308">
        <v>440.05</v>
      </c>
      <c r="C5" s="103">
        <v>55.6</v>
      </c>
    </row>
    <row r="6" ht="17.1" customHeight="1" spans="1:3">
      <c r="A6" s="226" t="s">
        <v>463</v>
      </c>
      <c r="B6" s="308">
        <v>637.5</v>
      </c>
      <c r="C6" s="103">
        <v>-85.7</v>
      </c>
    </row>
    <row r="7" ht="17.1" customHeight="1" spans="1:3">
      <c r="A7" s="227" t="s">
        <v>464</v>
      </c>
      <c r="B7" s="308">
        <v>1564.15</v>
      </c>
      <c r="C7" s="103">
        <v>-154.5</v>
      </c>
    </row>
    <row r="8" ht="17.1" customHeight="1" spans="1:3">
      <c r="A8" s="226" t="s">
        <v>480</v>
      </c>
      <c r="B8" s="308">
        <v>387.39</v>
      </c>
      <c r="C8" s="103">
        <v>22.7</v>
      </c>
    </row>
    <row r="9" ht="17.1" customHeight="1" spans="1:3">
      <c r="A9" s="226" t="s">
        <v>468</v>
      </c>
      <c r="B9" s="308">
        <v>233.85</v>
      </c>
      <c r="C9" s="103">
        <v>5.1</v>
      </c>
    </row>
    <row r="10" ht="17.1" customHeight="1" spans="1:3">
      <c r="A10" s="226" t="s">
        <v>469</v>
      </c>
      <c r="B10" s="308">
        <v>375.5</v>
      </c>
      <c r="C10" s="103">
        <v>51.2</v>
      </c>
    </row>
    <row r="11" ht="17.1" customHeight="1" spans="1:3">
      <c r="A11" s="226" t="s">
        <v>470</v>
      </c>
      <c r="B11" s="308">
        <v>80.78</v>
      </c>
      <c r="C11" s="103">
        <v>16.4</v>
      </c>
    </row>
    <row r="12" ht="17.1" customHeight="1" spans="1:3">
      <c r="A12" s="226" t="s">
        <v>471</v>
      </c>
      <c r="B12" s="308">
        <v>169.11</v>
      </c>
      <c r="C12" s="103">
        <v>11</v>
      </c>
    </row>
    <row r="13" ht="17.1" customHeight="1" spans="1:3">
      <c r="A13" s="226" t="s">
        <v>472</v>
      </c>
      <c r="B13" s="308">
        <v>241.47</v>
      </c>
      <c r="C13" s="103">
        <v>9.3</v>
      </c>
    </row>
    <row r="14" ht="17.1" customHeight="1" spans="1:3">
      <c r="A14" s="226" t="s">
        <v>481</v>
      </c>
      <c r="B14" s="308">
        <v>652.06</v>
      </c>
      <c r="C14" s="103">
        <v>2.2</v>
      </c>
    </row>
    <row r="15" ht="17.1" customHeight="1" spans="1:3">
      <c r="A15" s="219" t="s">
        <v>490</v>
      </c>
      <c r="B15" s="228"/>
      <c r="C15" s="103"/>
    </row>
    <row r="16" ht="17.1" customHeight="1" spans="1:3">
      <c r="A16" s="223" t="s">
        <v>461</v>
      </c>
      <c r="B16" s="309">
        <v>878</v>
      </c>
      <c r="C16" s="103">
        <v>-1.2</v>
      </c>
    </row>
    <row r="17" ht="17.1" customHeight="1" spans="1:3">
      <c r="A17" s="223" t="s">
        <v>462</v>
      </c>
      <c r="B17" s="309">
        <v>28</v>
      </c>
      <c r="C17" s="103">
        <v>-12.5</v>
      </c>
    </row>
    <row r="18" ht="17.1" customHeight="1" spans="1:3">
      <c r="A18" s="226" t="s">
        <v>463</v>
      </c>
      <c r="B18" s="309">
        <v>59</v>
      </c>
      <c r="C18" s="103">
        <v>0</v>
      </c>
    </row>
    <row r="19" ht="17.1" customHeight="1" spans="1:3">
      <c r="A19" s="227" t="s">
        <v>464</v>
      </c>
      <c r="B19" s="309">
        <v>67</v>
      </c>
      <c r="C19" s="103">
        <v>4.7</v>
      </c>
    </row>
    <row r="20" ht="17.1" customHeight="1" spans="1:3">
      <c r="A20" s="226" t="s">
        <v>480</v>
      </c>
      <c r="B20" s="309">
        <v>68</v>
      </c>
      <c r="C20" s="103">
        <v>-1.4</v>
      </c>
    </row>
    <row r="21" ht="17.1" customHeight="1" spans="1:3">
      <c r="A21" s="226" t="s">
        <v>468</v>
      </c>
      <c r="B21" s="309">
        <v>155</v>
      </c>
      <c r="C21" s="103">
        <v>6.9</v>
      </c>
    </row>
    <row r="22" ht="17.1" customHeight="1" spans="1:3">
      <c r="A22" s="226" t="s">
        <v>469</v>
      </c>
      <c r="B22" s="309">
        <v>32</v>
      </c>
      <c r="C22" s="103">
        <v>10.3</v>
      </c>
    </row>
    <row r="23" ht="17.1" customHeight="1" spans="1:3">
      <c r="A23" s="226" t="s">
        <v>470</v>
      </c>
      <c r="B23" s="309">
        <v>71</v>
      </c>
      <c r="C23" s="103">
        <v>10.9</v>
      </c>
    </row>
    <row r="24" ht="17.1" customHeight="1" spans="1:3">
      <c r="A24" s="226" t="s">
        <v>471</v>
      </c>
      <c r="B24" s="309">
        <v>101</v>
      </c>
      <c r="C24" s="103">
        <v>-22.3</v>
      </c>
    </row>
    <row r="25" ht="17.1" customHeight="1" spans="1:3">
      <c r="A25" s="226" t="s">
        <v>472</v>
      </c>
      <c r="B25" s="309">
        <v>264</v>
      </c>
      <c r="C25" s="103">
        <v>-2.9</v>
      </c>
    </row>
    <row r="26" ht="17.1" customHeight="1" spans="1:3">
      <c r="A26" s="231" t="s">
        <v>481</v>
      </c>
      <c r="B26" s="310">
        <v>61</v>
      </c>
      <c r="C26" s="242">
        <v>8.9</v>
      </c>
    </row>
    <row r="27" spans="1:3">
      <c r="A27" s="244"/>
      <c r="B27" s="244"/>
      <c r="C27" s="244"/>
    </row>
    <row r="33" spans="1:1">
      <c r="A33" s="281"/>
    </row>
    <row r="34" spans="1:1">
      <c r="A34" s="281"/>
    </row>
    <row r="35" spans="1:1">
      <c r="A35" s="281"/>
    </row>
    <row r="36" spans="1:1">
      <c r="A36" s="282"/>
    </row>
    <row r="37" spans="1:1">
      <c r="A37" s="283"/>
    </row>
    <row r="38" spans="1:1">
      <c r="A38" s="283"/>
    </row>
    <row r="39" spans="1:1">
      <c r="A39" s="283"/>
    </row>
    <row r="40" spans="1:1">
      <c r="A40" s="283"/>
    </row>
    <row r="41" spans="1:1">
      <c r="A41" s="284"/>
    </row>
    <row r="42" spans="1:1">
      <c r="A42" s="51"/>
    </row>
    <row r="43" spans="1:1">
      <c r="A43" s="281"/>
    </row>
  </sheetData>
  <mergeCells count="1">
    <mergeCell ref="A1:C1"/>
  </mergeCells>
  <pageMargins left="0.75" right="0.75" top="0.59" bottom="0.59" header="0.51" footer="0.51"/>
  <pageSetup paperSize="9" orientation="portrait"/>
  <headerFooter alignWithMargins="0" scaleWithDoc="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C43"/>
  <sheetViews>
    <sheetView workbookViewId="0">
      <selection activeCell="F20" sqref="F20"/>
    </sheetView>
  </sheetViews>
  <sheetFormatPr defaultColWidth="9" defaultRowHeight="14.25" outlineLevelCol="2"/>
  <cols>
    <col min="1" max="1" width="41.5" style="44" customWidth="1"/>
    <col min="2" max="2" width="11.25" customWidth="1"/>
    <col min="3" max="3" width="13.125" style="277" customWidth="1"/>
  </cols>
  <sheetData>
    <row r="1" ht="28.5" customHeight="1" spans="1:3">
      <c r="A1" s="84" t="s">
        <v>491</v>
      </c>
      <c r="B1" s="84"/>
      <c r="C1" s="84"/>
    </row>
    <row r="2" ht="28.5" customHeight="1" spans="1:3">
      <c r="A2" s="89" t="s">
        <v>459</v>
      </c>
      <c r="B2" s="138" t="s">
        <v>120</v>
      </c>
      <c r="C2" s="138" t="s">
        <v>6</v>
      </c>
    </row>
    <row r="3" ht="18" customHeight="1" spans="1:3">
      <c r="A3" s="240" t="s">
        <v>492</v>
      </c>
      <c r="B3" s="278"/>
      <c r="C3" s="278"/>
    </row>
    <row r="4" ht="18" customHeight="1" spans="1:3">
      <c r="A4" s="223" t="s">
        <v>461</v>
      </c>
      <c r="B4" s="230">
        <v>146</v>
      </c>
      <c r="C4" s="103">
        <v>5.8</v>
      </c>
    </row>
    <row r="5" ht="18" customHeight="1" spans="1:3">
      <c r="A5" s="223" t="s">
        <v>462</v>
      </c>
      <c r="B5" s="230">
        <v>6</v>
      </c>
      <c r="C5" s="103">
        <v>0</v>
      </c>
    </row>
    <row r="6" ht="18" customHeight="1" spans="1:3">
      <c r="A6" s="226" t="s">
        <v>463</v>
      </c>
      <c r="B6" s="230">
        <v>14</v>
      </c>
      <c r="C6" s="103">
        <v>-22.2</v>
      </c>
    </row>
    <row r="7" ht="18" customHeight="1" spans="1:3">
      <c r="A7" s="227" t="s">
        <v>464</v>
      </c>
      <c r="B7" s="230">
        <v>13</v>
      </c>
      <c r="C7" s="103">
        <v>-35</v>
      </c>
    </row>
    <row r="8" ht="18" customHeight="1" spans="1:3">
      <c r="A8" s="226" t="s">
        <v>480</v>
      </c>
      <c r="B8" s="230">
        <v>25</v>
      </c>
      <c r="C8" s="103">
        <v>31.6</v>
      </c>
    </row>
    <row r="9" ht="18" customHeight="1" spans="1:3">
      <c r="A9" s="226" t="s">
        <v>468</v>
      </c>
      <c r="B9" s="230">
        <v>6</v>
      </c>
      <c r="C9" s="103">
        <v>500</v>
      </c>
    </row>
    <row r="10" ht="18" customHeight="1" spans="1:3">
      <c r="A10" s="226" t="s">
        <v>469</v>
      </c>
      <c r="B10" s="230">
        <v>10</v>
      </c>
      <c r="C10" s="103">
        <v>-9.1</v>
      </c>
    </row>
    <row r="11" ht="18" customHeight="1" spans="1:3">
      <c r="A11" s="226" t="s">
        <v>470</v>
      </c>
      <c r="B11" s="230">
        <v>17</v>
      </c>
      <c r="C11" s="103">
        <v>6.3</v>
      </c>
    </row>
    <row r="12" ht="18" customHeight="1" spans="1:3">
      <c r="A12" s="226" t="s">
        <v>471</v>
      </c>
      <c r="B12" s="230">
        <v>30</v>
      </c>
      <c r="C12" s="103">
        <v>7.1</v>
      </c>
    </row>
    <row r="13" ht="18" customHeight="1" spans="1:3">
      <c r="A13" s="226" t="s">
        <v>472</v>
      </c>
      <c r="B13" s="230">
        <v>20</v>
      </c>
      <c r="C13" s="103">
        <v>25</v>
      </c>
    </row>
    <row r="14" ht="18" customHeight="1" spans="1:3">
      <c r="A14" s="226" t="s">
        <v>481</v>
      </c>
      <c r="B14" s="230">
        <v>11</v>
      </c>
      <c r="C14" s="103">
        <v>-15.4</v>
      </c>
    </row>
    <row r="15" ht="22.5" customHeight="1" spans="1:3">
      <c r="A15" s="219" t="s">
        <v>493</v>
      </c>
      <c r="B15" s="228"/>
      <c r="C15" s="103"/>
    </row>
    <row r="16" ht="18" customHeight="1" spans="1:3">
      <c r="A16" s="223" t="s">
        <v>461</v>
      </c>
      <c r="B16" s="101">
        <v>2052.6659</v>
      </c>
      <c r="C16" s="103">
        <v>-3.9</v>
      </c>
    </row>
    <row r="17" ht="18" customHeight="1" spans="1:3">
      <c r="A17" s="223" t="s">
        <v>462</v>
      </c>
      <c r="B17" s="101">
        <v>93.698</v>
      </c>
      <c r="C17" s="103">
        <v>3.1</v>
      </c>
    </row>
    <row r="18" ht="18" customHeight="1" spans="1:3">
      <c r="A18" s="226" t="s">
        <v>463</v>
      </c>
      <c r="B18" s="101">
        <v>503.5122</v>
      </c>
      <c r="C18" s="103">
        <v>-10.4</v>
      </c>
    </row>
    <row r="19" ht="18" customHeight="1" spans="1:3">
      <c r="A19" s="227" t="s">
        <v>464</v>
      </c>
      <c r="B19" s="101">
        <v>254.2182</v>
      </c>
      <c r="C19" s="103">
        <v>1.2</v>
      </c>
    </row>
    <row r="20" ht="18" customHeight="1" spans="1:3">
      <c r="A20" s="226" t="s">
        <v>480</v>
      </c>
      <c r="B20" s="101">
        <v>201.0436</v>
      </c>
      <c r="C20" s="103">
        <v>7.8</v>
      </c>
    </row>
    <row r="21" ht="18" customHeight="1" spans="1:3">
      <c r="A21" s="226" t="s">
        <v>468</v>
      </c>
      <c r="B21" s="101">
        <v>116.6935</v>
      </c>
      <c r="C21" s="103">
        <v>-22.2</v>
      </c>
    </row>
    <row r="22" ht="18" customHeight="1" spans="1:3">
      <c r="A22" s="226" t="s">
        <v>469</v>
      </c>
      <c r="B22" s="101">
        <v>25.7229</v>
      </c>
      <c r="C22" s="103">
        <v>3.9</v>
      </c>
    </row>
    <row r="23" ht="18" customHeight="1" spans="1:3">
      <c r="A23" s="226" t="s">
        <v>470</v>
      </c>
      <c r="B23" s="101">
        <v>64.7195</v>
      </c>
      <c r="C23" s="103">
        <v>-4.8</v>
      </c>
    </row>
    <row r="24" ht="18" customHeight="1" spans="1:3">
      <c r="A24" s="226" t="s">
        <v>471</v>
      </c>
      <c r="B24" s="101">
        <v>157.4882</v>
      </c>
      <c r="C24" s="103">
        <v>3.7</v>
      </c>
    </row>
    <row r="25" ht="18" customHeight="1" spans="1:3">
      <c r="A25" s="226" t="s">
        <v>472</v>
      </c>
      <c r="B25" s="101">
        <v>226.7831</v>
      </c>
      <c r="C25" s="103">
        <v>0.2</v>
      </c>
    </row>
    <row r="26" ht="18" customHeight="1" spans="1:3">
      <c r="A26" s="231" t="s">
        <v>481</v>
      </c>
      <c r="B26" s="307">
        <v>641.6178</v>
      </c>
      <c r="C26" s="242">
        <v>-1</v>
      </c>
    </row>
    <row r="27" spans="1:3">
      <c r="A27" s="244"/>
      <c r="B27" s="244"/>
      <c r="C27" s="244"/>
    </row>
    <row r="33" spans="1:1">
      <c r="A33" s="281"/>
    </row>
    <row r="34" spans="1:1">
      <c r="A34" s="281"/>
    </row>
    <row r="35" spans="1:1">
      <c r="A35" s="281"/>
    </row>
    <row r="36" spans="1:1">
      <c r="A36" s="282"/>
    </row>
    <row r="37" spans="1:1">
      <c r="A37" s="283"/>
    </row>
    <row r="38" spans="1:1">
      <c r="A38" s="283"/>
    </row>
    <row r="39" spans="1:1">
      <c r="A39" s="283"/>
    </row>
    <row r="40" spans="1:1">
      <c r="A40" s="283"/>
    </row>
    <row r="41" spans="1:1">
      <c r="A41" s="284"/>
    </row>
    <row r="42" spans="1:1">
      <c r="A42" s="51"/>
    </row>
    <row r="43" spans="1:1">
      <c r="A43" s="281"/>
    </row>
  </sheetData>
  <mergeCells count="1">
    <mergeCell ref="A1:C1"/>
  </mergeCells>
  <pageMargins left="0.75" right="0.75" top="0.59" bottom="0.59" header="0.51" footer="0.51"/>
  <pageSetup paperSize="9" orientation="portrait"/>
  <headerFooter alignWithMargins="0" scaleWithDoc="0"/>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D43"/>
  <sheetViews>
    <sheetView workbookViewId="0">
      <selection activeCell="D24" sqref="D24"/>
    </sheetView>
  </sheetViews>
  <sheetFormatPr defaultColWidth="9" defaultRowHeight="14.25" outlineLevelCol="3"/>
  <cols>
    <col min="1" max="1" width="39" style="44" customWidth="1"/>
    <col min="2" max="2" width="13.125" customWidth="1"/>
    <col min="3" max="3" width="13.125" style="277" customWidth="1"/>
    <col min="4" max="4" width="9.75" customWidth="1"/>
  </cols>
  <sheetData>
    <row r="1" ht="28.5" customHeight="1" spans="1:4">
      <c r="A1" s="84" t="s">
        <v>494</v>
      </c>
      <c r="B1" s="84"/>
      <c r="C1" s="84"/>
    </row>
    <row r="2" ht="24" customHeight="1" spans="1:4">
      <c r="A2" s="89" t="s">
        <v>459</v>
      </c>
      <c r="B2" s="138" t="s">
        <v>120</v>
      </c>
      <c r="C2" s="138" t="s">
        <v>6</v>
      </c>
      <c r="D2" s="45"/>
    </row>
    <row r="3" ht="18" customHeight="1" spans="1:4">
      <c r="A3" s="240" t="s">
        <v>495</v>
      </c>
      <c r="B3" s="302"/>
      <c r="C3" s="302"/>
      <c r="D3" s="45"/>
    </row>
    <row r="4" ht="18" customHeight="1" spans="1:4">
      <c r="A4" s="223" t="s">
        <v>461</v>
      </c>
      <c r="B4" s="101">
        <v>171.198</v>
      </c>
      <c r="C4" s="103">
        <v>-25.7</v>
      </c>
      <c r="D4" s="45"/>
    </row>
    <row r="5" ht="18" customHeight="1" spans="1:4">
      <c r="A5" s="223" t="s">
        <v>462</v>
      </c>
      <c r="B5" s="101">
        <v>10.3258</v>
      </c>
      <c r="C5" s="103">
        <v>99.3</v>
      </c>
      <c r="D5" s="45"/>
    </row>
    <row r="6" ht="18" customHeight="1" spans="1:4">
      <c r="A6" s="226" t="s">
        <v>463</v>
      </c>
      <c r="B6" s="101">
        <v>13.6024</v>
      </c>
      <c r="C6" s="103">
        <v>-49.8</v>
      </c>
      <c r="D6" s="45"/>
    </row>
    <row r="7" ht="18" customHeight="1" spans="1:4">
      <c r="A7" s="227" t="s">
        <v>464</v>
      </c>
      <c r="B7" s="101">
        <v>89.9624</v>
      </c>
      <c r="C7" s="103">
        <v>-12.1</v>
      </c>
      <c r="D7" s="45"/>
    </row>
    <row r="8" ht="18" customHeight="1" spans="1:4">
      <c r="A8" s="226" t="s">
        <v>480</v>
      </c>
      <c r="B8" s="101">
        <v>15.3188</v>
      </c>
      <c r="C8" s="103">
        <v>-31.3</v>
      </c>
      <c r="D8" s="45"/>
    </row>
    <row r="9" ht="18" customHeight="1" spans="1:4">
      <c r="A9" s="226" t="s">
        <v>468</v>
      </c>
      <c r="B9" s="101">
        <v>2.9416</v>
      </c>
      <c r="C9" s="103">
        <v>-4.7</v>
      </c>
      <c r="D9" s="45"/>
    </row>
    <row r="10" ht="18" customHeight="1" spans="1:4">
      <c r="A10" s="226" t="s">
        <v>469</v>
      </c>
      <c r="B10" s="101">
        <v>2.3414</v>
      </c>
      <c r="C10" s="103">
        <v>14.7</v>
      </c>
      <c r="D10" s="45"/>
    </row>
    <row r="11" ht="18" customHeight="1" spans="1:4">
      <c r="A11" s="226" t="s">
        <v>470</v>
      </c>
      <c r="B11" s="101">
        <v>1.026</v>
      </c>
      <c r="C11" s="103">
        <v>-17</v>
      </c>
      <c r="D11" s="45"/>
    </row>
    <row r="12" ht="18" customHeight="1" spans="1:4">
      <c r="A12" s="226" t="s">
        <v>471</v>
      </c>
      <c r="B12" s="101">
        <v>2.2813</v>
      </c>
      <c r="C12" s="103">
        <v>17.7</v>
      </c>
      <c r="D12" s="45"/>
    </row>
    <row r="13" ht="18" customHeight="1" spans="1:4">
      <c r="A13" s="226" t="s">
        <v>472</v>
      </c>
      <c r="B13" s="101">
        <v>6.0448</v>
      </c>
      <c r="C13" s="103">
        <v>7.4</v>
      </c>
      <c r="D13" s="45"/>
    </row>
    <row r="14" ht="18" customHeight="1" spans="1:4">
      <c r="A14" s="226" t="s">
        <v>481</v>
      </c>
      <c r="B14" s="101">
        <v>45.7098</v>
      </c>
      <c r="C14" s="103">
        <v>-45.5</v>
      </c>
      <c r="D14" s="45"/>
    </row>
    <row r="15" ht="18" customHeight="1" spans="1:4">
      <c r="A15" s="219" t="s">
        <v>496</v>
      </c>
      <c r="B15" s="101"/>
      <c r="C15" s="103"/>
    </row>
    <row r="16" ht="18" customHeight="1" spans="1:4">
      <c r="A16" s="223" t="s">
        <v>461</v>
      </c>
      <c r="B16" s="101">
        <v>11.092</v>
      </c>
      <c r="C16" s="103">
        <v>-10.7</v>
      </c>
    </row>
    <row r="17" ht="18" customHeight="1" spans="1:3">
      <c r="A17" s="223" t="s">
        <v>462</v>
      </c>
      <c r="B17" s="101">
        <v>0.0736</v>
      </c>
      <c r="C17" s="103">
        <v>-96.1</v>
      </c>
    </row>
    <row r="18" ht="18" customHeight="1" spans="1:3">
      <c r="A18" s="226" t="s">
        <v>463</v>
      </c>
      <c r="B18" s="101">
        <v>3.5075</v>
      </c>
      <c r="C18" s="103">
        <v>16</v>
      </c>
    </row>
    <row r="19" ht="18" customHeight="1" spans="1:3">
      <c r="A19" s="227" t="s">
        <v>464</v>
      </c>
      <c r="B19" s="101">
        <v>1.4428</v>
      </c>
      <c r="C19" s="103">
        <v>41.8</v>
      </c>
    </row>
    <row r="20" ht="18" customHeight="1" spans="1:3">
      <c r="A20" s="226" t="s">
        <v>480</v>
      </c>
      <c r="B20" s="101">
        <v>1.228</v>
      </c>
      <c r="C20" s="103">
        <v>291.6</v>
      </c>
    </row>
    <row r="21" ht="18" customHeight="1" spans="1:3">
      <c r="A21" s="226" t="s">
        <v>468</v>
      </c>
      <c r="B21" s="101">
        <v>0.0395</v>
      </c>
      <c r="C21" s="103">
        <v>3191.7</v>
      </c>
    </row>
    <row r="22" ht="18" customHeight="1" spans="1:3">
      <c r="A22" s="226" t="s">
        <v>469</v>
      </c>
      <c r="B22" s="101">
        <v>0.4346</v>
      </c>
      <c r="C22" s="103">
        <v>-48.6</v>
      </c>
    </row>
    <row r="23" ht="18" customHeight="1" spans="1:3">
      <c r="A23" s="226" t="s">
        <v>470</v>
      </c>
      <c r="B23" s="101">
        <v>0.8887</v>
      </c>
      <c r="C23" s="103">
        <v>-21.5</v>
      </c>
    </row>
    <row r="24" ht="18" customHeight="1" spans="1:3">
      <c r="A24" s="226" t="s">
        <v>471</v>
      </c>
      <c r="B24" s="101">
        <v>2.6741</v>
      </c>
      <c r="C24" s="103">
        <v>-19</v>
      </c>
    </row>
    <row r="25" ht="18" customHeight="1" spans="1:3">
      <c r="A25" s="226" t="s">
        <v>472</v>
      </c>
      <c r="B25" s="101">
        <v>0.6937</v>
      </c>
      <c r="C25" s="103">
        <v>-7.9</v>
      </c>
    </row>
    <row r="26" ht="18" customHeight="1" spans="1:3">
      <c r="A26" s="226" t="s">
        <v>481</v>
      </c>
      <c r="B26" s="101">
        <v>0.2347</v>
      </c>
      <c r="C26" s="103">
        <v>-71.7</v>
      </c>
    </row>
    <row r="27" spans="1:3">
      <c r="A27" s="306"/>
      <c r="B27" s="306"/>
      <c r="C27" s="306"/>
    </row>
    <row r="33" spans="1:1">
      <c r="A33" s="281"/>
    </row>
    <row r="34" spans="1:1">
      <c r="A34" s="281"/>
    </row>
    <row r="35" spans="1:1">
      <c r="A35" s="281"/>
    </row>
    <row r="36" spans="1:1">
      <c r="A36" s="282"/>
    </row>
    <row r="37" spans="1:1">
      <c r="A37" s="283"/>
    </row>
    <row r="38" spans="1:1">
      <c r="A38" s="283"/>
    </row>
    <row r="39" spans="1:1">
      <c r="A39" s="283"/>
    </row>
    <row r="40" spans="1:1">
      <c r="A40" s="283"/>
    </row>
    <row r="41" spans="1:1">
      <c r="A41" s="284"/>
    </row>
    <row r="42" spans="1:1">
      <c r="A42" s="51"/>
    </row>
    <row r="43" spans="1:1">
      <c r="A43" s="281"/>
    </row>
  </sheetData>
  <mergeCells count="1">
    <mergeCell ref="A1:C1"/>
  </mergeCells>
  <pageMargins left="0.75" right="0.75" top="0.59" bottom="0.59" header="0.51" footer="0.51"/>
  <pageSetup paperSize="9" orientation="portrait"/>
  <headerFooter alignWithMargins="0" scaleWithDoc="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D44"/>
  <sheetViews>
    <sheetView workbookViewId="0">
      <selection activeCell="G19" sqref="G19"/>
    </sheetView>
  </sheetViews>
  <sheetFormatPr defaultColWidth="9" defaultRowHeight="14.25" outlineLevelCol="3"/>
  <cols>
    <col min="1" max="1" width="39" style="44" customWidth="1"/>
    <col min="2" max="2" width="13.125" customWidth="1"/>
    <col min="3" max="3" width="13.125" style="277" customWidth="1"/>
    <col min="4" max="4" width="9.75" customWidth="1"/>
  </cols>
  <sheetData>
    <row r="1" ht="28.5" customHeight="1" spans="1:4">
      <c r="A1" s="84" t="s">
        <v>497</v>
      </c>
      <c r="B1" s="84"/>
      <c r="C1" s="84"/>
    </row>
    <row r="2" ht="18" customHeight="1" spans="1:4">
      <c r="A2" s="110"/>
      <c r="B2" s="110"/>
      <c r="C2" s="88" t="s">
        <v>52</v>
      </c>
    </row>
    <row r="3" ht="17.1" customHeight="1" spans="1:4">
      <c r="A3" s="89" t="s">
        <v>459</v>
      </c>
      <c r="B3" s="138" t="s">
        <v>120</v>
      </c>
      <c r="C3" s="138" t="s">
        <v>6</v>
      </c>
      <c r="D3" s="45"/>
    </row>
    <row r="4" ht="15" customHeight="1" spans="1:4">
      <c r="A4" s="219" t="s">
        <v>498</v>
      </c>
      <c r="B4" s="228"/>
      <c r="C4" s="229"/>
      <c r="D4" s="45"/>
    </row>
    <row r="5" ht="15" customHeight="1" spans="1:4">
      <c r="A5" s="223" t="s">
        <v>461</v>
      </c>
      <c r="B5" s="101">
        <v>311.648</v>
      </c>
      <c r="C5" s="103">
        <v>-24.1</v>
      </c>
      <c r="D5" s="45"/>
    </row>
    <row r="6" ht="15" customHeight="1" spans="1:4">
      <c r="A6" s="223" t="s">
        <v>462</v>
      </c>
      <c r="B6" s="101">
        <v>26.4486</v>
      </c>
      <c r="C6" s="103">
        <v>31.6</v>
      </c>
      <c r="D6" s="45"/>
    </row>
    <row r="7" ht="15" customHeight="1" spans="1:4">
      <c r="A7" s="226" t="s">
        <v>463</v>
      </c>
      <c r="B7" s="101">
        <v>82.2834</v>
      </c>
      <c r="C7" s="103">
        <v>-33</v>
      </c>
      <c r="D7" s="45"/>
    </row>
    <row r="8" ht="15" customHeight="1" spans="1:4">
      <c r="A8" s="227" t="s">
        <v>464</v>
      </c>
      <c r="B8" s="101">
        <v>119.8101</v>
      </c>
      <c r="C8" s="103">
        <v>-12.6</v>
      </c>
      <c r="D8" s="45"/>
    </row>
    <row r="9" ht="15" customHeight="1" spans="1:4">
      <c r="A9" s="226" t="s">
        <v>480</v>
      </c>
      <c r="B9" s="101">
        <v>21.3743</v>
      </c>
      <c r="C9" s="103">
        <v>-20.3</v>
      </c>
      <c r="D9" s="45"/>
    </row>
    <row r="10" ht="15" customHeight="1" spans="1:4">
      <c r="A10" s="226" t="s">
        <v>468</v>
      </c>
      <c r="B10" s="101">
        <v>5.5536</v>
      </c>
      <c r="C10" s="103">
        <v>1.6</v>
      </c>
      <c r="D10" s="45"/>
    </row>
    <row r="11" ht="15" customHeight="1" spans="1:4">
      <c r="A11" s="226" t="s">
        <v>469</v>
      </c>
      <c r="B11" s="101">
        <v>1.1359</v>
      </c>
      <c r="C11" s="103">
        <v>-52.9</v>
      </c>
      <c r="D11" s="45"/>
    </row>
    <row r="12" ht="15" customHeight="1" spans="1:4">
      <c r="A12" s="226" t="s">
        <v>470</v>
      </c>
      <c r="B12" s="101">
        <v>1.6521</v>
      </c>
      <c r="C12" s="103">
        <v>-20.6</v>
      </c>
      <c r="D12" s="45"/>
    </row>
    <row r="13" ht="15" customHeight="1" spans="1:4">
      <c r="A13" s="226" t="s">
        <v>471</v>
      </c>
      <c r="B13" s="101">
        <v>5.2297</v>
      </c>
      <c r="C13" s="103">
        <v>3.8</v>
      </c>
      <c r="D13" s="45"/>
    </row>
    <row r="14" ht="15" customHeight="1" spans="1:4">
      <c r="A14" s="226" t="s">
        <v>472</v>
      </c>
      <c r="B14" s="101">
        <v>10.9666</v>
      </c>
      <c r="C14" s="103">
        <v>8.8</v>
      </c>
      <c r="D14" s="45"/>
    </row>
    <row r="15" ht="15" customHeight="1" spans="1:4">
      <c r="A15" s="226" t="s">
        <v>481</v>
      </c>
      <c r="B15" s="101">
        <v>62.8703</v>
      </c>
      <c r="C15" s="103">
        <v>-42.3</v>
      </c>
      <c r="D15" s="45"/>
    </row>
    <row r="16" ht="15" customHeight="1" spans="1:4">
      <c r="A16" s="240" t="s">
        <v>499</v>
      </c>
      <c r="B16" s="101"/>
      <c r="C16" s="302"/>
      <c r="D16" s="45"/>
    </row>
    <row r="17" ht="15" customHeight="1" spans="1:4">
      <c r="A17" s="223" t="s">
        <v>461</v>
      </c>
      <c r="B17" s="101">
        <v>2876.966</v>
      </c>
      <c r="C17" s="103">
        <v>3.5</v>
      </c>
      <c r="D17" s="45"/>
    </row>
    <row r="18" ht="15" customHeight="1" spans="1:4">
      <c r="A18" s="223" t="s">
        <v>462</v>
      </c>
      <c r="B18" s="101">
        <v>164.7603</v>
      </c>
      <c r="C18" s="103">
        <v>-0.9</v>
      </c>
      <c r="D18" s="45"/>
    </row>
    <row r="19" ht="15" customHeight="1" spans="1:4">
      <c r="A19" s="226" t="s">
        <v>463</v>
      </c>
      <c r="B19" s="101">
        <v>395.4463</v>
      </c>
      <c r="C19" s="103">
        <v>1.9</v>
      </c>
      <c r="D19" s="45"/>
    </row>
    <row r="20" ht="15" customHeight="1" spans="1:4">
      <c r="A20" s="227" t="s">
        <v>464</v>
      </c>
      <c r="B20" s="101">
        <v>458.7756</v>
      </c>
      <c r="C20" s="103">
        <v>-6.9</v>
      </c>
      <c r="D20" s="45"/>
    </row>
    <row r="21" ht="15" customHeight="1" spans="1:4">
      <c r="A21" s="226" t="s">
        <v>480</v>
      </c>
      <c r="B21" s="101">
        <v>336.2497</v>
      </c>
      <c r="C21" s="103">
        <v>3.3</v>
      </c>
      <c r="D21" s="45"/>
    </row>
    <row r="22" ht="15" customHeight="1" spans="1:4">
      <c r="A22" s="226" t="s">
        <v>468</v>
      </c>
      <c r="B22" s="101">
        <v>81.6021</v>
      </c>
      <c r="C22" s="103">
        <v>7.7</v>
      </c>
      <c r="D22" s="45"/>
    </row>
    <row r="23" ht="15" customHeight="1" spans="1:4">
      <c r="A23" s="226" t="s">
        <v>469</v>
      </c>
      <c r="B23" s="101">
        <v>125.124</v>
      </c>
      <c r="C23" s="103">
        <v>26.7</v>
      </c>
      <c r="D23" s="45"/>
    </row>
    <row r="24" ht="15" customHeight="1" spans="1:4">
      <c r="A24" s="226" t="s">
        <v>470</v>
      </c>
      <c r="B24" s="101">
        <v>267.2814</v>
      </c>
      <c r="C24" s="103">
        <v>21.6</v>
      </c>
      <c r="D24" s="45"/>
    </row>
    <row r="25" ht="15" customHeight="1" spans="1:4">
      <c r="A25" s="226" t="s">
        <v>471</v>
      </c>
      <c r="B25" s="101">
        <v>189.898</v>
      </c>
      <c r="C25" s="103">
        <v>13.5</v>
      </c>
      <c r="D25" s="45"/>
    </row>
    <row r="26" ht="15" customHeight="1" spans="1:4">
      <c r="A26" s="226" t="s">
        <v>472</v>
      </c>
      <c r="B26" s="101">
        <v>141.3012</v>
      </c>
      <c r="C26" s="103">
        <v>9.4</v>
      </c>
      <c r="D26" s="45"/>
    </row>
    <row r="27" ht="15" customHeight="1" spans="1:4">
      <c r="A27" s="226" t="s">
        <v>481</v>
      </c>
      <c r="B27" s="101">
        <v>1091.6714</v>
      </c>
      <c r="C27" s="103">
        <v>1.2</v>
      </c>
      <c r="D27" s="45"/>
    </row>
    <row r="28" spans="1:4">
      <c r="A28" s="280"/>
      <c r="B28" s="280"/>
      <c r="C28" s="280"/>
    </row>
    <row r="34" spans="1:1">
      <c r="A34" s="281"/>
    </row>
    <row r="35" spans="1:1">
      <c r="A35" s="281"/>
    </row>
    <row r="36" spans="1:1">
      <c r="A36" s="281"/>
    </row>
    <row r="37" spans="1:1">
      <c r="A37" s="282"/>
    </row>
    <row r="38" spans="1:1">
      <c r="A38" s="283"/>
    </row>
    <row r="39" spans="1:1">
      <c r="A39" s="283"/>
    </row>
    <row r="40" spans="1:1">
      <c r="A40" s="283"/>
    </row>
    <row r="41" spans="1:1">
      <c r="A41" s="283"/>
    </row>
    <row r="42" spans="1:1">
      <c r="A42" s="284"/>
    </row>
    <row r="43" spans="1:1">
      <c r="A43" s="51"/>
    </row>
    <row r="44" spans="1:1">
      <c r="A44" s="281"/>
    </row>
  </sheetData>
  <mergeCells count="1">
    <mergeCell ref="A1:C1"/>
  </mergeCells>
  <pageMargins left="0.75" right="0.75" top="0.59" bottom="0.59" header="0.51" footer="0.51"/>
  <pageSetup paperSize="9" orientation="portrait"/>
  <headerFooter alignWithMargins="0" scaleWithDoc="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D44"/>
  <sheetViews>
    <sheetView workbookViewId="0">
      <selection activeCell="A1" sqref="A1:C28"/>
    </sheetView>
  </sheetViews>
  <sheetFormatPr defaultColWidth="9" defaultRowHeight="14.25" outlineLevelCol="3"/>
  <cols>
    <col min="1" max="1" width="39" style="44" customWidth="1"/>
    <col min="2" max="2" width="13.125" customWidth="1"/>
    <col min="3" max="3" width="13.125" style="277" customWidth="1"/>
    <col min="4" max="4" width="9.75" customWidth="1"/>
  </cols>
  <sheetData>
    <row r="1" ht="28.5" customHeight="1" spans="1:4">
      <c r="A1" s="84" t="s">
        <v>500</v>
      </c>
      <c r="B1" s="84"/>
      <c r="C1" s="84"/>
    </row>
    <row r="2" ht="15.95" customHeight="1" spans="1:4">
      <c r="A2" s="110"/>
      <c r="B2" s="110"/>
      <c r="C2" s="88" t="s">
        <v>52</v>
      </c>
    </row>
    <row r="3" ht="17.1" customHeight="1" spans="1:4">
      <c r="A3" s="89" t="s">
        <v>459</v>
      </c>
      <c r="B3" s="138" t="s">
        <v>120</v>
      </c>
      <c r="C3" s="138" t="s">
        <v>6</v>
      </c>
      <c r="D3" s="45"/>
    </row>
    <row r="4" ht="15" customHeight="1" spans="1:4">
      <c r="A4" s="219" t="s">
        <v>501</v>
      </c>
      <c r="B4" s="228"/>
      <c r="C4" s="229"/>
    </row>
    <row r="5" ht="15" customHeight="1" spans="1:4">
      <c r="A5" s="223" t="s">
        <v>461</v>
      </c>
      <c r="B5" s="101">
        <v>1943.6388</v>
      </c>
      <c r="C5" s="103">
        <v>4.2</v>
      </c>
    </row>
    <row r="6" ht="15" customHeight="1" spans="1:4">
      <c r="A6" s="223" t="s">
        <v>462</v>
      </c>
      <c r="B6" s="101">
        <v>60.9245</v>
      </c>
      <c r="C6" s="103">
        <v>-17.5</v>
      </c>
    </row>
    <row r="7" ht="15" customHeight="1" spans="1:4">
      <c r="A7" s="226" t="s">
        <v>463</v>
      </c>
      <c r="B7" s="101">
        <v>221.6823</v>
      </c>
      <c r="C7" s="103">
        <v>-2.5</v>
      </c>
    </row>
    <row r="8" ht="15" customHeight="1" spans="1:4">
      <c r="A8" s="227" t="s">
        <v>464</v>
      </c>
      <c r="B8" s="101">
        <v>363.4293</v>
      </c>
      <c r="C8" s="103">
        <v>-7.4</v>
      </c>
    </row>
    <row r="9" ht="15" customHeight="1" spans="1:4">
      <c r="A9" s="226" t="s">
        <v>480</v>
      </c>
      <c r="B9" s="101">
        <v>224.1733</v>
      </c>
      <c r="C9" s="103">
        <v>10.5</v>
      </c>
    </row>
    <row r="10" ht="15" customHeight="1" spans="1:4">
      <c r="A10" s="226" t="s">
        <v>468</v>
      </c>
      <c r="B10" s="101">
        <v>51.9624</v>
      </c>
      <c r="C10" s="103">
        <v>33.9</v>
      </c>
    </row>
    <row r="11" ht="15" customHeight="1" spans="1:4">
      <c r="A11" s="226" t="s">
        <v>469</v>
      </c>
      <c r="B11" s="101">
        <v>97.5181</v>
      </c>
      <c r="C11" s="103">
        <v>32.7</v>
      </c>
    </row>
    <row r="12" ht="15" customHeight="1" spans="1:4">
      <c r="A12" s="226" t="s">
        <v>470</v>
      </c>
      <c r="B12" s="101">
        <v>266.5144</v>
      </c>
      <c r="C12" s="103">
        <v>23.4</v>
      </c>
    </row>
    <row r="13" ht="15" customHeight="1" spans="1:4">
      <c r="A13" s="226" t="s">
        <v>471</v>
      </c>
      <c r="B13" s="101">
        <v>166.5714</v>
      </c>
      <c r="C13" s="103">
        <v>14</v>
      </c>
    </row>
    <row r="14" ht="15" customHeight="1" spans="1:4">
      <c r="A14" s="226" t="s">
        <v>472</v>
      </c>
      <c r="B14" s="101">
        <v>94.6873</v>
      </c>
      <c r="C14" s="103">
        <v>18.6</v>
      </c>
    </row>
    <row r="15" ht="15" customHeight="1" spans="1:4">
      <c r="A15" s="226" t="s">
        <v>481</v>
      </c>
      <c r="B15" s="101">
        <v>613.4877</v>
      </c>
      <c r="C15" s="103">
        <v>0</v>
      </c>
    </row>
    <row r="16" ht="15" customHeight="1" spans="1:4">
      <c r="A16" s="240" t="s">
        <v>502</v>
      </c>
      <c r="B16" s="101"/>
      <c r="C16" s="302"/>
      <c r="D16" s="45"/>
    </row>
    <row r="17" ht="15" customHeight="1" spans="1:4">
      <c r="A17" s="223" t="s">
        <v>461</v>
      </c>
      <c r="B17" s="101">
        <v>1190.3615</v>
      </c>
      <c r="C17" s="103">
        <v>9.1</v>
      </c>
      <c r="D17" s="45"/>
    </row>
    <row r="18" ht="15" customHeight="1" spans="1:4">
      <c r="A18" s="223" t="s">
        <v>462</v>
      </c>
      <c r="B18" s="101">
        <v>124.3968</v>
      </c>
      <c r="C18" s="103">
        <v>40.6</v>
      </c>
      <c r="D18" s="45"/>
    </row>
    <row r="19" ht="15" customHeight="1" spans="1:4">
      <c r="A19" s="226" t="s">
        <v>463</v>
      </c>
      <c r="B19" s="101">
        <v>211.7852</v>
      </c>
      <c r="C19" s="103">
        <v>-3.6</v>
      </c>
      <c r="D19" s="45"/>
    </row>
    <row r="20" ht="15" customHeight="1" spans="1:4">
      <c r="A20" s="227" t="s">
        <v>464</v>
      </c>
      <c r="B20" s="101">
        <v>44.5062</v>
      </c>
      <c r="C20" s="103">
        <v>2.9</v>
      </c>
      <c r="D20" s="45"/>
    </row>
    <row r="21" ht="15" customHeight="1" spans="1:4">
      <c r="A21" s="226" t="s">
        <v>480</v>
      </c>
      <c r="B21" s="101">
        <v>148.012</v>
      </c>
      <c r="C21" s="103">
        <v>-1.3</v>
      </c>
      <c r="D21" s="45"/>
    </row>
    <row r="22" ht="15" customHeight="1" spans="1:4">
      <c r="A22" s="226" t="s">
        <v>468</v>
      </c>
      <c r="B22" s="101">
        <v>46.9071</v>
      </c>
      <c r="C22" s="103">
        <v>20.4</v>
      </c>
      <c r="D22" s="45"/>
    </row>
    <row r="23" ht="15" customHeight="1" spans="1:4">
      <c r="A23" s="226" t="s">
        <v>469</v>
      </c>
      <c r="B23" s="101">
        <v>36.1682</v>
      </c>
      <c r="C23" s="103">
        <v>25.7</v>
      </c>
      <c r="D23" s="45"/>
    </row>
    <row r="24" ht="15" customHeight="1" spans="1:4">
      <c r="A24" s="226" t="s">
        <v>470</v>
      </c>
      <c r="B24" s="101">
        <v>228.8355</v>
      </c>
      <c r="C24" s="103">
        <v>22.4</v>
      </c>
      <c r="D24" s="45"/>
    </row>
    <row r="25" ht="15" customHeight="1" spans="1:4">
      <c r="A25" s="226" t="s">
        <v>471</v>
      </c>
      <c r="B25" s="101">
        <v>120.4533</v>
      </c>
      <c r="C25" s="103">
        <v>21</v>
      </c>
      <c r="D25" s="45"/>
    </row>
    <row r="26" ht="15" customHeight="1" spans="1:4">
      <c r="A26" s="226" t="s">
        <v>472</v>
      </c>
      <c r="B26" s="101">
        <v>80.6087</v>
      </c>
      <c r="C26" s="103">
        <v>9.4</v>
      </c>
      <c r="D26" s="45"/>
    </row>
    <row r="27" ht="15" customHeight="1" spans="1:4">
      <c r="A27" s="226" t="s">
        <v>481</v>
      </c>
      <c r="B27" s="101">
        <v>331.1547</v>
      </c>
      <c r="C27" s="103">
        <v>-1.6</v>
      </c>
      <c r="D27" s="45"/>
    </row>
    <row r="28" spans="1:4">
      <c r="A28" s="280"/>
      <c r="B28" s="280"/>
      <c r="C28" s="280"/>
    </row>
    <row r="34" spans="1:1">
      <c r="A34" s="281"/>
    </row>
    <row r="35" spans="1:1">
      <c r="A35" s="281"/>
    </row>
    <row r="36" spans="1:1">
      <c r="A36" s="281"/>
    </row>
    <row r="37" spans="1:1">
      <c r="A37" s="282"/>
    </row>
    <row r="38" spans="1:1">
      <c r="A38" s="283"/>
    </row>
    <row r="39" spans="1:1">
      <c r="A39" s="283"/>
    </row>
    <row r="40" spans="1:1">
      <c r="A40" s="283"/>
    </row>
    <row r="41" spans="1:1">
      <c r="A41" s="283"/>
    </row>
    <row r="42" spans="1:1">
      <c r="A42" s="284"/>
    </row>
    <row r="43" spans="1:1">
      <c r="A43" s="51"/>
    </row>
    <row r="44" spans="1:1">
      <c r="A44" s="281"/>
    </row>
  </sheetData>
  <mergeCells count="1">
    <mergeCell ref="A1:C1"/>
  </mergeCells>
  <pageMargins left="0.75" right="0.75" top="0.59" bottom="0.59" header="0.51" footer="0.51"/>
  <pageSetup paperSize="9" orientation="portrait"/>
  <headerFooter alignWithMargins="0" scaleWithDoc="0"/>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D44"/>
  <sheetViews>
    <sheetView workbookViewId="0">
      <selection activeCell="F27" sqref="F27"/>
    </sheetView>
  </sheetViews>
  <sheetFormatPr defaultColWidth="9" defaultRowHeight="14.25" outlineLevelCol="3"/>
  <cols>
    <col min="1" max="1" width="44.5" style="217" customWidth="1"/>
    <col min="2" max="2" width="13.125" customWidth="1"/>
    <col min="3" max="3" width="13.125" style="277" customWidth="1"/>
    <col min="4" max="4" width="9.75" customWidth="1"/>
  </cols>
  <sheetData>
    <row r="1" ht="28.5" customHeight="1" spans="1:4">
      <c r="A1" s="84" t="s">
        <v>503</v>
      </c>
      <c r="B1" s="84"/>
      <c r="C1" s="84"/>
    </row>
    <row r="2" ht="20.25" customHeight="1" spans="1:4">
      <c r="A2" s="110"/>
      <c r="B2" s="110"/>
      <c r="C2" s="88" t="s">
        <v>52</v>
      </c>
    </row>
    <row r="3" ht="28.5" customHeight="1" spans="1:4">
      <c r="A3" s="89" t="s">
        <v>459</v>
      </c>
      <c r="B3" s="138" t="s">
        <v>120</v>
      </c>
      <c r="C3" s="138" t="s">
        <v>6</v>
      </c>
      <c r="D3" s="45"/>
    </row>
    <row r="4" ht="15.95" customHeight="1" spans="1:4">
      <c r="A4" s="219" t="s">
        <v>504</v>
      </c>
      <c r="B4" s="228"/>
      <c r="C4" s="229"/>
      <c r="D4" s="45"/>
    </row>
    <row r="5" ht="15.95" customHeight="1" spans="1:4">
      <c r="A5" s="223" t="s">
        <v>461</v>
      </c>
      <c r="B5" s="101">
        <v>81.561</v>
      </c>
      <c r="C5" s="103">
        <v>-3.2</v>
      </c>
      <c r="D5" s="45"/>
    </row>
    <row r="6" ht="15.95" customHeight="1" spans="1:4">
      <c r="A6" s="223" t="s">
        <v>462</v>
      </c>
      <c r="B6" s="101">
        <v>2.1838</v>
      </c>
      <c r="C6" s="103">
        <v>-10.1</v>
      </c>
      <c r="D6" s="45"/>
    </row>
    <row r="7" ht="15.95" customHeight="1" spans="1:4">
      <c r="A7" s="226" t="s">
        <v>463</v>
      </c>
      <c r="B7" s="101">
        <v>27.103</v>
      </c>
      <c r="C7" s="103">
        <v>6.8</v>
      </c>
      <c r="D7" s="45"/>
    </row>
    <row r="8" ht="15.95" customHeight="1" spans="1:4">
      <c r="A8" s="227" t="s">
        <v>464</v>
      </c>
      <c r="B8" s="101">
        <v>4.7676</v>
      </c>
      <c r="C8" s="103">
        <v>-9.6</v>
      </c>
      <c r="D8" s="45"/>
    </row>
    <row r="9" ht="15.95" customHeight="1" spans="1:4">
      <c r="A9" s="226" t="s">
        <v>480</v>
      </c>
      <c r="B9" s="101">
        <v>7.3941</v>
      </c>
      <c r="C9" s="103">
        <v>-27.8</v>
      </c>
      <c r="D9" s="45"/>
    </row>
    <row r="10" ht="15.95" customHeight="1" spans="1:4">
      <c r="A10" s="226" t="s">
        <v>468</v>
      </c>
      <c r="B10" s="101">
        <v>12.0989</v>
      </c>
      <c r="C10" s="103">
        <v>81.5</v>
      </c>
      <c r="D10" s="45"/>
    </row>
    <row r="11" ht="15.95" customHeight="1" spans="1:4">
      <c r="A11" s="226" t="s">
        <v>469</v>
      </c>
      <c r="B11" s="101">
        <v>0.7943</v>
      </c>
      <c r="C11" s="103">
        <v>16.4</v>
      </c>
      <c r="D11" s="45"/>
    </row>
    <row r="12" ht="15.95" customHeight="1" spans="1:4">
      <c r="A12" s="226" t="s">
        <v>470</v>
      </c>
      <c r="B12" s="101">
        <v>4.8468</v>
      </c>
      <c r="C12" s="103">
        <v>28.7</v>
      </c>
      <c r="D12" s="45"/>
    </row>
    <row r="13" ht="15.95" customHeight="1" spans="1:4">
      <c r="A13" s="226" t="s">
        <v>471</v>
      </c>
      <c r="B13" s="101">
        <v>8.241</v>
      </c>
      <c r="C13" s="103">
        <v>-27.1</v>
      </c>
      <c r="D13" s="45"/>
    </row>
    <row r="14" ht="15.95" customHeight="1" spans="1:4">
      <c r="A14" s="226" t="s">
        <v>472</v>
      </c>
      <c r="B14" s="101">
        <v>6.8392</v>
      </c>
      <c r="C14" s="103">
        <v>-17.6</v>
      </c>
      <c r="D14" s="45"/>
    </row>
    <row r="15" ht="15.95" customHeight="1" spans="1:4">
      <c r="A15" s="226" t="s">
        <v>481</v>
      </c>
      <c r="B15" s="101">
        <v>27.6341</v>
      </c>
      <c r="C15" s="103">
        <v>-8.5</v>
      </c>
      <c r="D15" s="45"/>
    </row>
    <row r="16" ht="15.95" customHeight="1" spans="1:4">
      <c r="A16" s="240" t="s">
        <v>505</v>
      </c>
      <c r="B16" s="101"/>
      <c r="C16" s="302"/>
    </row>
    <row r="17" ht="15.95" customHeight="1" spans="1:3">
      <c r="A17" s="223" t="s">
        <v>461</v>
      </c>
      <c r="B17" s="101">
        <v>29.0466</v>
      </c>
      <c r="C17" s="103">
        <v>-7</v>
      </c>
    </row>
    <row r="18" ht="15.95" customHeight="1" spans="1:3">
      <c r="A18" s="223" t="s">
        <v>462</v>
      </c>
      <c r="B18" s="101">
        <v>0.95</v>
      </c>
      <c r="C18" s="103">
        <v>-26.4</v>
      </c>
    </row>
    <row r="19" ht="15.95" customHeight="1" spans="1:3">
      <c r="A19" s="226" t="s">
        <v>463</v>
      </c>
      <c r="B19" s="101">
        <v>2.2017</v>
      </c>
      <c r="C19" s="103">
        <v>-0.9</v>
      </c>
    </row>
    <row r="20" ht="15.95" customHeight="1" spans="1:3">
      <c r="A20" s="227" t="s">
        <v>464</v>
      </c>
      <c r="B20" s="101">
        <v>4.0729</v>
      </c>
      <c r="C20" s="103">
        <v>2.8</v>
      </c>
    </row>
    <row r="21" ht="15.95" customHeight="1" spans="1:3">
      <c r="A21" s="226" t="s">
        <v>480</v>
      </c>
      <c r="B21" s="101">
        <v>3.6647</v>
      </c>
      <c r="C21" s="103">
        <v>-4.2</v>
      </c>
    </row>
    <row r="22" ht="15.95" customHeight="1" spans="1:3">
      <c r="A22" s="226" t="s">
        <v>468</v>
      </c>
      <c r="B22" s="101">
        <v>1.1363</v>
      </c>
      <c r="C22" s="103">
        <v>-2.7</v>
      </c>
    </row>
    <row r="23" ht="15.95" customHeight="1" spans="1:3">
      <c r="A23" s="226" t="s">
        <v>469</v>
      </c>
      <c r="B23" s="101">
        <v>1.6442</v>
      </c>
      <c r="C23" s="103">
        <v>7.5</v>
      </c>
    </row>
    <row r="24" ht="15.95" customHeight="1" spans="1:3">
      <c r="A24" s="226" t="s">
        <v>470</v>
      </c>
      <c r="B24" s="101">
        <v>1.3307</v>
      </c>
      <c r="C24" s="103">
        <v>2.1</v>
      </c>
    </row>
    <row r="25" ht="15.95" customHeight="1" spans="1:3">
      <c r="A25" s="226" t="s">
        <v>471</v>
      </c>
      <c r="B25" s="101">
        <v>2.4471</v>
      </c>
      <c r="C25" s="103">
        <v>10.6</v>
      </c>
    </row>
    <row r="26" ht="15.95" customHeight="1" spans="1:3">
      <c r="A26" s="226" t="s">
        <v>472</v>
      </c>
      <c r="B26" s="101">
        <v>2.1848</v>
      </c>
      <c r="C26" s="103">
        <v>9.1</v>
      </c>
    </row>
    <row r="27" ht="15.95" customHeight="1" spans="1:3">
      <c r="A27" s="226" t="s">
        <v>481</v>
      </c>
      <c r="B27" s="101">
        <v>13.083</v>
      </c>
      <c r="C27" s="103">
        <v>-15.2</v>
      </c>
    </row>
    <row r="28" spans="1:3">
      <c r="A28" s="280"/>
      <c r="B28" s="280"/>
      <c r="C28" s="280"/>
    </row>
    <row r="34" spans="1:1">
      <c r="A34" s="303"/>
    </row>
    <row r="35" spans="1:1">
      <c r="A35" s="303"/>
    </row>
    <row r="36" spans="1:1">
      <c r="A36" s="303"/>
    </row>
    <row r="37" spans="1:1">
      <c r="A37" s="304"/>
    </row>
    <row r="38" spans="1:1">
      <c r="A38" s="284"/>
    </row>
    <row r="39" spans="1:1">
      <c r="A39" s="284"/>
    </row>
    <row r="40" spans="1:1">
      <c r="A40" s="284"/>
    </row>
    <row r="41" spans="1:1">
      <c r="A41" s="284"/>
    </row>
    <row r="42" spans="1:1">
      <c r="A42" s="284"/>
    </row>
    <row r="43" spans="1:1">
      <c r="A43" s="305"/>
    </row>
    <row r="44" spans="1:1">
      <c r="A44" s="303"/>
    </row>
  </sheetData>
  <mergeCells count="1">
    <mergeCell ref="A1:C1"/>
  </mergeCells>
  <pageMargins left="0.55" right="0.55" top="0.98" bottom="0.98" header="0.51" footer="0.51"/>
  <pageSetup paperSize="9" orientation="portrait"/>
  <headerFooter alignWithMargins="0" scaleWithDoc="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249977111117893"/>
  </sheetPr>
  <dimension ref="A1:C27"/>
  <sheetViews>
    <sheetView workbookViewId="0">
      <selection activeCell="F28" sqref="F28"/>
    </sheetView>
  </sheetViews>
  <sheetFormatPr defaultColWidth="9" defaultRowHeight="14.25" outlineLevelCol="2"/>
  <cols>
    <col min="1" max="1" width="44.875" customWidth="1"/>
    <col min="2" max="2" width="12.25" customWidth="1"/>
    <col min="3" max="3" width="13.25" customWidth="1"/>
  </cols>
  <sheetData>
    <row r="1" ht="28.5" customHeight="1" spans="1:3">
      <c r="A1" s="84" t="s">
        <v>506</v>
      </c>
      <c r="B1" s="84"/>
      <c r="C1" s="84"/>
    </row>
    <row r="2" ht="18.95" customHeight="1" spans="1:3">
      <c r="A2" s="89" t="s">
        <v>459</v>
      </c>
      <c r="B2" s="138" t="s">
        <v>120</v>
      </c>
      <c r="C2" s="138" t="s">
        <v>6</v>
      </c>
    </row>
    <row r="3" ht="15.95" customHeight="1" spans="1:3">
      <c r="A3" s="219" t="s">
        <v>507</v>
      </c>
      <c r="B3" s="297"/>
      <c r="C3" s="298"/>
    </row>
    <row r="4" ht="15.95" customHeight="1" spans="1:3">
      <c r="A4" s="223" t="s">
        <v>461</v>
      </c>
      <c r="B4" s="299">
        <v>118940</v>
      </c>
      <c r="C4" s="103">
        <v>-6.8</v>
      </c>
    </row>
    <row r="5" ht="15.95" customHeight="1" spans="1:3">
      <c r="A5" s="223" t="s">
        <v>462</v>
      </c>
      <c r="B5" s="299">
        <v>5480</v>
      </c>
      <c r="C5" s="103">
        <v>-0.3</v>
      </c>
    </row>
    <row r="6" ht="15.95" customHeight="1" spans="1:3">
      <c r="A6" s="226" t="s">
        <v>463</v>
      </c>
      <c r="B6" s="299">
        <v>16771</v>
      </c>
      <c r="C6" s="103">
        <v>-9.8</v>
      </c>
    </row>
    <row r="7" ht="15.95" customHeight="1" spans="1:3">
      <c r="A7" s="227" t="s">
        <v>464</v>
      </c>
      <c r="B7" s="299">
        <v>10427</v>
      </c>
      <c r="C7" s="103">
        <v>2.8</v>
      </c>
    </row>
    <row r="8" ht="15.95" customHeight="1" spans="1:3">
      <c r="A8" s="226" t="s">
        <v>480</v>
      </c>
      <c r="B8" s="299">
        <v>11650</v>
      </c>
      <c r="C8" s="103">
        <v>-9.9</v>
      </c>
    </row>
    <row r="9" ht="15.95" customHeight="1" spans="1:3">
      <c r="A9" s="226" t="s">
        <v>468</v>
      </c>
      <c r="B9" s="299">
        <v>11642</v>
      </c>
      <c r="C9" s="103">
        <v>-8.5</v>
      </c>
    </row>
    <row r="10" ht="15.95" customHeight="1" spans="1:3">
      <c r="A10" s="226" t="s">
        <v>469</v>
      </c>
      <c r="B10" s="299">
        <v>2443</v>
      </c>
      <c r="C10" s="103">
        <v>-14</v>
      </c>
    </row>
    <row r="11" ht="15.95" customHeight="1" spans="1:3">
      <c r="A11" s="226" t="s">
        <v>470</v>
      </c>
      <c r="B11" s="299">
        <v>9390</v>
      </c>
      <c r="C11" s="103">
        <v>-5.5</v>
      </c>
    </row>
    <row r="12" ht="15.95" customHeight="1" spans="1:3">
      <c r="A12" s="226" t="s">
        <v>471</v>
      </c>
      <c r="B12" s="299">
        <v>12279</v>
      </c>
      <c r="C12" s="103">
        <v>1.1</v>
      </c>
    </row>
    <row r="13" ht="15.95" customHeight="1" spans="1:3">
      <c r="A13" s="226" t="s">
        <v>472</v>
      </c>
      <c r="B13" s="299">
        <v>28564</v>
      </c>
      <c r="C13" s="103">
        <v>-12.6</v>
      </c>
    </row>
    <row r="14" s="45" customFormat="1" ht="15.95" customHeight="1" spans="1:3">
      <c r="A14" s="226" t="s">
        <v>481</v>
      </c>
      <c r="B14" s="299">
        <v>20458</v>
      </c>
      <c r="C14" s="103">
        <v>-4.1</v>
      </c>
    </row>
    <row r="15" ht="15.95" customHeight="1" spans="1:3">
      <c r="A15" s="219" t="s">
        <v>508</v>
      </c>
      <c r="B15" s="300"/>
      <c r="C15" s="300"/>
    </row>
    <row r="16" ht="15.95" customHeight="1" spans="1:3">
      <c r="A16" s="223" t="s">
        <v>461</v>
      </c>
      <c r="B16" s="279">
        <v>13.32</v>
      </c>
      <c r="C16" s="103">
        <v>-4.6</v>
      </c>
    </row>
    <row r="17" ht="15.95" customHeight="1" spans="1:3">
      <c r="A17" s="223" t="s">
        <v>462</v>
      </c>
      <c r="B17" s="279">
        <v>18.6</v>
      </c>
      <c r="C17" s="103">
        <v>4.4</v>
      </c>
    </row>
    <row r="18" ht="15.95" customHeight="1" spans="1:3">
      <c r="A18" s="226" t="s">
        <v>463</v>
      </c>
      <c r="B18" s="279">
        <v>24.19</v>
      </c>
      <c r="C18" s="103">
        <v>-14.9</v>
      </c>
    </row>
    <row r="19" ht="15.95" customHeight="1" spans="1:3">
      <c r="A19" s="227" t="s">
        <v>464</v>
      </c>
      <c r="B19" s="279">
        <v>29.54</v>
      </c>
      <c r="C19" s="103">
        <v>-2.1</v>
      </c>
    </row>
    <row r="20" ht="15.95" customHeight="1" spans="1:3">
      <c r="A20" s="226" t="s">
        <v>480</v>
      </c>
      <c r="B20" s="279">
        <v>8.83</v>
      </c>
      <c r="C20" s="103">
        <v>-2.8</v>
      </c>
    </row>
    <row r="21" ht="15.95" customHeight="1" spans="1:3">
      <c r="A21" s="226" t="s">
        <v>468</v>
      </c>
      <c r="B21" s="279">
        <v>9.49</v>
      </c>
      <c r="C21" s="103">
        <v>-0.4</v>
      </c>
    </row>
    <row r="22" ht="15.95" customHeight="1" spans="1:3">
      <c r="A22" s="226" t="s">
        <v>469</v>
      </c>
      <c r="B22" s="279">
        <v>2.61</v>
      </c>
      <c r="C22" s="103">
        <v>-1.8</v>
      </c>
    </row>
    <row r="23" ht="15.95" customHeight="1" spans="1:3">
      <c r="A23" s="226" t="s">
        <v>470</v>
      </c>
      <c r="B23" s="279">
        <v>1.12</v>
      </c>
      <c r="C23" s="103">
        <v>-0.4</v>
      </c>
    </row>
    <row r="24" ht="15.95" customHeight="1" spans="1:3">
      <c r="A24" s="226" t="s">
        <v>471</v>
      </c>
      <c r="B24" s="279">
        <v>4.8</v>
      </c>
      <c r="C24" s="103">
        <v>-0.1</v>
      </c>
    </row>
    <row r="25" ht="15.95" customHeight="1" spans="1:3">
      <c r="A25" s="226" t="s">
        <v>472</v>
      </c>
      <c r="B25" s="279">
        <v>10.23</v>
      </c>
      <c r="C25" s="103">
        <v>0</v>
      </c>
    </row>
    <row r="26" ht="15.95" customHeight="1" spans="1:3">
      <c r="A26" s="231" t="s">
        <v>481</v>
      </c>
      <c r="B26" s="301">
        <v>7.87</v>
      </c>
      <c r="C26" s="242">
        <v>-5.1</v>
      </c>
    </row>
    <row r="27" spans="1:3">
      <c r="A27" s="244"/>
      <c r="B27" s="244"/>
      <c r="C27" s="244"/>
    </row>
  </sheetData>
  <mergeCells count="1">
    <mergeCell ref="A1:C1"/>
  </mergeCells>
  <pageMargins left="0.75" right="0.75" top="1" bottom="1" header="0.51" footer="0.5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zoomScale="90" zoomScaleNormal="90" zoomScaleSheetLayoutView="70" workbookViewId="0">
      <selection activeCell="J21" sqref="J21"/>
    </sheetView>
  </sheetViews>
  <sheetFormatPr defaultColWidth="9" defaultRowHeight="14.25" outlineLevelCol="5"/>
  <cols>
    <col min="1" max="1" width="28" style="43" customWidth="1"/>
    <col min="2" max="4" width="9.125" style="43" customWidth="1"/>
    <col min="5" max="5" width="10.375" style="43"/>
    <col min="6" max="16384" width="9" style="43"/>
  </cols>
  <sheetData>
    <row r="1" ht="28.5" customHeight="1" spans="1:6">
      <c r="A1" s="644" t="s">
        <v>38</v>
      </c>
      <c r="B1" s="644"/>
      <c r="C1" s="644"/>
      <c r="D1" s="644"/>
      <c r="E1" s="644"/>
      <c r="F1" s="644"/>
    </row>
    <row r="2" ht="20" customHeight="1" spans="1:6">
      <c r="A2" s="645" t="s">
        <v>1</v>
      </c>
      <c r="B2" s="646" t="s">
        <v>2</v>
      </c>
      <c r="C2" s="647" t="s">
        <v>39</v>
      </c>
      <c r="D2" s="656"/>
      <c r="E2" s="647" t="s">
        <v>40</v>
      </c>
      <c r="F2" s="648"/>
    </row>
    <row r="3" ht="20" customHeight="1" spans="1:6">
      <c r="A3" s="649"/>
      <c r="B3" s="650"/>
      <c r="C3" s="649" t="s">
        <v>5</v>
      </c>
      <c r="D3" s="649" t="s">
        <v>6</v>
      </c>
      <c r="E3" s="649" t="s">
        <v>5</v>
      </c>
      <c r="F3" s="651" t="s">
        <v>6</v>
      </c>
    </row>
    <row r="4" ht="24.95" customHeight="1" spans="1:6">
      <c r="A4" s="652" t="s">
        <v>7</v>
      </c>
      <c r="B4" s="473" t="s">
        <v>8</v>
      </c>
      <c r="C4" s="657" t="s">
        <v>9</v>
      </c>
      <c r="D4" s="658" t="s">
        <v>9</v>
      </c>
      <c r="E4" s="657" t="s">
        <v>9</v>
      </c>
      <c r="F4" s="658" t="s">
        <v>9</v>
      </c>
    </row>
    <row r="5" ht="24.95" customHeight="1" spans="1:6">
      <c r="A5" s="652" t="s">
        <v>10</v>
      </c>
      <c r="B5" s="473" t="s">
        <v>8</v>
      </c>
      <c r="C5" s="654">
        <v>1470.61</v>
      </c>
      <c r="D5" s="383">
        <v>-4.5</v>
      </c>
      <c r="E5" s="654">
        <v>1302.6294</v>
      </c>
      <c r="F5" s="383">
        <v>-3.2</v>
      </c>
    </row>
    <row r="6" ht="24.95" customHeight="1" spans="1:6">
      <c r="A6" s="652" t="s">
        <v>11</v>
      </c>
      <c r="B6" s="473" t="s">
        <v>8</v>
      </c>
      <c r="C6" s="654">
        <v>466.56</v>
      </c>
      <c r="D6" s="383">
        <v>-4.5</v>
      </c>
      <c r="E6" s="654">
        <v>414.5431</v>
      </c>
      <c r="F6" s="383">
        <v>-2.5</v>
      </c>
    </row>
    <row r="7" ht="24.95" customHeight="1" spans="1:6">
      <c r="A7" s="652" t="s">
        <v>12</v>
      </c>
      <c r="B7" s="473" t="s">
        <v>8</v>
      </c>
      <c r="C7" s="653"/>
      <c r="D7" s="383">
        <v>3.1</v>
      </c>
      <c r="E7" s="653"/>
      <c r="F7" s="383">
        <v>4.1</v>
      </c>
    </row>
    <row r="8" ht="24.95" customHeight="1" spans="1:6">
      <c r="A8" s="652" t="s">
        <v>13</v>
      </c>
      <c r="B8" s="473" t="s">
        <v>8</v>
      </c>
      <c r="C8" s="654"/>
      <c r="D8" s="383">
        <v>4.5</v>
      </c>
      <c r="E8" s="653"/>
      <c r="F8" s="383">
        <v>10.4</v>
      </c>
    </row>
    <row r="9" ht="24.95" customHeight="1" spans="1:6">
      <c r="A9" s="652" t="s">
        <v>14</v>
      </c>
      <c r="B9" s="473" t="s">
        <v>15</v>
      </c>
      <c r="C9" s="654">
        <v>357.69</v>
      </c>
      <c r="D9" s="383">
        <v>2.4</v>
      </c>
      <c r="E9" s="654">
        <v>330.53</v>
      </c>
      <c r="F9" s="383">
        <v>2</v>
      </c>
    </row>
    <row r="10" ht="24.95" customHeight="1" spans="1:6">
      <c r="A10" s="652" t="s">
        <v>16</v>
      </c>
      <c r="B10" s="473" t="s">
        <v>8</v>
      </c>
      <c r="C10" s="654">
        <v>1199.99</v>
      </c>
      <c r="D10" s="383">
        <v>8.4</v>
      </c>
      <c r="E10" s="654">
        <v>1047.73</v>
      </c>
      <c r="F10" s="383">
        <v>8.5</v>
      </c>
    </row>
    <row r="11" ht="24.95" customHeight="1" spans="1:6">
      <c r="A11" s="652" t="s">
        <v>17</v>
      </c>
      <c r="B11" s="473" t="s">
        <v>8</v>
      </c>
      <c r="C11" s="654">
        <v>87.1</v>
      </c>
      <c r="D11" s="383">
        <v>4.1</v>
      </c>
      <c r="E11" s="653">
        <v>77.88</v>
      </c>
      <c r="F11" s="383">
        <v>3.7</v>
      </c>
    </row>
    <row r="12" ht="24.95" customHeight="1" spans="1:6">
      <c r="A12" s="652" t="s">
        <v>18</v>
      </c>
      <c r="B12" s="473" t="s">
        <v>8</v>
      </c>
      <c r="C12" s="654">
        <v>325.4</v>
      </c>
      <c r="D12" s="383">
        <v>7.1</v>
      </c>
      <c r="E12" s="653">
        <v>289.19</v>
      </c>
      <c r="F12" s="383">
        <v>6.7</v>
      </c>
    </row>
    <row r="13" ht="24.95" customHeight="1" spans="1:6">
      <c r="A13" s="652" t="s">
        <v>19</v>
      </c>
      <c r="B13" s="473" t="s">
        <v>8</v>
      </c>
      <c r="C13" s="654">
        <v>388.36</v>
      </c>
      <c r="D13" s="383">
        <v>4.1</v>
      </c>
      <c r="E13" s="654">
        <v>359.8809</v>
      </c>
      <c r="F13" s="383">
        <v>8.38</v>
      </c>
    </row>
    <row r="14" ht="24.95" customHeight="1" spans="1:6">
      <c r="A14" s="652" t="s">
        <v>20</v>
      </c>
      <c r="B14" s="473" t="s">
        <v>8</v>
      </c>
      <c r="C14" s="659">
        <v>250.4797</v>
      </c>
      <c r="D14" s="383">
        <v>5.4</v>
      </c>
      <c r="E14" s="654">
        <v>221.73</v>
      </c>
      <c r="F14" s="383">
        <v>10.2</v>
      </c>
    </row>
    <row r="15" ht="24.95" customHeight="1" spans="1:6">
      <c r="A15" s="652" t="s">
        <v>21</v>
      </c>
      <c r="B15" s="473" t="s">
        <v>8</v>
      </c>
      <c r="C15" s="659">
        <v>127.7966</v>
      </c>
      <c r="D15" s="383">
        <v>1.3</v>
      </c>
      <c r="E15" s="654">
        <v>113.76</v>
      </c>
      <c r="F15" s="383">
        <v>3.5</v>
      </c>
    </row>
    <row r="16" ht="24.95" customHeight="1" spans="1:6">
      <c r="A16" s="652" t="s">
        <v>22</v>
      </c>
      <c r="B16" s="473" t="s">
        <v>8</v>
      </c>
      <c r="C16" s="654">
        <v>122.6831</v>
      </c>
      <c r="D16" s="383">
        <v>10.1</v>
      </c>
      <c r="E16" s="654">
        <v>107.97</v>
      </c>
      <c r="F16" s="383">
        <v>18.2</v>
      </c>
    </row>
    <row r="17" ht="24.95" customHeight="1" spans="1:6">
      <c r="A17" s="652" t="s">
        <v>23</v>
      </c>
      <c r="B17" s="473" t="s">
        <v>24</v>
      </c>
      <c r="C17" s="660">
        <v>18168</v>
      </c>
      <c r="D17" s="383">
        <v>193.6</v>
      </c>
      <c r="E17" s="653">
        <v>17006</v>
      </c>
      <c r="F17" s="383">
        <v>194.9</v>
      </c>
    </row>
    <row r="18" ht="24.95" customHeight="1" spans="1:6">
      <c r="A18" s="652" t="s">
        <v>25</v>
      </c>
      <c r="B18" s="473" t="s">
        <v>8</v>
      </c>
      <c r="C18" s="654">
        <v>3657.58</v>
      </c>
      <c r="D18" s="383">
        <v>9.6</v>
      </c>
      <c r="E18" s="653">
        <v>3643.71</v>
      </c>
      <c r="F18" s="383">
        <v>7.8</v>
      </c>
    </row>
    <row r="19" ht="24.95" customHeight="1" spans="1:6">
      <c r="A19" s="652" t="s">
        <v>26</v>
      </c>
      <c r="B19" s="473" t="s">
        <v>8</v>
      </c>
      <c r="C19" s="654">
        <v>2315</v>
      </c>
      <c r="D19" s="383">
        <v>9.8</v>
      </c>
      <c r="E19" s="653">
        <v>2320.44</v>
      </c>
      <c r="F19" s="383">
        <v>10.7</v>
      </c>
    </row>
    <row r="20" ht="24.95" customHeight="1" spans="1:6">
      <c r="A20" s="652" t="s">
        <v>27</v>
      </c>
      <c r="B20" s="473" t="s">
        <v>8</v>
      </c>
      <c r="C20" s="654">
        <v>2396.61</v>
      </c>
      <c r="D20" s="383">
        <v>13.5</v>
      </c>
      <c r="E20" s="653">
        <v>2372.04</v>
      </c>
      <c r="F20" s="383">
        <v>13.5</v>
      </c>
    </row>
    <row r="21" ht="24.95" customHeight="1" spans="1:6">
      <c r="A21" s="652" t="s">
        <v>28</v>
      </c>
      <c r="B21" s="473" t="s">
        <v>29</v>
      </c>
      <c r="C21" s="383">
        <v>102.6</v>
      </c>
      <c r="D21" s="383">
        <v>2.6</v>
      </c>
      <c r="E21" s="653">
        <v>102.3</v>
      </c>
      <c r="F21" s="383">
        <v>2.3</v>
      </c>
    </row>
    <row r="22" ht="24.95" customHeight="1" spans="1:6">
      <c r="A22" s="652" t="s">
        <v>30</v>
      </c>
      <c r="B22" s="473" t="s">
        <v>29</v>
      </c>
      <c r="C22" s="383">
        <v>100</v>
      </c>
      <c r="D22" s="383">
        <v>0</v>
      </c>
      <c r="E22" s="383">
        <v>100.23</v>
      </c>
      <c r="F22" s="383">
        <v>0.23</v>
      </c>
    </row>
    <row r="23" ht="24.95" customHeight="1" spans="1:6">
      <c r="A23" s="652" t="s">
        <v>31</v>
      </c>
      <c r="B23" s="473" t="s">
        <v>32</v>
      </c>
      <c r="C23" s="654">
        <v>141.64</v>
      </c>
      <c r="D23" s="383">
        <v>8.4</v>
      </c>
      <c r="E23" s="654">
        <v>121.8509</v>
      </c>
      <c r="F23" s="383">
        <v>8.38</v>
      </c>
    </row>
    <row r="24" ht="24.95" customHeight="1" spans="1:6">
      <c r="A24" s="652" t="s">
        <v>33</v>
      </c>
      <c r="B24" s="473" t="s">
        <v>32</v>
      </c>
      <c r="C24" s="458">
        <v>81.9</v>
      </c>
      <c r="D24" s="661">
        <v>3</v>
      </c>
      <c r="E24" s="654">
        <v>71.1206</v>
      </c>
      <c r="F24" s="383">
        <v>3.23</v>
      </c>
    </row>
    <row r="25" ht="20" customHeight="1" spans="1:6">
      <c r="A25" s="395" t="s">
        <v>34</v>
      </c>
      <c r="B25" s="395"/>
      <c r="C25" s="395"/>
      <c r="D25" s="395"/>
      <c r="E25" s="395"/>
      <c r="F25" s="395"/>
    </row>
  </sheetData>
  <mergeCells count="6">
    <mergeCell ref="A1:F1"/>
    <mergeCell ref="C2:D2"/>
    <mergeCell ref="E2:F2"/>
    <mergeCell ref="A25:F25"/>
    <mergeCell ref="A2:A3"/>
    <mergeCell ref="B2:B3"/>
  </mergeCells>
  <pageMargins left="0.75" right="0.75" top="1" bottom="1" header="0.5" footer="0.5"/>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D44"/>
  <sheetViews>
    <sheetView workbookViewId="0">
      <selection activeCell="F15" sqref="F15"/>
    </sheetView>
  </sheetViews>
  <sheetFormatPr defaultColWidth="9" defaultRowHeight="14.25" outlineLevelCol="3"/>
  <cols>
    <col min="1" max="1" width="41" style="44" customWidth="1"/>
    <col min="2" max="2" width="13.125" customWidth="1"/>
    <col min="3" max="3" width="13.125" style="277" customWidth="1"/>
    <col min="4" max="4" width="9.75" customWidth="1"/>
  </cols>
  <sheetData>
    <row r="1" ht="28.5" customHeight="1" spans="1:4">
      <c r="A1" s="84" t="s">
        <v>509</v>
      </c>
      <c r="B1" s="84"/>
      <c r="C1" s="84"/>
    </row>
    <row r="2" ht="19" customHeight="1" spans="1:4">
      <c r="A2" s="285"/>
      <c r="B2" s="285"/>
      <c r="C2" s="285" t="s">
        <v>436</v>
      </c>
    </row>
    <row r="3" ht="18" customHeight="1" spans="1:4">
      <c r="A3" s="286" t="s">
        <v>459</v>
      </c>
      <c r="B3" s="287" t="s">
        <v>120</v>
      </c>
      <c r="C3" s="287" t="s">
        <v>6</v>
      </c>
      <c r="D3" s="45"/>
    </row>
    <row r="4" ht="18" customHeight="1" spans="1:4">
      <c r="A4" s="288" t="s">
        <v>510</v>
      </c>
      <c r="B4" s="289"/>
      <c r="C4" s="290"/>
    </row>
    <row r="5" ht="18" customHeight="1" spans="1:4">
      <c r="A5" s="291" t="s">
        <v>461</v>
      </c>
      <c r="B5" s="292">
        <v>102.16</v>
      </c>
      <c r="C5" s="293">
        <v>-17.4</v>
      </c>
    </row>
    <row r="6" ht="18" customHeight="1" spans="1:4">
      <c r="A6" s="291" t="s">
        <v>462</v>
      </c>
      <c r="B6" s="292">
        <v>112.31</v>
      </c>
      <c r="C6" s="293">
        <v>10.6</v>
      </c>
    </row>
    <row r="7" ht="18" customHeight="1" spans="1:4">
      <c r="A7" s="294" t="s">
        <v>463</v>
      </c>
      <c r="B7" s="292">
        <v>107.98</v>
      </c>
      <c r="C7" s="293">
        <v>-4</v>
      </c>
    </row>
    <row r="8" ht="18" customHeight="1" spans="1:4">
      <c r="A8" s="295" t="s">
        <v>464</v>
      </c>
      <c r="B8" s="292">
        <v>94.94</v>
      </c>
      <c r="C8" s="293">
        <v>-68.5</v>
      </c>
    </row>
    <row r="9" ht="18" customHeight="1" spans="1:4">
      <c r="A9" s="294" t="s">
        <v>480</v>
      </c>
      <c r="B9" s="292">
        <v>91.38</v>
      </c>
      <c r="C9" s="293">
        <v>-30.1</v>
      </c>
    </row>
    <row r="10" ht="18" customHeight="1" spans="1:4">
      <c r="A10" s="294" t="s">
        <v>468</v>
      </c>
      <c r="B10" s="292">
        <v>80.17</v>
      </c>
      <c r="C10" s="293">
        <v>-28.6</v>
      </c>
    </row>
    <row r="11" ht="18" customHeight="1" spans="1:4">
      <c r="A11" s="294" t="s">
        <v>469</v>
      </c>
      <c r="B11" s="292">
        <v>109.21</v>
      </c>
      <c r="C11" s="293">
        <v>-93.9</v>
      </c>
    </row>
    <row r="12" ht="18" customHeight="1" spans="1:4">
      <c r="A12" s="294" t="s">
        <v>470</v>
      </c>
      <c r="B12" s="292">
        <v>19.75</v>
      </c>
      <c r="C12" s="293">
        <v>121.3</v>
      </c>
    </row>
    <row r="13" ht="18" customHeight="1" spans="1:4">
      <c r="A13" s="294" t="s">
        <v>471</v>
      </c>
      <c r="B13" s="292">
        <v>110.32</v>
      </c>
      <c r="C13" s="293">
        <v>4.8</v>
      </c>
    </row>
    <row r="14" ht="18" customHeight="1" spans="1:4">
      <c r="A14" s="294" t="s">
        <v>472</v>
      </c>
      <c r="B14" s="292">
        <v>94.57</v>
      </c>
      <c r="C14" s="293">
        <v>-21.2</v>
      </c>
    </row>
    <row r="15" ht="18" customHeight="1" spans="1:4">
      <c r="A15" s="294" t="s">
        <v>481</v>
      </c>
      <c r="B15" s="292">
        <v>102.8</v>
      </c>
      <c r="C15" s="293">
        <v>-12.5</v>
      </c>
    </row>
    <row r="16" ht="18" customHeight="1" spans="1:4">
      <c r="A16" s="288" t="s">
        <v>511</v>
      </c>
      <c r="B16" s="292"/>
      <c r="C16" s="293"/>
      <c r="D16" s="45"/>
    </row>
    <row r="17" ht="18" customHeight="1" spans="1:4">
      <c r="A17" s="291" t="s">
        <v>461</v>
      </c>
      <c r="B17" s="292">
        <v>67.56</v>
      </c>
      <c r="C17" s="293">
        <v>0.4</v>
      </c>
      <c r="D17" s="45"/>
    </row>
    <row r="18" ht="18" customHeight="1" spans="1:4">
      <c r="A18" s="291" t="s">
        <v>462</v>
      </c>
      <c r="B18" s="292">
        <v>36.98</v>
      </c>
      <c r="C18" s="293">
        <v>-7.4</v>
      </c>
      <c r="D18" s="45"/>
    </row>
    <row r="19" ht="18" customHeight="1" spans="1:4">
      <c r="A19" s="294" t="s">
        <v>463</v>
      </c>
      <c r="B19" s="292">
        <v>56.06</v>
      </c>
      <c r="C19" s="293">
        <v>-2.5</v>
      </c>
      <c r="D19" s="45"/>
    </row>
    <row r="20" ht="18" customHeight="1" spans="1:4">
      <c r="A20" s="295" t="s">
        <v>464</v>
      </c>
      <c r="B20" s="292">
        <v>79.22</v>
      </c>
      <c r="C20" s="293">
        <v>-0.4</v>
      </c>
      <c r="D20" s="45"/>
    </row>
    <row r="21" ht="18" customHeight="1" spans="1:4">
      <c r="A21" s="294" t="s">
        <v>480</v>
      </c>
      <c r="B21" s="292">
        <v>66.67</v>
      </c>
      <c r="C21" s="293">
        <v>4.3</v>
      </c>
      <c r="D21" s="45"/>
    </row>
    <row r="22" ht="18" customHeight="1" spans="1:4">
      <c r="A22" s="294" t="s">
        <v>468</v>
      </c>
      <c r="B22" s="292">
        <v>63.68</v>
      </c>
      <c r="C22" s="293">
        <v>12.5</v>
      </c>
      <c r="D22" s="45"/>
    </row>
    <row r="23" ht="18" customHeight="1" spans="1:4">
      <c r="A23" s="294" t="s">
        <v>469</v>
      </c>
      <c r="B23" s="292">
        <v>77.94</v>
      </c>
      <c r="C23" s="293">
        <v>3.5</v>
      </c>
      <c r="D23" s="45"/>
    </row>
    <row r="24" ht="18" customHeight="1" spans="1:4">
      <c r="A24" s="294" t="s">
        <v>470</v>
      </c>
      <c r="B24" s="292">
        <v>99.71</v>
      </c>
      <c r="C24" s="293">
        <v>1.5</v>
      </c>
      <c r="D24" s="45"/>
    </row>
    <row r="25" ht="18" customHeight="1" spans="1:4">
      <c r="A25" s="294" t="s">
        <v>471</v>
      </c>
      <c r="B25" s="292">
        <v>87.72</v>
      </c>
      <c r="C25" s="293">
        <v>0.4</v>
      </c>
      <c r="D25" s="45"/>
    </row>
    <row r="26" ht="18" customHeight="1" spans="1:4">
      <c r="A26" s="294" t="s">
        <v>472</v>
      </c>
      <c r="B26" s="292">
        <v>67.01</v>
      </c>
      <c r="C26" s="293">
        <v>5.2</v>
      </c>
      <c r="D26" s="45"/>
    </row>
    <row r="27" ht="18" customHeight="1" spans="1:4">
      <c r="A27" s="296" t="s">
        <v>481</v>
      </c>
      <c r="B27" s="292">
        <v>56.2</v>
      </c>
      <c r="C27" s="293">
        <v>-0.7</v>
      </c>
      <c r="D27" s="45"/>
    </row>
    <row r="28" spans="1:4">
      <c r="A28" s="280"/>
      <c r="B28" s="280"/>
      <c r="C28" s="280"/>
    </row>
    <row r="34" spans="1:1">
      <c r="A34" s="281"/>
    </row>
    <row r="35" spans="1:1">
      <c r="A35" s="281"/>
    </row>
    <row r="36" spans="1:1">
      <c r="A36" s="281"/>
    </row>
    <row r="37" spans="1:1">
      <c r="A37" s="282"/>
    </row>
    <row r="38" spans="1:1">
      <c r="A38" s="283"/>
    </row>
    <row r="39" spans="1:1">
      <c r="A39" s="283"/>
    </row>
    <row r="40" spans="1:1">
      <c r="A40" s="283"/>
    </row>
    <row r="41" spans="1:1">
      <c r="A41" s="283"/>
    </row>
    <row r="42" spans="1:1">
      <c r="A42" s="284"/>
    </row>
    <row r="43" spans="1:1">
      <c r="A43" s="51"/>
    </row>
    <row r="44" spans="1:1">
      <c r="A44" s="281"/>
    </row>
  </sheetData>
  <mergeCells count="1">
    <mergeCell ref="A1:C1"/>
  </mergeCells>
  <pageMargins left="0.75" right="0.75" top="0.59" bottom="0.59" header="0.51" footer="0.51"/>
  <pageSetup paperSize="9" orientation="portrait"/>
  <headerFooter alignWithMargins="0" scaleWithDoc="0"/>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D44"/>
  <sheetViews>
    <sheetView workbookViewId="0">
      <selection activeCell="E8" sqref="E8"/>
    </sheetView>
  </sheetViews>
  <sheetFormatPr defaultColWidth="9" defaultRowHeight="14.25" outlineLevelCol="3"/>
  <cols>
    <col min="1" max="1" width="41" style="44" customWidth="1"/>
    <col min="2" max="2" width="13.125" customWidth="1"/>
    <col min="3" max="3" width="13.125" style="277" customWidth="1"/>
    <col min="4" max="4" width="9.75" customWidth="1"/>
  </cols>
  <sheetData>
    <row r="1" ht="28.5" customHeight="1" spans="1:4">
      <c r="A1" s="84" t="s">
        <v>512</v>
      </c>
      <c r="B1" s="84"/>
      <c r="C1" s="84"/>
    </row>
    <row r="2" ht="20.25" customHeight="1" spans="1:4">
      <c r="A2" s="110"/>
      <c r="B2" s="110"/>
      <c r="C2" s="234" t="s">
        <v>436</v>
      </c>
    </row>
    <row r="3" ht="28.5" customHeight="1" spans="1:4">
      <c r="A3" s="89" t="s">
        <v>459</v>
      </c>
      <c r="B3" s="138" t="s">
        <v>120</v>
      </c>
      <c r="C3" s="138" t="s">
        <v>6</v>
      </c>
      <c r="D3" s="45"/>
    </row>
    <row r="4" ht="18" customHeight="1" spans="1:4">
      <c r="A4" s="240" t="s">
        <v>513</v>
      </c>
      <c r="B4" s="278"/>
      <c r="C4" s="278"/>
      <c r="D4" s="45"/>
    </row>
    <row r="5" ht="18" customHeight="1" spans="1:4">
      <c r="A5" s="223" t="s">
        <v>461</v>
      </c>
      <c r="B5" s="279">
        <v>2.01</v>
      </c>
      <c r="C5" s="103">
        <v>-0.2</v>
      </c>
      <c r="D5" s="45"/>
    </row>
    <row r="6" ht="18" customHeight="1" spans="1:4">
      <c r="A6" s="223" t="s">
        <v>462</v>
      </c>
      <c r="B6" s="279">
        <v>0.97</v>
      </c>
      <c r="C6" s="103">
        <v>-0.2</v>
      </c>
      <c r="D6" s="45"/>
    </row>
    <row r="7" ht="18" customHeight="1" spans="1:4">
      <c r="A7" s="226" t="s">
        <v>463</v>
      </c>
      <c r="B7" s="279">
        <v>2.66</v>
      </c>
      <c r="C7" s="103">
        <v>-0.6</v>
      </c>
      <c r="D7" s="45"/>
    </row>
    <row r="8" ht="18" customHeight="1" spans="1:4">
      <c r="A8" s="227" t="s">
        <v>464</v>
      </c>
      <c r="B8" s="279">
        <v>6.57</v>
      </c>
      <c r="C8" s="103">
        <v>-0.2</v>
      </c>
      <c r="D8" s="45"/>
    </row>
    <row r="9" ht="18" customHeight="1" spans="1:4">
      <c r="A9" s="226" t="s">
        <v>480</v>
      </c>
      <c r="B9" s="279">
        <v>0.94</v>
      </c>
      <c r="C9" s="103">
        <v>0.1</v>
      </c>
      <c r="D9" s="45"/>
    </row>
    <row r="10" ht="18" customHeight="1" spans="1:4">
      <c r="A10" s="226" t="s">
        <v>468</v>
      </c>
      <c r="B10" s="279">
        <v>3.09</v>
      </c>
      <c r="C10" s="103">
        <v>-1.4</v>
      </c>
      <c r="D10" s="45"/>
    </row>
    <row r="11" ht="18" customHeight="1" spans="1:4">
      <c r="A11" s="226" t="s">
        <v>469</v>
      </c>
      <c r="B11" s="279">
        <v>0.82</v>
      </c>
      <c r="C11" s="103">
        <v>-0.2</v>
      </c>
      <c r="D11" s="45"/>
    </row>
    <row r="12" ht="18" customHeight="1" spans="1:4">
      <c r="A12" s="226" t="s">
        <v>470</v>
      </c>
      <c r="B12" s="279">
        <v>0.33</v>
      </c>
      <c r="C12" s="103">
        <v>-0.1</v>
      </c>
      <c r="D12" s="45"/>
    </row>
    <row r="13" ht="18" customHeight="1" spans="1:4">
      <c r="A13" s="226" t="s">
        <v>471</v>
      </c>
      <c r="B13" s="279">
        <v>0.79</v>
      </c>
      <c r="C13" s="103">
        <v>0</v>
      </c>
      <c r="D13" s="45"/>
    </row>
    <row r="14" ht="18" customHeight="1" spans="1:4">
      <c r="A14" s="226" t="s">
        <v>472</v>
      </c>
      <c r="B14" s="279">
        <v>3.37</v>
      </c>
      <c r="C14" s="103">
        <v>-0.3</v>
      </c>
      <c r="D14" s="45"/>
    </row>
    <row r="15" ht="18" customHeight="1" spans="1:4">
      <c r="A15" s="226" t="s">
        <v>481</v>
      </c>
      <c r="B15" s="279">
        <v>2.16</v>
      </c>
      <c r="C15" s="103">
        <v>0.1</v>
      </c>
      <c r="D15" s="45"/>
    </row>
    <row r="16" ht="18" customHeight="1" spans="1:4">
      <c r="A16" s="219" t="s">
        <v>514</v>
      </c>
      <c r="B16" s="279"/>
      <c r="C16" s="103"/>
    </row>
    <row r="17" ht="18" customHeight="1" spans="1:3">
      <c r="A17" s="223" t="s">
        <v>461</v>
      </c>
      <c r="B17" s="279">
        <v>9.53</v>
      </c>
      <c r="C17" s="103">
        <v>-3.2</v>
      </c>
    </row>
    <row r="18" ht="18" customHeight="1" spans="1:3">
      <c r="A18" s="223" t="s">
        <v>462</v>
      </c>
      <c r="B18" s="279">
        <v>14.28</v>
      </c>
      <c r="C18" s="103">
        <v>7.5</v>
      </c>
    </row>
    <row r="19" ht="18" customHeight="1" spans="1:3">
      <c r="A19" s="226" t="s">
        <v>463</v>
      </c>
      <c r="B19" s="279">
        <v>3.15</v>
      </c>
      <c r="C19" s="103">
        <v>-2.7</v>
      </c>
    </row>
    <row r="20" ht="18" customHeight="1" spans="1:3">
      <c r="A20" s="227" t="s">
        <v>464</v>
      </c>
      <c r="B20" s="279">
        <v>58.67</v>
      </c>
      <c r="C20" s="103">
        <v>-14.8</v>
      </c>
    </row>
    <row r="21" ht="18" customHeight="1" spans="1:3">
      <c r="A21" s="226" t="s">
        <v>480</v>
      </c>
      <c r="B21" s="279">
        <v>8.25</v>
      </c>
      <c r="C21" s="103">
        <v>-5.4</v>
      </c>
    </row>
    <row r="22" ht="18" customHeight="1" spans="1:3">
      <c r="A22" s="226" t="s">
        <v>468</v>
      </c>
      <c r="B22" s="279">
        <v>2.63</v>
      </c>
      <c r="C22" s="103">
        <v>0.5</v>
      </c>
    </row>
    <row r="23" ht="18" customHeight="1" spans="1:3">
      <c r="A23" s="226" t="s">
        <v>469</v>
      </c>
      <c r="B23" s="279">
        <v>9.9</v>
      </c>
      <c r="C23" s="103">
        <v>0.8</v>
      </c>
    </row>
    <row r="24" ht="18" customHeight="1" spans="1:3">
      <c r="A24" s="226" t="s">
        <v>470</v>
      </c>
      <c r="B24" s="279">
        <v>1.61</v>
      </c>
      <c r="C24" s="103">
        <v>-0.3</v>
      </c>
    </row>
    <row r="25" ht="18" customHeight="1" spans="1:3">
      <c r="A25" s="226" t="s">
        <v>471</v>
      </c>
      <c r="B25" s="279">
        <v>1.46</v>
      </c>
      <c r="C25" s="103">
        <v>0.2</v>
      </c>
    </row>
    <row r="26" ht="18" customHeight="1" spans="1:3">
      <c r="A26" s="226" t="s">
        <v>472</v>
      </c>
      <c r="B26" s="279">
        <v>2.76</v>
      </c>
      <c r="C26" s="103">
        <v>0.2</v>
      </c>
    </row>
    <row r="27" ht="18" customHeight="1" spans="1:3">
      <c r="A27" s="226" t="s">
        <v>481</v>
      </c>
      <c r="B27" s="279">
        <v>7.68</v>
      </c>
      <c r="C27" s="103">
        <v>-7.2</v>
      </c>
    </row>
    <row r="28" spans="1:3">
      <c r="A28" s="280"/>
      <c r="B28" s="280"/>
      <c r="C28" s="280"/>
    </row>
    <row r="34" spans="1:1">
      <c r="A34" s="281"/>
    </row>
    <row r="35" spans="1:1">
      <c r="A35" s="281"/>
    </row>
    <row r="36" spans="1:1">
      <c r="A36" s="281"/>
    </row>
    <row r="37" spans="1:1">
      <c r="A37" s="282"/>
    </row>
    <row r="38" spans="1:1">
      <c r="A38" s="283"/>
    </row>
    <row r="39" spans="1:1">
      <c r="A39" s="283"/>
    </row>
    <row r="40" spans="1:1">
      <c r="A40" s="283"/>
    </row>
    <row r="41" spans="1:1">
      <c r="A41" s="283"/>
    </row>
    <row r="42" spans="1:1">
      <c r="A42" s="284"/>
    </row>
    <row r="43" spans="1:1">
      <c r="A43" s="51"/>
    </row>
    <row r="44" spans="1:1">
      <c r="A44" s="281"/>
    </row>
  </sheetData>
  <mergeCells count="1">
    <mergeCell ref="A1:C1"/>
  </mergeCells>
  <pageMargins left="0.75" right="0.75" top="0.59" bottom="0.59" header="0.51" footer="0.51"/>
  <pageSetup paperSize="9" scale="99" orientation="portrait"/>
  <headerFooter alignWithMargins="0" scaleWithDoc="0"/>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D29"/>
  <sheetViews>
    <sheetView workbookViewId="0">
      <selection activeCell="F26" sqref="F26"/>
    </sheetView>
  </sheetViews>
  <sheetFormatPr defaultColWidth="9" defaultRowHeight="14.25" outlineLevelCol="3"/>
  <cols>
    <col min="1" max="1" width="31.75" style="44" customWidth="1"/>
    <col min="2" max="2" width="13.125" customWidth="1"/>
    <col min="3" max="3" width="12.75" customWidth="1"/>
  </cols>
  <sheetData>
    <row r="1" ht="28.5" customHeight="1" spans="1:3">
      <c r="A1" s="84" t="s">
        <v>515</v>
      </c>
      <c r="B1" s="84"/>
      <c r="C1" s="84"/>
    </row>
    <row r="2" ht="20.25" customHeight="1" spans="1:3">
      <c r="A2" s="233"/>
      <c r="B2" s="233"/>
      <c r="C2" s="88" t="s">
        <v>52</v>
      </c>
    </row>
    <row r="3" s="43" customFormat="1" ht="31.5" customHeight="1" spans="1:3">
      <c r="A3" s="89" t="s">
        <v>459</v>
      </c>
      <c r="B3" s="138" t="s">
        <v>54</v>
      </c>
      <c r="C3" s="138" t="s">
        <v>6</v>
      </c>
    </row>
    <row r="4" ht="18" customHeight="1" spans="1:3">
      <c r="A4" s="240" t="s">
        <v>516</v>
      </c>
      <c r="B4" s="142"/>
      <c r="C4" s="142"/>
    </row>
    <row r="5" ht="18" customHeight="1" spans="1:3">
      <c r="A5" s="86" t="s">
        <v>461</v>
      </c>
      <c r="B5" s="105">
        <v>1839.4995</v>
      </c>
      <c r="C5" s="106">
        <v>8.4</v>
      </c>
    </row>
    <row r="6" ht="18" customHeight="1" spans="1:3">
      <c r="A6" s="86" t="s">
        <v>462</v>
      </c>
      <c r="B6" s="105">
        <v>450.8486</v>
      </c>
      <c r="C6" s="106">
        <v>7.9</v>
      </c>
    </row>
    <row r="7" ht="18" customHeight="1" spans="1:3">
      <c r="A7" s="270" t="s">
        <v>463</v>
      </c>
      <c r="B7" s="105">
        <v>467.819</v>
      </c>
      <c r="C7" s="106">
        <v>6.8</v>
      </c>
    </row>
    <row r="8" ht="18" customHeight="1" spans="1:3">
      <c r="A8" s="271" t="s">
        <v>464</v>
      </c>
      <c r="B8" s="105">
        <v>50.2163</v>
      </c>
      <c r="C8" s="106">
        <v>8.9</v>
      </c>
    </row>
    <row r="9" ht="18" customHeight="1" spans="1:3">
      <c r="A9" s="270" t="s">
        <v>480</v>
      </c>
      <c r="B9" s="105">
        <v>79.0402</v>
      </c>
      <c r="C9" s="106">
        <v>8.2</v>
      </c>
    </row>
    <row r="10" ht="18" customHeight="1" spans="1:3">
      <c r="A10" s="270" t="s">
        <v>467</v>
      </c>
      <c r="B10" s="105">
        <v>198.8992</v>
      </c>
      <c r="C10" s="124">
        <v>9.3</v>
      </c>
    </row>
    <row r="11" ht="18" customHeight="1" spans="1:3">
      <c r="A11" s="270" t="s">
        <v>468</v>
      </c>
      <c r="B11" s="105">
        <v>153.7386</v>
      </c>
      <c r="C11" s="124">
        <v>10.3</v>
      </c>
    </row>
    <row r="12" ht="18" customHeight="1" spans="1:3">
      <c r="A12" s="270" t="s">
        <v>469</v>
      </c>
      <c r="B12" s="105">
        <v>99.3424</v>
      </c>
      <c r="C12" s="124">
        <v>8.3</v>
      </c>
    </row>
    <row r="13" ht="18" customHeight="1" spans="1:3">
      <c r="A13" s="270" t="s">
        <v>470</v>
      </c>
      <c r="B13" s="105">
        <v>176.5361</v>
      </c>
      <c r="C13" s="124">
        <v>9.1</v>
      </c>
    </row>
    <row r="14" ht="18" customHeight="1" spans="1:3">
      <c r="A14" s="270" t="s">
        <v>471</v>
      </c>
      <c r="B14" s="105">
        <v>135.3741</v>
      </c>
      <c r="C14" s="124">
        <v>10</v>
      </c>
    </row>
    <row r="15" ht="18" customHeight="1" spans="1:3">
      <c r="A15" s="270" t="s">
        <v>472</v>
      </c>
      <c r="B15" s="105">
        <v>226.5842</v>
      </c>
      <c r="C15" s="124">
        <v>9.8</v>
      </c>
    </row>
    <row r="16" ht="18" customHeight="1" spans="1:3">
      <c r="A16" s="272" t="s">
        <v>517</v>
      </c>
      <c r="B16" s="105"/>
      <c r="C16" s="124"/>
    </row>
    <row r="17" ht="18" customHeight="1" spans="1:4">
      <c r="A17" s="270" t="s">
        <v>461</v>
      </c>
      <c r="B17" s="105"/>
      <c r="C17" s="124">
        <v>-2.3</v>
      </c>
      <c r="D17" s="116"/>
    </row>
    <row r="18" ht="18" customHeight="1" spans="1:4">
      <c r="A18" s="86" t="s">
        <v>462</v>
      </c>
      <c r="B18" s="105"/>
      <c r="C18" s="273">
        <v>3.5</v>
      </c>
      <c r="D18" s="116"/>
    </row>
    <row r="19" ht="18" customHeight="1" spans="1:4">
      <c r="A19" s="86" t="s">
        <v>463</v>
      </c>
      <c r="B19" s="105"/>
      <c r="C19" s="273">
        <v>1.5</v>
      </c>
      <c r="D19" s="116"/>
    </row>
    <row r="20" ht="18" customHeight="1" spans="1:4">
      <c r="A20" s="270" t="s">
        <v>464</v>
      </c>
      <c r="B20" s="105"/>
      <c r="C20" s="273">
        <v>3.1</v>
      </c>
      <c r="D20" s="116"/>
    </row>
    <row r="21" ht="18" customHeight="1" spans="1:4">
      <c r="A21" s="271" t="s">
        <v>480</v>
      </c>
      <c r="B21" s="105"/>
      <c r="C21" s="273">
        <v>19.6</v>
      </c>
      <c r="D21" s="116"/>
    </row>
    <row r="22" ht="18" customHeight="1" spans="1:4">
      <c r="A22" s="270" t="s">
        <v>467</v>
      </c>
      <c r="B22" s="105"/>
      <c r="C22" s="273">
        <v>17.5</v>
      </c>
    </row>
    <row r="23" ht="18" customHeight="1" spans="1:4">
      <c r="A23" s="270" t="s">
        <v>468</v>
      </c>
      <c r="B23" s="105"/>
      <c r="C23" s="273">
        <v>1.6</v>
      </c>
    </row>
    <row r="24" ht="18" customHeight="1" spans="1:4">
      <c r="A24" s="270" t="s">
        <v>469</v>
      </c>
      <c r="B24" s="105"/>
      <c r="C24" s="273">
        <v>34</v>
      </c>
    </row>
    <row r="25" ht="18" customHeight="1" spans="1:4">
      <c r="A25" s="270" t="s">
        <v>470</v>
      </c>
      <c r="B25" s="105"/>
      <c r="C25" s="273">
        <v>6.8</v>
      </c>
    </row>
    <row r="26" ht="18" customHeight="1" spans="1:4">
      <c r="A26" s="270" t="s">
        <v>518</v>
      </c>
      <c r="B26" s="105"/>
      <c r="C26" s="273">
        <v>23.9</v>
      </c>
    </row>
    <row r="27" ht="18" customHeight="1" spans="1:4">
      <c r="A27" s="270" t="s">
        <v>471</v>
      </c>
      <c r="B27" s="105"/>
      <c r="C27" s="273">
        <v>13.1</v>
      </c>
    </row>
    <row r="28" ht="15" spans="1:4">
      <c r="A28" s="274" t="s">
        <v>472</v>
      </c>
      <c r="B28" s="215"/>
      <c r="C28" s="275">
        <v>-54.6</v>
      </c>
    </row>
    <row r="29" spans="1:4">
      <c r="A29" s="86"/>
      <c r="B29" s="276"/>
      <c r="C29" s="86"/>
    </row>
  </sheetData>
  <mergeCells count="1">
    <mergeCell ref="A1:C1"/>
  </mergeCells>
  <printOptions horizontalCentered="1"/>
  <pageMargins left="0.75" right="0.75" top="0.59" bottom="0.59" header="0.51" footer="0.51"/>
  <pageSetup paperSize="9" scale="97" orientation="portrait"/>
  <headerFooter alignWithMargins="0" scaleWithDoc="0"/>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D28"/>
  <sheetViews>
    <sheetView workbookViewId="0">
      <selection activeCell="G25" sqref="G25"/>
    </sheetView>
  </sheetViews>
  <sheetFormatPr defaultColWidth="9" defaultRowHeight="14.25" outlineLevelCol="3"/>
  <cols>
    <col min="1" max="1" width="31.75" style="217" customWidth="1"/>
    <col min="2" max="2" width="13.125" style="245" customWidth="1"/>
    <col min="3" max="3" width="12.75" style="245" customWidth="1"/>
    <col min="4" max="16384" width="9" style="245"/>
  </cols>
  <sheetData>
    <row r="1" ht="28.5" customHeight="1" spans="1:3">
      <c r="A1" s="84" t="s">
        <v>519</v>
      </c>
      <c r="B1" s="84"/>
      <c r="C1" s="85"/>
    </row>
    <row r="2" ht="20.25" customHeight="1" spans="1:3">
      <c r="A2" s="248"/>
      <c r="B2" s="248"/>
      <c r="C2" s="249" t="s">
        <v>52</v>
      </c>
    </row>
    <row r="3" s="218" customFormat="1" ht="31.5" customHeight="1" spans="1:3">
      <c r="A3" s="250" t="s">
        <v>459</v>
      </c>
      <c r="B3" s="251" t="s">
        <v>54</v>
      </c>
      <c r="C3" s="252" t="s">
        <v>6</v>
      </c>
    </row>
    <row r="4" ht="18" customHeight="1" spans="1:3">
      <c r="A4" s="253" t="s">
        <v>520</v>
      </c>
      <c r="B4" s="254"/>
      <c r="C4" s="255"/>
    </row>
    <row r="5" ht="18" customHeight="1" spans="1:3">
      <c r="A5" s="256" t="s">
        <v>461</v>
      </c>
      <c r="B5" s="257"/>
      <c r="C5" s="258">
        <v>-4</v>
      </c>
    </row>
    <row r="6" ht="18" customHeight="1" spans="1:3">
      <c r="A6" s="256" t="s">
        <v>462</v>
      </c>
      <c r="B6" s="257"/>
      <c r="C6" s="258">
        <v>2.3</v>
      </c>
    </row>
    <row r="7" ht="18" customHeight="1" spans="1:3">
      <c r="A7" s="259" t="s">
        <v>463</v>
      </c>
      <c r="B7" s="257"/>
      <c r="C7" s="258">
        <v>56.6</v>
      </c>
    </row>
    <row r="8" ht="18" customHeight="1" spans="1:3">
      <c r="A8" s="260" t="s">
        <v>464</v>
      </c>
      <c r="B8" s="257"/>
      <c r="C8" s="258">
        <v>-17.8</v>
      </c>
    </row>
    <row r="9" ht="18" customHeight="1" spans="1:3">
      <c r="A9" s="259" t="s">
        <v>480</v>
      </c>
      <c r="B9" s="257"/>
      <c r="C9" s="258">
        <v>-47.4</v>
      </c>
    </row>
    <row r="10" ht="18" customHeight="1" spans="1:3">
      <c r="A10" s="259" t="s">
        <v>467</v>
      </c>
      <c r="B10" s="257"/>
      <c r="C10" s="258">
        <v>24.3</v>
      </c>
    </row>
    <row r="11" ht="18" customHeight="1" spans="1:3">
      <c r="A11" s="259" t="s">
        <v>468</v>
      </c>
      <c r="B11" s="257"/>
      <c r="C11" s="258">
        <v>-26.5</v>
      </c>
    </row>
    <row r="12" ht="18" customHeight="1" spans="1:3">
      <c r="A12" s="259" t="s">
        <v>469</v>
      </c>
      <c r="B12" s="257"/>
      <c r="C12" s="258">
        <v>48.1</v>
      </c>
    </row>
    <row r="13" ht="18" customHeight="1" spans="1:3">
      <c r="A13" s="259" t="s">
        <v>470</v>
      </c>
      <c r="B13" s="257"/>
      <c r="C13" s="258">
        <v>-28.5</v>
      </c>
    </row>
    <row r="14" ht="18" customHeight="1" spans="1:3">
      <c r="A14" s="259" t="s">
        <v>471</v>
      </c>
      <c r="B14" s="257"/>
      <c r="C14" s="258">
        <v>60.2</v>
      </c>
    </row>
    <row r="15" ht="18" customHeight="1" spans="1:3">
      <c r="A15" s="259" t="s">
        <v>472</v>
      </c>
      <c r="B15" s="257"/>
      <c r="C15" s="258">
        <v>-71.6</v>
      </c>
    </row>
    <row r="16" ht="18" customHeight="1" spans="1:3">
      <c r="A16" s="253" t="s">
        <v>521</v>
      </c>
      <c r="B16" s="261"/>
      <c r="C16" s="262"/>
    </row>
    <row r="17" ht="18" customHeight="1" spans="1:4">
      <c r="A17" s="256" t="s">
        <v>461</v>
      </c>
      <c r="B17" s="257"/>
      <c r="C17" s="258">
        <v>43.8</v>
      </c>
      <c r="D17" s="247"/>
    </row>
    <row r="18" ht="18" customHeight="1" spans="1:4">
      <c r="A18" s="256" t="s">
        <v>462</v>
      </c>
      <c r="B18" s="257"/>
      <c r="C18" s="258">
        <v>8.5</v>
      </c>
      <c r="D18" s="247"/>
    </row>
    <row r="19" ht="18" customHeight="1" spans="1:4">
      <c r="A19" s="259" t="s">
        <v>463</v>
      </c>
      <c r="B19" s="257"/>
      <c r="C19" s="258">
        <v>259.8</v>
      </c>
      <c r="D19" s="247"/>
    </row>
    <row r="20" ht="18" customHeight="1" spans="1:4">
      <c r="A20" s="260" t="s">
        <v>464</v>
      </c>
      <c r="B20" s="257"/>
      <c r="C20" s="258">
        <v>6.7</v>
      </c>
      <c r="D20" s="247"/>
    </row>
    <row r="21" ht="18" customHeight="1" spans="1:4">
      <c r="A21" s="259" t="s">
        <v>480</v>
      </c>
      <c r="B21" s="257"/>
      <c r="C21" s="258">
        <v>-63.9</v>
      </c>
      <c r="D21" s="247"/>
    </row>
    <row r="22" ht="18" customHeight="1" spans="1:4">
      <c r="A22" s="259" t="s">
        <v>467</v>
      </c>
      <c r="B22" s="257"/>
      <c r="C22" s="258">
        <v>136.3</v>
      </c>
    </row>
    <row r="23" ht="18" customHeight="1" spans="1:4">
      <c r="A23" s="259" t="s">
        <v>468</v>
      </c>
      <c r="B23" s="257"/>
      <c r="C23" s="258">
        <v>24.8</v>
      </c>
    </row>
    <row r="24" ht="18" customHeight="1" spans="1:4">
      <c r="A24" s="259" t="s">
        <v>469</v>
      </c>
      <c r="B24" s="263"/>
      <c r="C24" s="258">
        <v>-81.6</v>
      </c>
    </row>
    <row r="25" ht="18" customHeight="1" spans="1:4">
      <c r="A25" s="259" t="s">
        <v>470</v>
      </c>
      <c r="B25" s="257"/>
      <c r="C25" s="258">
        <v>7.6</v>
      </c>
    </row>
    <row r="26" ht="17.1" customHeight="1" spans="1:4">
      <c r="A26" s="259" t="s">
        <v>471</v>
      </c>
      <c r="B26" s="257"/>
      <c r="C26" s="258">
        <v>9.3</v>
      </c>
    </row>
    <row r="27" ht="18" customHeight="1" spans="1:4">
      <c r="A27" s="264" t="s">
        <v>472</v>
      </c>
      <c r="B27" s="265"/>
      <c r="C27" s="266">
        <v>-34.3</v>
      </c>
    </row>
    <row r="28" spans="1:4">
      <c r="A28" s="267"/>
      <c r="B28" s="268"/>
      <c r="C28" s="269"/>
    </row>
  </sheetData>
  <mergeCells count="1">
    <mergeCell ref="A1:C1"/>
  </mergeCells>
  <printOptions horizontalCentered="1"/>
  <pageMargins left="0.75" right="0.75" top="0.59" bottom="0.59" header="0.51" footer="0.51"/>
  <pageSetup paperSize="9" scale="97" orientation="portrait"/>
  <headerFooter alignWithMargins="0" scaleWithDoc="0"/>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D28"/>
  <sheetViews>
    <sheetView workbookViewId="0">
      <selection activeCell="D26" sqref="D26"/>
    </sheetView>
  </sheetViews>
  <sheetFormatPr defaultColWidth="9" defaultRowHeight="14.25" outlineLevelCol="3"/>
  <cols>
    <col min="1" max="1" width="37.375" style="217" customWidth="1"/>
    <col min="2" max="2" width="13.125" style="245" customWidth="1"/>
    <col min="3" max="3" width="12.75" style="245" customWidth="1"/>
    <col min="4" max="16384" width="9" style="245"/>
  </cols>
  <sheetData>
    <row r="1" ht="28.5" customHeight="1" spans="1:3">
      <c r="A1" s="84" t="s">
        <v>522</v>
      </c>
      <c r="B1" s="84"/>
      <c r="C1" s="84"/>
    </row>
    <row r="2" ht="20.25" customHeight="1" spans="1:3">
      <c r="A2" s="39"/>
      <c r="B2" s="39"/>
      <c r="C2" s="246" t="s">
        <v>52</v>
      </c>
    </row>
    <row r="3" s="218" customFormat="1" ht="31.5" customHeight="1" spans="1:3">
      <c r="A3" s="89" t="s">
        <v>459</v>
      </c>
      <c r="B3" s="138" t="s">
        <v>54</v>
      </c>
      <c r="C3" s="138" t="s">
        <v>6</v>
      </c>
    </row>
    <row r="4" ht="18" customHeight="1" spans="1:3">
      <c r="A4" s="219" t="s">
        <v>523</v>
      </c>
      <c r="B4" s="235"/>
      <c r="C4" s="236"/>
    </row>
    <row r="5" ht="18" customHeight="1" spans="1:3">
      <c r="A5" s="223" t="s">
        <v>461</v>
      </c>
      <c r="B5" s="237"/>
      <c r="C5" s="238">
        <v>0.4</v>
      </c>
    </row>
    <row r="6" ht="18" customHeight="1" spans="1:3">
      <c r="A6" s="223" t="s">
        <v>462</v>
      </c>
      <c r="B6" s="237"/>
      <c r="C6" s="238">
        <v>3.4</v>
      </c>
    </row>
    <row r="7" ht="18" customHeight="1" spans="1:3">
      <c r="A7" s="226" t="s">
        <v>463</v>
      </c>
      <c r="B7" s="237"/>
      <c r="C7" s="238">
        <v>-34.5</v>
      </c>
    </row>
    <row r="8" ht="18" customHeight="1" spans="1:3">
      <c r="A8" s="227" t="s">
        <v>464</v>
      </c>
      <c r="B8" s="237"/>
      <c r="C8" s="238">
        <v>39.2</v>
      </c>
    </row>
    <row r="9" ht="18" customHeight="1" spans="1:3">
      <c r="A9" s="226" t="s">
        <v>480</v>
      </c>
      <c r="B9" s="237"/>
      <c r="C9" s="238">
        <v>71.9</v>
      </c>
    </row>
    <row r="10" ht="18" customHeight="1" spans="1:3">
      <c r="A10" s="226" t="s">
        <v>467</v>
      </c>
      <c r="B10" s="237"/>
      <c r="C10" s="124">
        <v>13</v>
      </c>
    </row>
    <row r="11" ht="18" customHeight="1" spans="1:3">
      <c r="A11" s="226" t="s">
        <v>468</v>
      </c>
      <c r="B11" s="101"/>
      <c r="C11" s="103">
        <v>8.3</v>
      </c>
    </row>
    <row r="12" ht="18" customHeight="1" spans="1:3">
      <c r="A12" s="226" t="s">
        <v>469</v>
      </c>
      <c r="B12" s="101"/>
      <c r="C12" s="103">
        <v>54.1</v>
      </c>
    </row>
    <row r="13" ht="18" customHeight="1" spans="1:3">
      <c r="A13" s="226" t="s">
        <v>470</v>
      </c>
      <c r="B13" s="101"/>
      <c r="C13" s="103">
        <v>120.5</v>
      </c>
    </row>
    <row r="14" ht="18" customHeight="1" spans="1:3">
      <c r="A14" s="226" t="s">
        <v>471</v>
      </c>
      <c r="B14" s="101"/>
      <c r="C14" s="103">
        <v>120.8</v>
      </c>
    </row>
    <row r="15" ht="18" customHeight="1" spans="1:3">
      <c r="A15" s="226" t="s">
        <v>472</v>
      </c>
      <c r="B15" s="101"/>
      <c r="C15" s="103">
        <v>-53.5</v>
      </c>
    </row>
    <row r="16" ht="18" customHeight="1" spans="1:3">
      <c r="A16" s="240" t="s">
        <v>524</v>
      </c>
      <c r="B16" s="101"/>
      <c r="C16" s="142"/>
    </row>
    <row r="17" ht="18" customHeight="1" spans="1:4">
      <c r="A17" s="223" t="s">
        <v>461</v>
      </c>
      <c r="B17" s="101">
        <v>529.95</v>
      </c>
      <c r="C17" s="103">
        <v>-3.2</v>
      </c>
      <c r="D17" s="247"/>
    </row>
    <row r="18" ht="18" customHeight="1" spans="1:4">
      <c r="A18" s="223" t="s">
        <v>462</v>
      </c>
      <c r="B18" s="101">
        <v>75.59</v>
      </c>
      <c r="C18" s="103">
        <v>-2.3</v>
      </c>
      <c r="D18" s="247"/>
    </row>
    <row r="19" ht="18" customHeight="1" spans="1:4">
      <c r="A19" s="226" t="s">
        <v>463</v>
      </c>
      <c r="B19" s="101">
        <v>62.35</v>
      </c>
      <c r="C19" s="103">
        <v>49.7</v>
      </c>
      <c r="D19" s="247"/>
    </row>
    <row r="20" ht="18" customHeight="1" spans="1:4">
      <c r="A20" s="227" t="s">
        <v>464</v>
      </c>
      <c r="B20" s="101">
        <v>22.24</v>
      </c>
      <c r="C20" s="103">
        <v>57.1</v>
      </c>
      <c r="D20" s="247"/>
    </row>
    <row r="21" ht="18" customHeight="1" spans="1:4">
      <c r="A21" s="226" t="s">
        <v>480</v>
      </c>
      <c r="B21" s="101">
        <v>29.07</v>
      </c>
      <c r="C21" s="103">
        <v>-24</v>
      </c>
      <c r="D21" s="247"/>
    </row>
    <row r="22" ht="18" customHeight="1" spans="1:4">
      <c r="A22" s="226" t="s">
        <v>467</v>
      </c>
      <c r="B22" s="101">
        <v>55.91</v>
      </c>
      <c r="C22" s="103">
        <v>-37.7</v>
      </c>
    </row>
    <row r="23" ht="18" customHeight="1" spans="1:4">
      <c r="A23" s="226" t="s">
        <v>468</v>
      </c>
      <c r="B23" s="101">
        <v>99.51</v>
      </c>
      <c r="C23" s="103">
        <v>16.8</v>
      </c>
    </row>
    <row r="24" ht="18" customHeight="1" spans="1:4">
      <c r="A24" s="226" t="s">
        <v>469</v>
      </c>
      <c r="B24" s="101">
        <v>39.68</v>
      </c>
      <c r="C24" s="103">
        <v>-12.9</v>
      </c>
    </row>
    <row r="25" ht="18" customHeight="1" spans="1:4">
      <c r="A25" s="226" t="s">
        <v>470</v>
      </c>
      <c r="B25" s="101">
        <v>32.85</v>
      </c>
      <c r="C25" s="103">
        <v>18.4</v>
      </c>
    </row>
    <row r="26" ht="18" customHeight="1" spans="1:4">
      <c r="A26" s="226" t="s">
        <v>471</v>
      </c>
      <c r="B26" s="101">
        <v>60.48</v>
      </c>
      <c r="C26" s="103">
        <v>11</v>
      </c>
    </row>
    <row r="27" ht="18" customHeight="1" spans="1:4">
      <c r="A27" s="231" t="s">
        <v>472</v>
      </c>
      <c r="B27" s="241">
        <v>68.12</v>
      </c>
      <c r="C27" s="242">
        <v>-35.5</v>
      </c>
    </row>
    <row r="28" spans="1:4">
      <c r="A28" s="244"/>
      <c r="B28" s="244"/>
      <c r="C28" s="244"/>
    </row>
  </sheetData>
  <mergeCells count="1">
    <mergeCell ref="A1:C1"/>
  </mergeCells>
  <printOptions horizontalCentered="1"/>
  <pageMargins left="0.75" right="0.75" top="0.59" bottom="0.59" header="0.51" footer="0.51"/>
  <pageSetup paperSize="9" scale="97" orientation="portrait"/>
  <headerFooter alignWithMargins="0" scaleWithDoc="0"/>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D28"/>
  <sheetViews>
    <sheetView workbookViewId="0">
      <selection activeCell="E25" sqref="E25"/>
    </sheetView>
  </sheetViews>
  <sheetFormatPr defaultColWidth="9" defaultRowHeight="14.25" outlineLevelCol="3"/>
  <cols>
    <col min="1" max="1" width="32.75" style="44" customWidth="1"/>
    <col min="2" max="3" width="13.125" customWidth="1"/>
  </cols>
  <sheetData>
    <row r="1" ht="28.5" customHeight="1" spans="1:4">
      <c r="A1" s="84" t="s">
        <v>525</v>
      </c>
      <c r="B1" s="84"/>
      <c r="C1" s="84"/>
    </row>
    <row r="2" ht="20.25" customHeight="1" spans="1:4">
      <c r="A2" s="233"/>
      <c r="B2" s="233"/>
      <c r="C2" s="234" t="s">
        <v>52</v>
      </c>
    </row>
    <row r="3" s="43" customFormat="1" ht="31.5" customHeight="1" spans="1:4">
      <c r="A3" s="89" t="s">
        <v>459</v>
      </c>
      <c r="B3" s="138" t="s">
        <v>54</v>
      </c>
      <c r="C3" s="138" t="s">
        <v>6</v>
      </c>
    </row>
    <row r="4" ht="18" customHeight="1" spans="1:4">
      <c r="A4" s="219" t="s">
        <v>526</v>
      </c>
      <c r="B4" s="235"/>
      <c r="C4" s="236"/>
    </row>
    <row r="5" ht="18" customHeight="1" spans="1:4">
      <c r="A5" s="223" t="s">
        <v>461</v>
      </c>
      <c r="B5" s="237">
        <v>131.2581</v>
      </c>
      <c r="C5" s="238">
        <v>7.7</v>
      </c>
    </row>
    <row r="6" ht="18" customHeight="1" spans="1:4">
      <c r="A6" s="223" t="s">
        <v>462</v>
      </c>
      <c r="B6" s="237">
        <v>3.8964</v>
      </c>
      <c r="C6" s="238">
        <v>4.8</v>
      </c>
      <c r="D6" s="239"/>
    </row>
    <row r="7" ht="18" customHeight="1" spans="1:4">
      <c r="A7" s="226" t="s">
        <v>463</v>
      </c>
      <c r="B7" s="237">
        <v>7.3656</v>
      </c>
      <c r="C7" s="238">
        <v>-9.8</v>
      </c>
      <c r="D7" s="239"/>
    </row>
    <row r="8" ht="18" customHeight="1" spans="1:4">
      <c r="A8" s="227" t="s">
        <v>464</v>
      </c>
      <c r="B8" s="237">
        <v>5.3542</v>
      </c>
      <c r="C8" s="238">
        <v>10</v>
      </c>
      <c r="D8" s="239"/>
    </row>
    <row r="9" ht="18" customHeight="1" spans="1:4">
      <c r="A9" s="226" t="s">
        <v>480</v>
      </c>
      <c r="B9" s="237">
        <v>5.521</v>
      </c>
      <c r="C9" s="238">
        <v>10.3</v>
      </c>
      <c r="D9" s="239"/>
    </row>
    <row r="10" ht="18" customHeight="1" spans="1:4">
      <c r="A10" s="226" t="s">
        <v>467</v>
      </c>
      <c r="B10" s="237">
        <v>14.3368</v>
      </c>
      <c r="C10" s="124">
        <v>17</v>
      </c>
    </row>
    <row r="11" ht="18" customHeight="1" spans="1:4">
      <c r="A11" s="226" t="s">
        <v>468</v>
      </c>
      <c r="B11" s="101">
        <v>10.0838</v>
      </c>
      <c r="C11" s="103">
        <v>19.4</v>
      </c>
    </row>
    <row r="12" ht="18" customHeight="1" spans="1:4">
      <c r="A12" s="226" t="s">
        <v>469</v>
      </c>
      <c r="B12" s="101">
        <v>5.3984</v>
      </c>
      <c r="C12" s="103">
        <v>9</v>
      </c>
    </row>
    <row r="13" ht="18" customHeight="1" spans="1:4">
      <c r="A13" s="226" t="s">
        <v>470</v>
      </c>
      <c r="B13" s="101">
        <v>5.8747</v>
      </c>
      <c r="C13" s="103">
        <v>6.5</v>
      </c>
    </row>
    <row r="14" ht="18" customHeight="1" spans="1:4">
      <c r="A14" s="226" t="s">
        <v>471</v>
      </c>
      <c r="B14" s="101">
        <v>8.0205</v>
      </c>
      <c r="C14" s="103">
        <v>8.3</v>
      </c>
    </row>
    <row r="15" ht="18" customHeight="1" spans="1:4">
      <c r="A15" s="226" t="s">
        <v>472</v>
      </c>
      <c r="B15" s="101">
        <v>12.8233</v>
      </c>
      <c r="C15" s="103">
        <v>6.1</v>
      </c>
    </row>
    <row r="16" ht="18" customHeight="1" spans="1:4">
      <c r="A16" s="240" t="s">
        <v>527</v>
      </c>
      <c r="B16" s="101"/>
      <c r="C16" s="142"/>
      <c r="D16" s="43"/>
    </row>
    <row r="17" ht="18" customHeight="1" spans="1:3">
      <c r="A17" s="223" t="s">
        <v>461</v>
      </c>
      <c r="B17" s="101">
        <v>507.0251</v>
      </c>
      <c r="C17" s="103">
        <v>6.3</v>
      </c>
    </row>
    <row r="18" ht="18" customHeight="1" spans="1:3">
      <c r="A18" s="223" t="s">
        <v>462</v>
      </c>
      <c r="B18" s="101">
        <v>11.2422</v>
      </c>
      <c r="C18" s="103">
        <v>-2.6</v>
      </c>
    </row>
    <row r="19" ht="18" customHeight="1" spans="1:3">
      <c r="A19" s="226" t="s">
        <v>463</v>
      </c>
      <c r="B19" s="101">
        <v>17.0792</v>
      </c>
      <c r="C19" s="103">
        <v>7.4</v>
      </c>
    </row>
    <row r="20" ht="18" customHeight="1" spans="1:3">
      <c r="A20" s="227" t="s">
        <v>464</v>
      </c>
      <c r="B20" s="101">
        <v>21.568</v>
      </c>
      <c r="C20" s="103">
        <v>35</v>
      </c>
    </row>
    <row r="21" ht="18" customHeight="1" spans="1:3">
      <c r="A21" s="226" t="s">
        <v>480</v>
      </c>
      <c r="B21" s="101">
        <v>15.645</v>
      </c>
      <c r="C21" s="103">
        <v>16.8</v>
      </c>
    </row>
    <row r="22" ht="18" customHeight="1" spans="1:3">
      <c r="A22" s="226" t="s">
        <v>467</v>
      </c>
      <c r="B22" s="101">
        <v>28.7755</v>
      </c>
      <c r="C22" s="103">
        <v>21.2</v>
      </c>
    </row>
    <row r="23" ht="18" customHeight="1" spans="1:3">
      <c r="A23" s="226" t="s">
        <v>468</v>
      </c>
      <c r="B23" s="101">
        <v>54.4887</v>
      </c>
      <c r="C23" s="103">
        <v>12.3</v>
      </c>
    </row>
    <row r="24" ht="18" customHeight="1" spans="1:3">
      <c r="A24" s="226" t="s">
        <v>469</v>
      </c>
      <c r="B24" s="101">
        <v>40.9536</v>
      </c>
      <c r="C24" s="103">
        <v>3.8</v>
      </c>
    </row>
    <row r="25" ht="18" customHeight="1" spans="1:3">
      <c r="A25" s="226" t="s">
        <v>470</v>
      </c>
      <c r="B25" s="101">
        <v>70.8651</v>
      </c>
      <c r="C25" s="103">
        <v>-0.7</v>
      </c>
    </row>
    <row r="26" ht="18" customHeight="1" spans="1:3">
      <c r="A26" s="226" t="s">
        <v>471</v>
      </c>
      <c r="B26" s="101">
        <v>49.9295</v>
      </c>
      <c r="C26" s="103">
        <v>9</v>
      </c>
    </row>
    <row r="27" ht="18" customHeight="1" spans="1:3">
      <c r="A27" s="231" t="s">
        <v>472</v>
      </c>
      <c r="B27" s="241">
        <v>93.1619</v>
      </c>
      <c r="C27" s="242">
        <v>19</v>
      </c>
    </row>
    <row r="28" spans="1:3">
      <c r="A28" s="243"/>
      <c r="B28" s="244"/>
      <c r="C28" s="244"/>
    </row>
  </sheetData>
  <mergeCells count="1">
    <mergeCell ref="A1:C1"/>
  </mergeCells>
  <pageMargins left="0.75" right="0.75" top="0.39" bottom="0.39" header="0.51" footer="0.51"/>
  <pageSetup paperSize="9" scale="96" orientation="portrait"/>
  <headerFooter alignWithMargins="0" scaleWithDoc="0"/>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E28"/>
  <sheetViews>
    <sheetView workbookViewId="0">
      <selection activeCell="E14" sqref="E14"/>
    </sheetView>
  </sheetViews>
  <sheetFormatPr defaultColWidth="9" defaultRowHeight="14.25" outlineLevelCol="4"/>
  <cols>
    <col min="1" max="1" width="35.5" style="217" customWidth="1"/>
    <col min="2" max="3" width="13.125" style="218" customWidth="1"/>
    <col min="4" max="16384" width="9" style="218"/>
  </cols>
  <sheetData>
    <row r="1" ht="28.5" customHeight="1" spans="1:5">
      <c r="A1" s="84" t="s">
        <v>528</v>
      </c>
      <c r="B1" s="84"/>
      <c r="C1" s="84"/>
    </row>
    <row r="2" ht="31.5" customHeight="1" spans="1:5">
      <c r="A2" s="89" t="s">
        <v>459</v>
      </c>
      <c r="B2" s="138" t="s">
        <v>54</v>
      </c>
      <c r="C2" s="138" t="s">
        <v>6</v>
      </c>
    </row>
    <row r="3" ht="24" customHeight="1" spans="1:5">
      <c r="A3" s="219" t="s">
        <v>529</v>
      </c>
      <c r="B3" s="220"/>
      <c r="C3" s="221"/>
      <c r="D3" s="222"/>
    </row>
    <row r="4" ht="18" customHeight="1" spans="1:5">
      <c r="A4" s="223" t="s">
        <v>461</v>
      </c>
      <c r="B4" s="105">
        <v>373.1906</v>
      </c>
      <c r="C4" s="106">
        <v>10.1</v>
      </c>
      <c r="E4" s="224"/>
    </row>
    <row r="5" ht="18" customHeight="1" spans="1:5">
      <c r="A5" s="223" t="s">
        <v>462</v>
      </c>
      <c r="B5" s="225" t="s">
        <v>9</v>
      </c>
      <c r="C5" s="100" t="s">
        <v>9</v>
      </c>
      <c r="E5" s="224"/>
    </row>
    <row r="6" ht="18" customHeight="1" spans="1:5">
      <c r="A6" s="226" t="s">
        <v>463</v>
      </c>
      <c r="B6" s="225" t="s">
        <v>9</v>
      </c>
      <c r="C6" s="100" t="s">
        <v>9</v>
      </c>
      <c r="E6" s="224"/>
    </row>
    <row r="7" ht="18" customHeight="1" spans="1:5">
      <c r="A7" s="227" t="s">
        <v>464</v>
      </c>
      <c r="B7" s="225" t="s">
        <v>9</v>
      </c>
      <c r="C7" s="100" t="s">
        <v>9</v>
      </c>
      <c r="E7" s="224"/>
    </row>
    <row r="8" ht="18" customHeight="1" spans="1:5">
      <c r="A8" s="226" t="s">
        <v>480</v>
      </c>
      <c r="B8" s="225" t="s">
        <v>9</v>
      </c>
      <c r="C8" s="100" t="s">
        <v>9</v>
      </c>
      <c r="E8" s="224"/>
    </row>
    <row r="9" ht="18" customHeight="1" spans="1:5">
      <c r="A9" s="226" t="s">
        <v>467</v>
      </c>
      <c r="B9" s="225" t="s">
        <v>9</v>
      </c>
      <c r="C9" s="100" t="s">
        <v>9</v>
      </c>
    </row>
    <row r="10" ht="18" customHeight="1" spans="1:5">
      <c r="A10" s="226" t="s">
        <v>468</v>
      </c>
      <c r="B10" s="225" t="s">
        <v>9</v>
      </c>
      <c r="C10" s="100" t="s">
        <v>9</v>
      </c>
    </row>
    <row r="11" ht="18" customHeight="1" spans="1:5">
      <c r="A11" s="226" t="s">
        <v>469</v>
      </c>
      <c r="B11" s="225" t="s">
        <v>9</v>
      </c>
      <c r="C11" s="100" t="s">
        <v>9</v>
      </c>
    </row>
    <row r="12" ht="18" customHeight="1" spans="1:5">
      <c r="A12" s="226" t="s">
        <v>470</v>
      </c>
      <c r="B12" s="225" t="s">
        <v>9</v>
      </c>
      <c r="C12" s="100" t="s">
        <v>9</v>
      </c>
    </row>
    <row r="13" ht="18" customHeight="1" spans="1:5">
      <c r="A13" s="226" t="s">
        <v>471</v>
      </c>
      <c r="B13" s="225" t="s">
        <v>9</v>
      </c>
      <c r="C13" s="100" t="s">
        <v>9</v>
      </c>
    </row>
    <row r="14" ht="18" customHeight="1" spans="1:5">
      <c r="A14" s="226" t="s">
        <v>472</v>
      </c>
      <c r="B14" s="225" t="s">
        <v>9</v>
      </c>
      <c r="C14" s="100" t="s">
        <v>9</v>
      </c>
    </row>
    <row r="15" ht="24.95" customHeight="1" spans="1:5">
      <c r="A15" s="219" t="s">
        <v>530</v>
      </c>
      <c r="B15" s="228"/>
      <c r="C15" s="229"/>
    </row>
    <row r="16" ht="18" customHeight="1" spans="1:5">
      <c r="A16" s="223" t="s">
        <v>461</v>
      </c>
      <c r="B16" s="230">
        <v>23577</v>
      </c>
      <c r="C16" s="124">
        <v>237.7</v>
      </c>
    </row>
    <row r="17" ht="18" customHeight="1" spans="1:5">
      <c r="A17" s="223" t="s">
        <v>462</v>
      </c>
      <c r="B17" s="230">
        <v>0</v>
      </c>
      <c r="C17" s="124">
        <v>0</v>
      </c>
      <c r="E17" s="222"/>
    </row>
    <row r="18" ht="18" customHeight="1" spans="1:5">
      <c r="A18" s="226" t="s">
        <v>463</v>
      </c>
      <c r="B18" s="230">
        <v>73</v>
      </c>
      <c r="C18" s="124">
        <v>-91.9</v>
      </c>
      <c r="E18" s="222"/>
    </row>
    <row r="19" ht="18" customHeight="1" spans="1:5">
      <c r="A19" s="227" t="s">
        <v>464</v>
      </c>
      <c r="B19" s="230">
        <v>126</v>
      </c>
      <c r="C19" s="124">
        <v>-44.7</v>
      </c>
      <c r="E19" s="222"/>
    </row>
    <row r="20" ht="18" customHeight="1" spans="1:5">
      <c r="A20" s="226" t="s">
        <v>480</v>
      </c>
      <c r="B20" s="230">
        <v>948</v>
      </c>
      <c r="C20" s="124">
        <v>10.2</v>
      </c>
      <c r="E20" s="222"/>
    </row>
    <row r="21" ht="18" customHeight="1" spans="1:5">
      <c r="A21" s="226" t="s">
        <v>467</v>
      </c>
      <c r="B21" s="230">
        <v>5293</v>
      </c>
      <c r="C21" s="124">
        <v>86.6</v>
      </c>
    </row>
    <row r="22" ht="18" customHeight="1" spans="1:5">
      <c r="A22" s="226" t="s">
        <v>468</v>
      </c>
      <c r="B22" s="230">
        <v>1447</v>
      </c>
      <c r="C22" s="124">
        <v>871.1</v>
      </c>
    </row>
    <row r="23" ht="18" customHeight="1" spans="1:5">
      <c r="A23" s="226" t="s">
        <v>469</v>
      </c>
      <c r="B23" s="230">
        <v>668</v>
      </c>
      <c r="C23" s="124">
        <v>-35.1</v>
      </c>
    </row>
    <row r="24" ht="18" customHeight="1" spans="1:5">
      <c r="A24" s="226" t="s">
        <v>470</v>
      </c>
      <c r="B24" s="230">
        <v>825</v>
      </c>
      <c r="C24" s="124">
        <v>-29.7</v>
      </c>
    </row>
    <row r="25" ht="18" customHeight="1" spans="1:5">
      <c r="A25" s="226" t="s">
        <v>518</v>
      </c>
      <c r="B25" s="140" t="s">
        <v>9</v>
      </c>
      <c r="C25" s="140" t="s">
        <v>9</v>
      </c>
    </row>
    <row r="26" ht="18" customHeight="1" spans="1:5">
      <c r="A26" s="226" t="s">
        <v>471</v>
      </c>
      <c r="B26" s="230">
        <v>701</v>
      </c>
      <c r="C26" s="124">
        <v>-40</v>
      </c>
    </row>
    <row r="27" ht="18" customHeight="1" spans="1:5">
      <c r="A27" s="231" t="s">
        <v>472</v>
      </c>
      <c r="B27" s="230">
        <v>39</v>
      </c>
      <c r="C27" s="142">
        <v>-75.9</v>
      </c>
    </row>
    <row r="28" spans="1:5">
      <c r="A28" s="232" t="s">
        <v>531</v>
      </c>
      <c r="B28" s="232"/>
      <c r="C28" s="232"/>
    </row>
  </sheetData>
  <mergeCells count="2">
    <mergeCell ref="A1:C1"/>
    <mergeCell ref="A28:C28"/>
  </mergeCells>
  <pageMargins left="0.75" right="0.75" top="0.39" bottom="0.39" header="0.51" footer="0.51"/>
  <pageSetup paperSize="9" scale="96" orientation="portrait"/>
  <headerFooter alignWithMargins="0" scaleWithDoc="0"/>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G6" sqref="G6"/>
    </sheetView>
  </sheetViews>
  <sheetFormatPr defaultColWidth="9" defaultRowHeight="14.25" outlineLevelCol="4"/>
  <cols>
    <col min="1" max="1" width="29" customWidth="1"/>
    <col min="2" max="5" width="11" customWidth="1"/>
  </cols>
  <sheetData>
    <row r="1" ht="28.5" customHeight="1" spans="1:5">
      <c r="A1" s="84" t="s">
        <v>532</v>
      </c>
      <c r="B1" s="84"/>
      <c r="C1" s="84"/>
      <c r="D1" s="84"/>
      <c r="E1" s="84"/>
    </row>
    <row r="2" ht="15.95" customHeight="1" spans="1:5">
      <c r="A2" s="89" t="s">
        <v>533</v>
      </c>
      <c r="B2" s="90" t="s">
        <v>50</v>
      </c>
      <c r="C2" s="90"/>
      <c r="D2" s="90" t="s">
        <v>46</v>
      </c>
      <c r="E2" s="138"/>
    </row>
    <row r="3" ht="15.95" customHeight="1" spans="1:5">
      <c r="A3" s="93"/>
      <c r="B3" s="94" t="s">
        <v>5</v>
      </c>
      <c r="C3" s="94" t="s">
        <v>6</v>
      </c>
      <c r="D3" s="94" t="s">
        <v>5</v>
      </c>
      <c r="E3" s="139" t="s">
        <v>6</v>
      </c>
    </row>
    <row r="4" ht="15.95" customHeight="1" spans="1:5">
      <c r="A4" s="212" t="s">
        <v>461</v>
      </c>
      <c r="B4" s="105">
        <v>3008.3928</v>
      </c>
      <c r="C4" s="128">
        <v>6</v>
      </c>
      <c r="D4" s="105">
        <v>670.483</v>
      </c>
      <c r="E4" s="128">
        <v>6.79998425115946</v>
      </c>
    </row>
    <row r="5" ht="15.95" customHeight="1" spans="1:5">
      <c r="A5" s="212" t="s">
        <v>462</v>
      </c>
      <c r="B5" s="105">
        <v>343.2265</v>
      </c>
      <c r="C5" s="128">
        <v>8</v>
      </c>
      <c r="D5" s="105">
        <v>77.121313</v>
      </c>
      <c r="E5" s="128">
        <v>7.40124628201507</v>
      </c>
    </row>
    <row r="6" ht="15.95" customHeight="1" spans="1:5">
      <c r="A6" s="197" t="s">
        <v>463</v>
      </c>
      <c r="B6" s="105">
        <v>468.2617</v>
      </c>
      <c r="C6" s="128">
        <v>6</v>
      </c>
      <c r="D6" s="105">
        <v>101.947127</v>
      </c>
      <c r="E6" s="128">
        <v>7.47731917786254</v>
      </c>
    </row>
    <row r="7" ht="15.95" customHeight="1" spans="1:5">
      <c r="A7" s="213" t="s">
        <v>464</v>
      </c>
      <c r="B7" s="105">
        <v>307.9784</v>
      </c>
      <c r="C7" s="128">
        <v>5.9</v>
      </c>
      <c r="D7" s="105">
        <v>70.645578</v>
      </c>
      <c r="E7" s="128">
        <v>4.54063734873442</v>
      </c>
    </row>
    <row r="8" ht="15.95" customHeight="1" spans="1:5">
      <c r="A8" s="197" t="s">
        <v>480</v>
      </c>
      <c r="B8" s="105">
        <v>166.5684</v>
      </c>
      <c r="C8" s="128">
        <v>7.5</v>
      </c>
      <c r="D8" s="105">
        <v>38.422838</v>
      </c>
      <c r="E8" s="128">
        <v>8.65890557194385</v>
      </c>
    </row>
    <row r="9" ht="15.95" customHeight="1" spans="1:5">
      <c r="A9" s="197" t="s">
        <v>467</v>
      </c>
      <c r="B9" s="105">
        <v>402.0383</v>
      </c>
      <c r="C9" s="128">
        <v>9.5</v>
      </c>
      <c r="D9" s="105">
        <v>113.690687</v>
      </c>
      <c r="E9" s="128">
        <v>1.46486172675502</v>
      </c>
    </row>
    <row r="10" ht="15.95" customHeight="1" spans="1:5">
      <c r="A10" s="197" t="s">
        <v>468</v>
      </c>
      <c r="B10" s="105">
        <v>282.0022</v>
      </c>
      <c r="C10" s="128">
        <v>7</v>
      </c>
      <c r="D10" s="105">
        <v>51.98032</v>
      </c>
      <c r="E10" s="128">
        <v>5.03313187503866</v>
      </c>
    </row>
    <row r="11" ht="15.95" customHeight="1" spans="1:5">
      <c r="A11" s="197" t="s">
        <v>469</v>
      </c>
      <c r="B11" s="105">
        <v>190.5968</v>
      </c>
      <c r="C11" s="128">
        <v>8.2</v>
      </c>
      <c r="D11" s="105">
        <v>41.731166</v>
      </c>
      <c r="E11" s="128">
        <v>7.14068605547982</v>
      </c>
    </row>
    <row r="12" ht="15.95" customHeight="1" spans="1:5">
      <c r="A12" s="197" t="s">
        <v>470</v>
      </c>
      <c r="B12" s="105">
        <v>309.6724</v>
      </c>
      <c r="C12" s="128">
        <v>4.2</v>
      </c>
      <c r="D12" s="105">
        <v>62.262557</v>
      </c>
      <c r="E12" s="128">
        <v>6.30275493915103</v>
      </c>
    </row>
    <row r="13" ht="15.95" customHeight="1" spans="1:5">
      <c r="A13" s="197" t="s">
        <v>471</v>
      </c>
      <c r="B13" s="105">
        <v>325.3024</v>
      </c>
      <c r="C13" s="128">
        <v>7.5</v>
      </c>
      <c r="D13" s="105">
        <v>60.756485</v>
      </c>
      <c r="E13" s="128">
        <v>7.67772743678012</v>
      </c>
    </row>
    <row r="14" ht="15.95" customHeight="1" spans="1:5">
      <c r="A14" s="114" t="s">
        <v>472</v>
      </c>
      <c r="B14" s="105">
        <v>562.5401</v>
      </c>
      <c r="C14" s="128">
        <v>7</v>
      </c>
      <c r="D14" s="105">
        <v>86.193886</v>
      </c>
      <c r="E14" s="128">
        <v>7.37024760294543</v>
      </c>
    </row>
    <row r="15" ht="15.95" customHeight="1" spans="1:5">
      <c r="A15" s="93" t="s">
        <v>533</v>
      </c>
      <c r="B15" s="94" t="s">
        <v>42</v>
      </c>
      <c r="C15" s="94"/>
      <c r="D15" s="94" t="s">
        <v>37</v>
      </c>
      <c r="E15" s="139"/>
    </row>
    <row r="16" ht="15.95" customHeight="1" spans="1:5">
      <c r="A16" s="93"/>
      <c r="B16" s="94" t="s">
        <v>5</v>
      </c>
      <c r="C16" s="94" t="s">
        <v>6</v>
      </c>
      <c r="D16" s="94" t="s">
        <v>5</v>
      </c>
      <c r="E16" s="139" t="s">
        <v>6</v>
      </c>
    </row>
    <row r="17" ht="15.95" customHeight="1" spans="1:5">
      <c r="A17" s="212" t="s">
        <v>461</v>
      </c>
      <c r="B17" s="105">
        <v>1437.744</v>
      </c>
      <c r="C17" s="128">
        <v>4.19998736278002</v>
      </c>
      <c r="D17" s="105">
        <v>2231.775</v>
      </c>
      <c r="E17" s="128">
        <v>4.09999716115293</v>
      </c>
    </row>
    <row r="18" ht="15.95" customHeight="1" spans="1:5">
      <c r="A18" s="212" t="s">
        <v>462</v>
      </c>
      <c r="B18" s="105">
        <v>174.7807</v>
      </c>
      <c r="C18" s="128">
        <v>5.5</v>
      </c>
      <c r="D18" s="105">
        <v>264.138</v>
      </c>
      <c r="E18" s="128">
        <v>5.65178133778075</v>
      </c>
    </row>
    <row r="19" ht="15.95" customHeight="1" spans="1:5">
      <c r="A19" s="197" t="s">
        <v>463</v>
      </c>
      <c r="B19" s="105">
        <v>228.4572</v>
      </c>
      <c r="C19" s="128">
        <v>1.95152504897997</v>
      </c>
      <c r="D19" s="105">
        <v>327.47</v>
      </c>
      <c r="E19" s="128">
        <v>-3.71915880268169</v>
      </c>
    </row>
    <row r="20" ht="15.95" customHeight="1" spans="1:5">
      <c r="A20" s="213" t="s">
        <v>464</v>
      </c>
      <c r="B20" s="105">
        <v>136.3739</v>
      </c>
      <c r="C20" s="128">
        <v>0.195321856374051</v>
      </c>
      <c r="D20" s="105">
        <v>222.3072</v>
      </c>
      <c r="E20" s="128">
        <v>1.84303126284664</v>
      </c>
    </row>
    <row r="21" ht="15.95" customHeight="1" spans="1:5">
      <c r="A21" s="197" t="s">
        <v>480</v>
      </c>
      <c r="B21" s="105">
        <v>79.3932</v>
      </c>
      <c r="C21" s="128">
        <v>6.66737398391861</v>
      </c>
      <c r="D21" s="105">
        <v>134.597</v>
      </c>
      <c r="E21" s="128">
        <v>7.48309850191555</v>
      </c>
    </row>
    <row r="22" ht="15.95" customHeight="1" spans="1:5">
      <c r="A22" s="197" t="s">
        <v>467</v>
      </c>
      <c r="B22" s="105">
        <v>216.2543</v>
      </c>
      <c r="C22" s="128">
        <v>4.45155289676026</v>
      </c>
      <c r="D22" s="105">
        <v>302.9602</v>
      </c>
      <c r="E22" s="128">
        <v>5.84471317777869</v>
      </c>
    </row>
    <row r="23" ht="15.95" customHeight="1" spans="1:5">
      <c r="A23" s="197" t="s">
        <v>468</v>
      </c>
      <c r="B23" s="105">
        <v>140.4505</v>
      </c>
      <c r="C23" s="128">
        <v>6.17829730761098</v>
      </c>
      <c r="D23" s="105">
        <v>225.6716</v>
      </c>
      <c r="E23" s="128">
        <v>6.04438952111941</v>
      </c>
    </row>
    <row r="24" ht="15.95" customHeight="1" spans="1:5">
      <c r="A24" s="197" t="s">
        <v>469</v>
      </c>
      <c r="B24" s="105">
        <v>103.7241</v>
      </c>
      <c r="C24" s="128">
        <v>6.03726763677138</v>
      </c>
      <c r="D24" s="105">
        <v>159.5344</v>
      </c>
      <c r="E24" s="128">
        <v>6.67562616825082</v>
      </c>
    </row>
    <row r="25" ht="15.95" customHeight="1" spans="1:5">
      <c r="A25" s="197" t="s">
        <v>470</v>
      </c>
      <c r="B25" s="105">
        <v>123.3434</v>
      </c>
      <c r="C25" s="128">
        <v>4.8731064036609</v>
      </c>
      <c r="D25" s="105">
        <v>194.5064</v>
      </c>
      <c r="E25" s="128">
        <v>3.11271281079173</v>
      </c>
    </row>
    <row r="26" ht="15.95" customHeight="1" spans="1:5">
      <c r="A26" s="197" t="s">
        <v>471</v>
      </c>
      <c r="B26" s="105">
        <v>121.8131</v>
      </c>
      <c r="C26" s="128">
        <v>6.97937039823542</v>
      </c>
      <c r="D26" s="105">
        <v>208.6747</v>
      </c>
      <c r="E26" s="128">
        <v>6.8054219664218</v>
      </c>
    </row>
    <row r="27" ht="15" spans="1:5">
      <c r="A27" s="214" t="s">
        <v>472</v>
      </c>
      <c r="B27" s="215">
        <v>269.0448</v>
      </c>
      <c r="C27" s="216">
        <v>5.5</v>
      </c>
      <c r="D27" s="215">
        <v>417.7964</v>
      </c>
      <c r="E27" s="216">
        <v>2.97613011712583</v>
      </c>
    </row>
    <row r="28" spans="1:5">
      <c r="D28" s="45"/>
      <c r="E28" s="45"/>
    </row>
  </sheetData>
  <mergeCells count="7">
    <mergeCell ref="A1:E1"/>
    <mergeCell ref="B2:C2"/>
    <mergeCell ref="D2:E2"/>
    <mergeCell ref="B15:C15"/>
    <mergeCell ref="D15:E15"/>
    <mergeCell ref="A2:A3"/>
    <mergeCell ref="A15:A16"/>
  </mergeCells>
  <pageMargins left="0.75" right="0.75" top="1" bottom="1" header="0.5" footer="0.5"/>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D32" sqref="D32"/>
    </sheetView>
  </sheetViews>
  <sheetFormatPr defaultColWidth="9" defaultRowHeight="14.25" outlineLevelCol="4"/>
  <cols>
    <col min="1" max="1" width="29" customWidth="1"/>
    <col min="2" max="5" width="11" customWidth="1"/>
  </cols>
  <sheetData>
    <row r="1" ht="28.5" customHeight="1" spans="1:5">
      <c r="A1" s="84" t="s">
        <v>534</v>
      </c>
      <c r="B1" s="84"/>
      <c r="C1" s="84"/>
      <c r="D1" s="84"/>
      <c r="E1" s="84"/>
    </row>
    <row r="2" ht="15.95" customHeight="1" spans="1:5">
      <c r="A2" s="89" t="s">
        <v>533</v>
      </c>
      <c r="B2" s="90" t="s">
        <v>50</v>
      </c>
      <c r="C2" s="90"/>
      <c r="D2" s="90" t="s">
        <v>48</v>
      </c>
      <c r="E2" s="138"/>
    </row>
    <row r="3" ht="15.95" customHeight="1" spans="1:5">
      <c r="A3" s="93"/>
      <c r="B3" s="94" t="s">
        <v>5</v>
      </c>
      <c r="C3" s="94" t="s">
        <v>6</v>
      </c>
      <c r="D3" s="94" t="s">
        <v>5</v>
      </c>
      <c r="E3" s="139" t="s">
        <v>6</v>
      </c>
    </row>
    <row r="4" ht="15.95" customHeight="1" spans="1:5">
      <c r="A4" s="196" t="s">
        <v>11</v>
      </c>
      <c r="B4" s="197"/>
      <c r="C4" s="197"/>
      <c r="D4" s="197"/>
      <c r="E4" s="198"/>
    </row>
    <row r="5" ht="15.95" customHeight="1" spans="1:5">
      <c r="A5" s="199" t="s">
        <v>461</v>
      </c>
      <c r="B5" s="114">
        <v>769.9671</v>
      </c>
      <c r="C5" s="112">
        <v>5</v>
      </c>
      <c r="D5" s="200">
        <v>108.2115</v>
      </c>
      <c r="E5" s="201">
        <v>3.7</v>
      </c>
    </row>
    <row r="6" ht="15.95" customHeight="1" spans="1:5">
      <c r="A6" s="199" t="s">
        <v>462</v>
      </c>
      <c r="B6" s="114">
        <v>36.509</v>
      </c>
      <c r="C6" s="112">
        <v>4.2</v>
      </c>
      <c r="D6" s="200">
        <v>6.6836</v>
      </c>
      <c r="E6" s="201">
        <v>9.5</v>
      </c>
    </row>
    <row r="7" ht="15.95" customHeight="1" spans="1:5">
      <c r="A7" s="198" t="s">
        <v>463</v>
      </c>
      <c r="B7" s="114">
        <v>194.7234</v>
      </c>
      <c r="C7" s="112">
        <v>1.2</v>
      </c>
      <c r="D7" s="200">
        <v>28.3762</v>
      </c>
      <c r="E7" s="201">
        <v>2.5</v>
      </c>
    </row>
    <row r="8" ht="15.95" customHeight="1" spans="1:5">
      <c r="A8" s="202" t="s">
        <v>464</v>
      </c>
      <c r="B8" s="114">
        <v>211.5976</v>
      </c>
      <c r="C8" s="112">
        <v>6</v>
      </c>
      <c r="D8" s="200">
        <v>27.6096</v>
      </c>
      <c r="E8" s="201">
        <v>-1.1</v>
      </c>
    </row>
    <row r="9" ht="15.95" customHeight="1" spans="1:5">
      <c r="A9" s="198" t="s">
        <v>480</v>
      </c>
      <c r="B9" s="114">
        <v>55.0794</v>
      </c>
      <c r="C9" s="112">
        <v>8.5</v>
      </c>
      <c r="D9" s="200">
        <v>7.5683</v>
      </c>
      <c r="E9" s="201">
        <v>10.9</v>
      </c>
    </row>
    <row r="10" ht="15.95" customHeight="1" spans="1:5">
      <c r="A10" s="198" t="s">
        <v>467</v>
      </c>
      <c r="B10" s="114">
        <v>159.1825</v>
      </c>
      <c r="C10" s="112">
        <v>10</v>
      </c>
      <c r="D10" s="200">
        <v>21.8112</v>
      </c>
      <c r="E10" s="201">
        <v>7.6</v>
      </c>
    </row>
    <row r="11" ht="15.95" customHeight="1" spans="1:5">
      <c r="A11" s="198" t="s">
        <v>468</v>
      </c>
      <c r="B11" s="114">
        <v>38.1177</v>
      </c>
      <c r="C11" s="112">
        <v>8</v>
      </c>
      <c r="D11" s="200">
        <v>3.3446</v>
      </c>
      <c r="E11" s="201">
        <v>1.4</v>
      </c>
    </row>
    <row r="12" ht="15.95" customHeight="1" spans="1:5">
      <c r="A12" s="198" t="s">
        <v>469</v>
      </c>
      <c r="B12" s="114">
        <v>9.8051</v>
      </c>
      <c r="C12" s="112">
        <v>19.1</v>
      </c>
      <c r="D12" s="200">
        <v>2.1249</v>
      </c>
      <c r="E12" s="201">
        <v>0.1</v>
      </c>
    </row>
    <row r="13" ht="15.95" customHeight="1" spans="1:5">
      <c r="A13" s="198" t="s">
        <v>470</v>
      </c>
      <c r="B13" s="114">
        <v>7.0682</v>
      </c>
      <c r="C13" s="112">
        <v>0.3</v>
      </c>
      <c r="D13" s="200">
        <v>1.776</v>
      </c>
      <c r="E13" s="201">
        <v>1.1</v>
      </c>
    </row>
    <row r="14" ht="15.95" customHeight="1" spans="1:5">
      <c r="A14" s="198" t="s">
        <v>471</v>
      </c>
      <c r="B14" s="114">
        <v>30.5964</v>
      </c>
      <c r="C14" s="112">
        <v>10.5</v>
      </c>
      <c r="D14" s="200">
        <v>5.6644</v>
      </c>
      <c r="E14" s="201">
        <v>6</v>
      </c>
    </row>
    <row r="15" ht="15.95" customHeight="1" spans="1:5">
      <c r="A15" s="198" t="s">
        <v>472</v>
      </c>
      <c r="B15" s="114">
        <v>103.6037</v>
      </c>
      <c r="C15" s="112">
        <v>10.5</v>
      </c>
      <c r="D15" s="200">
        <v>12.5048</v>
      </c>
      <c r="E15" s="201">
        <v>12.6</v>
      </c>
    </row>
    <row r="16" ht="15.95" customHeight="1" spans="1:5">
      <c r="A16" s="196" t="s">
        <v>12</v>
      </c>
      <c r="B16" s="197"/>
      <c r="C16" s="197"/>
      <c r="D16" s="197"/>
      <c r="E16" s="198"/>
    </row>
    <row r="17" ht="15.95" customHeight="1" spans="1:5">
      <c r="A17" s="199" t="s">
        <v>461</v>
      </c>
      <c r="B17" s="114">
        <v>1260.1176</v>
      </c>
      <c r="C17" s="115">
        <v>12.8</v>
      </c>
      <c r="D17" s="203"/>
      <c r="E17" s="204">
        <v>16.1</v>
      </c>
    </row>
    <row r="18" ht="15.95" customHeight="1" spans="1:5">
      <c r="A18" s="199" t="s">
        <v>462</v>
      </c>
      <c r="B18" s="114">
        <v>105.4949</v>
      </c>
      <c r="C18" s="115">
        <v>15.6</v>
      </c>
      <c r="D18" s="203"/>
      <c r="E18" s="204">
        <v>14.1</v>
      </c>
    </row>
    <row r="19" ht="15.95" customHeight="1" spans="1:5">
      <c r="A19" s="198" t="s">
        <v>463</v>
      </c>
      <c r="B19" s="114">
        <v>110.3619</v>
      </c>
      <c r="C19" s="115">
        <v>10.1</v>
      </c>
      <c r="D19" s="203"/>
      <c r="E19" s="204">
        <v>21.1</v>
      </c>
    </row>
    <row r="20" ht="15.95" customHeight="1" spans="1:5">
      <c r="A20" s="202" t="s">
        <v>464</v>
      </c>
      <c r="B20" s="114">
        <v>129.2984</v>
      </c>
      <c r="C20" s="115">
        <v>23.2</v>
      </c>
      <c r="D20" s="203"/>
      <c r="E20" s="204">
        <v>29.8</v>
      </c>
    </row>
    <row r="21" ht="15.95" customHeight="1" spans="1:5">
      <c r="A21" s="198" t="s">
        <v>480</v>
      </c>
      <c r="B21" s="114">
        <v>71.8547</v>
      </c>
      <c r="C21" s="115">
        <v>6.7</v>
      </c>
      <c r="D21" s="203"/>
      <c r="E21" s="204">
        <v>14.5</v>
      </c>
    </row>
    <row r="22" ht="15.95" customHeight="1" spans="1:5">
      <c r="A22" s="198" t="s">
        <v>467</v>
      </c>
      <c r="B22" s="114">
        <v>234.66</v>
      </c>
      <c r="C22" s="112">
        <v>21.8</v>
      </c>
      <c r="D22" s="203"/>
      <c r="E22" s="204">
        <v>6.3</v>
      </c>
    </row>
    <row r="23" ht="15.95" customHeight="1" spans="1:5">
      <c r="A23" s="198" t="s">
        <v>468</v>
      </c>
      <c r="B23" s="114">
        <v>164.0981</v>
      </c>
      <c r="C23" s="112">
        <v>21.9</v>
      </c>
      <c r="D23" s="203"/>
      <c r="E23" s="204">
        <v>12.3</v>
      </c>
    </row>
    <row r="24" ht="15.95" customHeight="1" spans="1:5">
      <c r="A24" s="198" t="s">
        <v>469</v>
      </c>
      <c r="B24" s="114">
        <v>68.3905</v>
      </c>
      <c r="C24" s="112">
        <v>37.5</v>
      </c>
      <c r="D24" s="203"/>
      <c r="E24" s="204">
        <v>21.2</v>
      </c>
    </row>
    <row r="25" ht="15.95" customHeight="1" spans="1:5">
      <c r="A25" s="198" t="s">
        <v>470</v>
      </c>
      <c r="B25" s="114">
        <v>83.9395</v>
      </c>
      <c r="C25" s="112">
        <v>18.7</v>
      </c>
      <c r="D25" s="203"/>
      <c r="E25" s="204">
        <v>14.4</v>
      </c>
    </row>
    <row r="26" ht="15.95" customHeight="1" spans="1:5">
      <c r="A26" s="198" t="s">
        <v>471</v>
      </c>
      <c r="B26" s="114">
        <v>80.319</v>
      </c>
      <c r="C26" s="112">
        <v>21.4</v>
      </c>
      <c r="D26" s="203"/>
      <c r="E26" s="204">
        <v>20.4</v>
      </c>
    </row>
    <row r="27" ht="15.95" customHeight="1" spans="1:5">
      <c r="A27" s="205" t="s">
        <v>472</v>
      </c>
      <c r="B27" s="209">
        <v>258.7468</v>
      </c>
      <c r="C27" s="210">
        <v>5.8</v>
      </c>
      <c r="D27" s="206"/>
      <c r="E27" s="207">
        <v>11.1</v>
      </c>
    </row>
    <row r="28" spans="1:5">
      <c r="A28" s="211"/>
      <c r="B28" s="211"/>
      <c r="C28" s="211"/>
      <c r="D28" s="211"/>
      <c r="E28" s="211"/>
    </row>
  </sheetData>
  <mergeCells count="4">
    <mergeCell ref="A1:E1"/>
    <mergeCell ref="B2:C2"/>
    <mergeCell ref="D2:E2"/>
    <mergeCell ref="A2:A3"/>
  </mergeCells>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D31" sqref="D31"/>
    </sheetView>
  </sheetViews>
  <sheetFormatPr defaultColWidth="9" defaultRowHeight="14.25" outlineLevelCol="4"/>
  <cols>
    <col min="1" max="1" width="29" customWidth="1"/>
    <col min="2" max="5" width="11" customWidth="1"/>
  </cols>
  <sheetData>
    <row r="1" ht="28.5" customHeight="1" spans="1:5">
      <c r="A1" s="84" t="s">
        <v>535</v>
      </c>
      <c r="B1" s="84"/>
      <c r="C1" s="84"/>
      <c r="D1" s="84"/>
      <c r="E1" s="84"/>
    </row>
    <row r="2" ht="15.95" customHeight="1" spans="1:5">
      <c r="A2" s="89" t="s">
        <v>533</v>
      </c>
      <c r="B2" s="90" t="s">
        <v>46</v>
      </c>
      <c r="C2" s="90"/>
      <c r="D2" s="90" t="s">
        <v>45</v>
      </c>
      <c r="E2" s="138"/>
    </row>
    <row r="3" ht="15.95" customHeight="1" spans="1:5">
      <c r="A3" s="93"/>
      <c r="B3" s="94" t="s">
        <v>5</v>
      </c>
      <c r="C3" s="94" t="s">
        <v>6</v>
      </c>
      <c r="D3" s="94" t="s">
        <v>5</v>
      </c>
      <c r="E3" s="139" t="s">
        <v>6</v>
      </c>
    </row>
    <row r="4" ht="15.95" customHeight="1" spans="1:5">
      <c r="A4" s="196" t="s">
        <v>11</v>
      </c>
      <c r="B4" s="197"/>
      <c r="C4" s="197"/>
      <c r="D4" s="197"/>
      <c r="E4" s="198"/>
    </row>
    <row r="5" ht="15.95" customHeight="1" spans="1:5">
      <c r="A5" s="199" t="s">
        <v>461</v>
      </c>
      <c r="B5" s="114">
        <v>179.8374</v>
      </c>
      <c r="C5" s="112">
        <v>7</v>
      </c>
      <c r="D5" s="200">
        <v>236.4813</v>
      </c>
      <c r="E5" s="201">
        <v>2.7</v>
      </c>
    </row>
    <row r="6" ht="15.95" customHeight="1" spans="1:5">
      <c r="A6" s="199" t="s">
        <v>462</v>
      </c>
      <c r="B6" s="114">
        <v>9.293</v>
      </c>
      <c r="C6" s="112">
        <v>4.5</v>
      </c>
      <c r="D6" s="200">
        <v>12.1788</v>
      </c>
      <c r="E6" s="201">
        <v>0</v>
      </c>
    </row>
    <row r="7" ht="15.95" customHeight="1" spans="1:5">
      <c r="A7" s="198" t="s">
        <v>463</v>
      </c>
      <c r="B7" s="114">
        <v>47.5995</v>
      </c>
      <c r="C7" s="112">
        <v>8.6</v>
      </c>
      <c r="D7" s="200">
        <v>60.7004</v>
      </c>
      <c r="E7" s="201">
        <v>2.2</v>
      </c>
    </row>
    <row r="8" ht="15.95" customHeight="1" spans="1:5">
      <c r="A8" s="202" t="s">
        <v>464</v>
      </c>
      <c r="B8" s="114">
        <v>45.7614</v>
      </c>
      <c r="C8" s="112">
        <v>4.1</v>
      </c>
      <c r="D8" s="200">
        <v>60.6166</v>
      </c>
      <c r="E8" s="201">
        <v>0</v>
      </c>
    </row>
    <row r="9" ht="15.95" customHeight="1" spans="1:5">
      <c r="A9" s="198" t="s">
        <v>480</v>
      </c>
      <c r="B9" s="114">
        <v>13.3597</v>
      </c>
      <c r="C9" s="112">
        <v>11.8</v>
      </c>
      <c r="D9" s="200">
        <v>18.446</v>
      </c>
      <c r="E9" s="201">
        <v>10.2</v>
      </c>
    </row>
    <row r="10" ht="15.95" customHeight="1" spans="1:5">
      <c r="A10" s="198" t="s">
        <v>467</v>
      </c>
      <c r="B10" s="114">
        <v>36.4673</v>
      </c>
      <c r="C10" s="112">
        <v>6</v>
      </c>
      <c r="D10" s="200">
        <v>49.5134</v>
      </c>
      <c r="E10" s="201">
        <v>4.9</v>
      </c>
    </row>
    <row r="11" ht="15.95" customHeight="1" spans="1:5">
      <c r="A11" s="198" t="s">
        <v>468</v>
      </c>
      <c r="B11" s="114">
        <v>6.4023</v>
      </c>
      <c r="C11" s="112">
        <v>5.2</v>
      </c>
      <c r="D11" s="200">
        <v>9.1888</v>
      </c>
      <c r="E11" s="201">
        <v>7.5</v>
      </c>
    </row>
    <row r="12" ht="15.95" customHeight="1" spans="1:5">
      <c r="A12" s="198" t="s">
        <v>469</v>
      </c>
      <c r="B12" s="114">
        <v>3.2332</v>
      </c>
      <c r="C12" s="112">
        <v>0.2</v>
      </c>
      <c r="D12" s="200">
        <v>4.1386</v>
      </c>
      <c r="E12" s="201">
        <v>2.5</v>
      </c>
    </row>
    <row r="13" ht="15.95" customHeight="1" spans="1:5">
      <c r="A13" s="198" t="s">
        <v>470</v>
      </c>
      <c r="B13" s="114">
        <v>2.8476</v>
      </c>
      <c r="C13" s="112">
        <v>6</v>
      </c>
      <c r="D13" s="200">
        <v>3.3958</v>
      </c>
      <c r="E13" s="201">
        <v>5.8</v>
      </c>
    </row>
    <row r="14" ht="15.95" customHeight="1" spans="1:5">
      <c r="A14" s="198" t="s">
        <v>471</v>
      </c>
      <c r="B14" s="114">
        <v>8.7902</v>
      </c>
      <c r="C14" s="112">
        <v>8.9</v>
      </c>
      <c r="D14" s="200">
        <v>11.2531</v>
      </c>
      <c r="E14" s="201">
        <v>9.8</v>
      </c>
    </row>
    <row r="15" ht="15.95" customHeight="1" spans="1:5">
      <c r="A15" s="198" t="s">
        <v>472</v>
      </c>
      <c r="B15" s="114">
        <v>22.3789</v>
      </c>
      <c r="C15" s="112">
        <v>12.9</v>
      </c>
      <c r="D15" s="200">
        <v>30.16</v>
      </c>
      <c r="E15" s="201">
        <v>11.8</v>
      </c>
    </row>
    <row r="16" ht="15.95" customHeight="1" spans="1:5">
      <c r="A16" s="196" t="s">
        <v>12</v>
      </c>
      <c r="B16" s="197"/>
      <c r="C16" s="197"/>
      <c r="D16" s="197"/>
      <c r="E16" s="198"/>
    </row>
    <row r="17" ht="15.95" customHeight="1" spans="1:5">
      <c r="A17" s="199" t="s">
        <v>461</v>
      </c>
      <c r="B17" s="114"/>
      <c r="C17" s="115">
        <v>17.6</v>
      </c>
      <c r="D17" s="203"/>
      <c r="E17" s="204">
        <v>16.7</v>
      </c>
    </row>
    <row r="18" ht="15.95" customHeight="1" spans="1:5">
      <c r="A18" s="199" t="s">
        <v>462</v>
      </c>
      <c r="B18" s="114"/>
      <c r="C18" s="115">
        <v>12</v>
      </c>
      <c r="D18" s="203"/>
      <c r="E18" s="204">
        <v>16.6</v>
      </c>
    </row>
    <row r="19" ht="15.95" customHeight="1" spans="1:5">
      <c r="A19" s="198" t="s">
        <v>463</v>
      </c>
      <c r="B19" s="114"/>
      <c r="C19" s="115">
        <v>23.1</v>
      </c>
      <c r="D19" s="203"/>
      <c r="E19" s="204">
        <v>33</v>
      </c>
    </row>
    <row r="20" ht="15.95" customHeight="1" spans="1:5">
      <c r="A20" s="202" t="s">
        <v>464</v>
      </c>
      <c r="B20" s="114"/>
      <c r="C20" s="115">
        <v>24.4</v>
      </c>
      <c r="D20" s="203"/>
      <c r="E20" s="204">
        <v>19.4</v>
      </c>
    </row>
    <row r="21" ht="15.95" customHeight="1" spans="1:5">
      <c r="A21" s="198" t="s">
        <v>480</v>
      </c>
      <c r="B21" s="114"/>
      <c r="C21" s="115">
        <v>16.6</v>
      </c>
      <c r="D21" s="203"/>
      <c r="E21" s="204">
        <v>7.8</v>
      </c>
    </row>
    <row r="22" ht="15.95" customHeight="1" spans="1:5">
      <c r="A22" s="198" t="s">
        <v>467</v>
      </c>
      <c r="B22" s="114"/>
      <c r="C22" s="112">
        <v>18.8</v>
      </c>
      <c r="D22" s="203"/>
      <c r="E22" s="204">
        <v>16.3</v>
      </c>
    </row>
    <row r="23" ht="15.95" customHeight="1" spans="1:5">
      <c r="A23" s="198" t="s">
        <v>468</v>
      </c>
      <c r="B23" s="114"/>
      <c r="C23" s="112">
        <v>16.8</v>
      </c>
      <c r="D23" s="203"/>
      <c r="E23" s="204">
        <v>8.3</v>
      </c>
    </row>
    <row r="24" ht="15.95" customHeight="1" spans="1:5">
      <c r="A24" s="198" t="s">
        <v>469</v>
      </c>
      <c r="B24" s="114"/>
      <c r="C24" s="112">
        <v>16.3</v>
      </c>
      <c r="D24" s="203"/>
      <c r="E24" s="204">
        <v>29.5</v>
      </c>
    </row>
    <row r="25" ht="15.95" customHeight="1" spans="1:5">
      <c r="A25" s="198" t="s">
        <v>470</v>
      </c>
      <c r="B25" s="114"/>
      <c r="C25" s="112">
        <v>36.6</v>
      </c>
      <c r="D25" s="203"/>
      <c r="E25" s="204">
        <v>32.6</v>
      </c>
    </row>
    <row r="26" ht="15.95" customHeight="1" spans="1:5">
      <c r="A26" s="198" t="s">
        <v>471</v>
      </c>
      <c r="B26" s="114"/>
      <c r="C26" s="112">
        <v>5.8</v>
      </c>
      <c r="D26" s="203"/>
      <c r="E26" s="204">
        <v>19.3</v>
      </c>
    </row>
    <row r="27" ht="15.95" customHeight="1" spans="1:5">
      <c r="A27" s="205" t="s">
        <v>472</v>
      </c>
      <c r="B27" s="209"/>
      <c r="C27" s="210">
        <v>10.1</v>
      </c>
      <c r="D27" s="206"/>
      <c r="E27" s="207">
        <v>12.1</v>
      </c>
    </row>
    <row r="28" spans="1:5">
      <c r="A28" s="208"/>
      <c r="B28" s="208"/>
      <c r="C28" s="208"/>
      <c r="D28" s="208"/>
      <c r="E28" s="208"/>
    </row>
  </sheetData>
  <mergeCells count="4">
    <mergeCell ref="A1:E1"/>
    <mergeCell ref="B2:C2"/>
    <mergeCell ref="D2:E2"/>
    <mergeCell ref="A2:A3"/>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zoomScaleSheetLayoutView="75" workbookViewId="0">
      <selection activeCell="G21" sqref="G21"/>
    </sheetView>
  </sheetViews>
  <sheetFormatPr defaultColWidth="9" defaultRowHeight="14.25" outlineLevelCol="5"/>
  <cols>
    <col min="1" max="1" width="28" style="43" customWidth="1"/>
    <col min="2" max="2" width="9.125" style="43" customWidth="1"/>
    <col min="3" max="3" width="9.375" style="43"/>
    <col min="4" max="16384" width="9" style="43"/>
  </cols>
  <sheetData>
    <row r="1" ht="28.5" customHeight="1" spans="1:6">
      <c r="A1" s="644" t="s">
        <v>41</v>
      </c>
      <c r="B1" s="644"/>
      <c r="C1" s="644"/>
      <c r="D1" s="644"/>
      <c r="E1" s="644"/>
      <c r="F1" s="644"/>
    </row>
    <row r="2" ht="20" customHeight="1" spans="1:6">
      <c r="A2" s="645" t="s">
        <v>1</v>
      </c>
      <c r="B2" s="646" t="s">
        <v>2</v>
      </c>
      <c r="C2" s="647" t="s">
        <v>42</v>
      </c>
      <c r="D2" s="656"/>
      <c r="E2" s="647" t="s">
        <v>43</v>
      </c>
      <c r="F2" s="648"/>
    </row>
    <row r="3" ht="20" customHeight="1" spans="1:6">
      <c r="A3" s="649"/>
      <c r="B3" s="650"/>
      <c r="C3" s="649" t="s">
        <v>5</v>
      </c>
      <c r="D3" s="649" t="s">
        <v>6</v>
      </c>
      <c r="E3" s="649" t="s">
        <v>5</v>
      </c>
      <c r="F3" s="651" t="s">
        <v>6</v>
      </c>
    </row>
    <row r="4" ht="23.1" customHeight="1" spans="1:6">
      <c r="A4" s="652" t="s">
        <v>7</v>
      </c>
      <c r="B4" s="473" t="s">
        <v>8</v>
      </c>
      <c r="C4" s="654">
        <v>1437.744</v>
      </c>
      <c r="D4" s="383">
        <v>4.19998736278002</v>
      </c>
      <c r="E4" s="657" t="s">
        <v>9</v>
      </c>
      <c r="F4" s="658" t="s">
        <v>9</v>
      </c>
    </row>
    <row r="5" ht="23.1" customHeight="1" spans="1:6">
      <c r="A5" s="652" t="s">
        <v>10</v>
      </c>
      <c r="B5" s="473" t="s">
        <v>8</v>
      </c>
      <c r="C5" s="654">
        <v>1131.31</v>
      </c>
      <c r="D5" s="383">
        <v>-0.1</v>
      </c>
      <c r="E5" s="653">
        <v>929.12</v>
      </c>
      <c r="F5" s="383">
        <v>1.3</v>
      </c>
    </row>
    <row r="6" ht="23.1" customHeight="1" spans="1:6">
      <c r="A6" s="652" t="s">
        <v>11</v>
      </c>
      <c r="B6" s="473" t="s">
        <v>8</v>
      </c>
      <c r="C6" s="654">
        <v>360.84</v>
      </c>
      <c r="D6" s="383">
        <v>0.2</v>
      </c>
      <c r="E6" s="653">
        <v>295.38</v>
      </c>
      <c r="F6" s="383">
        <v>0.9</v>
      </c>
    </row>
    <row r="7" ht="23.1" customHeight="1" spans="1:6">
      <c r="A7" s="652" t="s">
        <v>12</v>
      </c>
      <c r="B7" s="473" t="s">
        <v>8</v>
      </c>
      <c r="C7" s="653"/>
      <c r="D7" s="383">
        <v>1.9</v>
      </c>
      <c r="E7" s="653"/>
      <c r="F7" s="383">
        <v>16</v>
      </c>
    </row>
    <row r="8" ht="23.1" customHeight="1" spans="1:6">
      <c r="A8" s="652" t="s">
        <v>13</v>
      </c>
      <c r="B8" s="473" t="s">
        <v>8</v>
      </c>
      <c r="C8" s="654"/>
      <c r="D8" s="383">
        <v>8.2</v>
      </c>
      <c r="E8" s="653"/>
      <c r="F8" s="383">
        <v>17.37</v>
      </c>
    </row>
    <row r="9" ht="23.1" customHeight="1" spans="1:6">
      <c r="A9" s="652" t="s">
        <v>14</v>
      </c>
      <c r="B9" s="473" t="s">
        <v>15</v>
      </c>
      <c r="C9" s="654">
        <v>295.1</v>
      </c>
      <c r="D9" s="383">
        <v>0.9</v>
      </c>
      <c r="E9" s="654">
        <v>211.47</v>
      </c>
      <c r="F9" s="383">
        <v>-4.59</v>
      </c>
    </row>
    <row r="10" ht="23.1" customHeight="1" spans="1:6">
      <c r="A10" s="652" t="s">
        <v>16</v>
      </c>
      <c r="B10" s="473" t="s">
        <v>8</v>
      </c>
      <c r="C10" s="654">
        <v>892.25</v>
      </c>
      <c r="D10" s="383">
        <v>8.6</v>
      </c>
      <c r="E10" s="654">
        <v>739.76</v>
      </c>
      <c r="F10" s="383">
        <v>8.3</v>
      </c>
    </row>
    <row r="11" ht="23.1" customHeight="1" spans="1:6">
      <c r="A11" s="652" t="s">
        <v>17</v>
      </c>
      <c r="B11" s="473" t="s">
        <v>8</v>
      </c>
      <c r="C11" s="654">
        <v>66.19</v>
      </c>
      <c r="D11" s="383">
        <v>2.2</v>
      </c>
      <c r="E11" s="653">
        <v>53.08</v>
      </c>
      <c r="F11" s="383">
        <v>6.4</v>
      </c>
    </row>
    <row r="12" ht="23.1" customHeight="1" spans="1:6">
      <c r="A12" s="652" t="s">
        <v>18</v>
      </c>
      <c r="B12" s="473" t="s">
        <v>8</v>
      </c>
      <c r="C12" s="654">
        <v>254.71</v>
      </c>
      <c r="D12" s="383">
        <v>9.8</v>
      </c>
      <c r="E12" s="653">
        <v>198.65</v>
      </c>
      <c r="F12" s="383">
        <v>15</v>
      </c>
    </row>
    <row r="13" ht="23.1" customHeight="1" spans="1:6">
      <c r="A13" s="652" t="s">
        <v>19</v>
      </c>
      <c r="B13" s="473" t="s">
        <v>8</v>
      </c>
      <c r="C13" s="654">
        <v>311.68</v>
      </c>
      <c r="D13" s="383">
        <v>12.8</v>
      </c>
      <c r="E13" s="654">
        <v>267.29</v>
      </c>
      <c r="F13" s="383">
        <v>17.55</v>
      </c>
    </row>
    <row r="14" ht="23.1" customHeight="1" spans="1:6">
      <c r="A14" s="652" t="s">
        <v>20</v>
      </c>
      <c r="B14" s="473" t="s">
        <v>8</v>
      </c>
      <c r="C14" s="659">
        <v>184.7151</v>
      </c>
      <c r="D14" s="383">
        <v>12.7</v>
      </c>
      <c r="E14" s="654">
        <v>151.5147</v>
      </c>
      <c r="F14" s="383">
        <v>17.4</v>
      </c>
    </row>
    <row r="15" ht="23.1" customHeight="1" spans="1:6">
      <c r="A15" s="652" t="s">
        <v>21</v>
      </c>
      <c r="B15" s="473" t="s">
        <v>8</v>
      </c>
      <c r="C15" s="659">
        <v>96.4206</v>
      </c>
      <c r="D15" s="383">
        <v>6.9</v>
      </c>
      <c r="E15" s="654">
        <v>77.0301</v>
      </c>
      <c r="F15" s="383">
        <v>11</v>
      </c>
    </row>
    <row r="16" ht="23.1" customHeight="1" spans="1:6">
      <c r="A16" s="652" t="s">
        <v>22</v>
      </c>
      <c r="B16" s="473" t="s">
        <v>8</v>
      </c>
      <c r="C16" s="654">
        <v>88.2945</v>
      </c>
      <c r="D16" s="383">
        <v>19.9</v>
      </c>
      <c r="E16" s="654">
        <v>74.4846</v>
      </c>
      <c r="F16" s="383">
        <v>24.9</v>
      </c>
    </row>
    <row r="17" ht="23.1" customHeight="1" spans="1:6">
      <c r="A17" s="652" t="s">
        <v>23</v>
      </c>
      <c r="B17" s="473" t="s">
        <v>24</v>
      </c>
      <c r="C17" s="660">
        <v>16136</v>
      </c>
      <c r="D17" s="383">
        <v>185.8</v>
      </c>
      <c r="E17" s="653">
        <v>7184</v>
      </c>
      <c r="F17" s="383">
        <v>66.5</v>
      </c>
    </row>
    <row r="18" ht="23.1" customHeight="1" spans="1:6">
      <c r="A18" s="652" t="s">
        <v>25</v>
      </c>
      <c r="B18" s="473" t="s">
        <v>8</v>
      </c>
      <c r="C18" s="654">
        <v>3628.76</v>
      </c>
      <c r="D18" s="383">
        <v>7</v>
      </c>
      <c r="E18" s="653">
        <v>3589.55</v>
      </c>
      <c r="F18" s="383">
        <v>9.3</v>
      </c>
    </row>
    <row r="19" ht="23.1" customHeight="1" spans="1:6">
      <c r="A19" s="652" t="s">
        <v>26</v>
      </c>
      <c r="B19" s="473" t="s">
        <v>8</v>
      </c>
      <c r="C19" s="654">
        <v>2320.61</v>
      </c>
      <c r="D19" s="383">
        <v>11</v>
      </c>
      <c r="E19" s="653">
        <v>2298.89</v>
      </c>
      <c r="F19" s="383">
        <v>11.4</v>
      </c>
    </row>
    <row r="20" ht="23.1" customHeight="1" spans="1:6">
      <c r="A20" s="652" t="s">
        <v>27</v>
      </c>
      <c r="B20" s="473" t="s">
        <v>8</v>
      </c>
      <c r="C20" s="654">
        <v>2331.44</v>
      </c>
      <c r="D20" s="383">
        <v>12.8</v>
      </c>
      <c r="E20" s="653">
        <v>2285.88</v>
      </c>
      <c r="F20" s="383">
        <v>15.1</v>
      </c>
    </row>
    <row r="21" ht="23.1" customHeight="1" spans="1:6">
      <c r="A21" s="652" t="s">
        <v>28</v>
      </c>
      <c r="B21" s="473" t="s">
        <v>29</v>
      </c>
      <c r="C21" s="383">
        <v>102.1</v>
      </c>
      <c r="D21" s="383">
        <v>2.1</v>
      </c>
      <c r="E21" s="653">
        <v>101.9</v>
      </c>
      <c r="F21" s="383">
        <v>1.9</v>
      </c>
    </row>
    <row r="22" ht="23.1" customHeight="1" spans="1:6">
      <c r="A22" s="652" t="s">
        <v>30</v>
      </c>
      <c r="B22" s="473" t="s">
        <v>29</v>
      </c>
      <c r="C22" s="383">
        <v>100.45</v>
      </c>
      <c r="D22" s="383">
        <v>0.45</v>
      </c>
      <c r="E22" s="653">
        <v>100.6</v>
      </c>
      <c r="F22" s="383">
        <v>0.6</v>
      </c>
    </row>
    <row r="23" ht="23.1" customHeight="1" spans="1:6">
      <c r="A23" s="652" t="s">
        <v>31</v>
      </c>
      <c r="B23" s="473" t="s">
        <v>32</v>
      </c>
      <c r="C23" s="654">
        <v>100.9305</v>
      </c>
      <c r="D23" s="383">
        <v>6.91</v>
      </c>
      <c r="E23" s="654">
        <v>80.7329</v>
      </c>
      <c r="F23" s="383">
        <v>5.68</v>
      </c>
    </row>
    <row r="24" ht="23.1" customHeight="1" spans="1:6">
      <c r="A24" s="652" t="s">
        <v>33</v>
      </c>
      <c r="B24" s="473" t="s">
        <v>32</v>
      </c>
      <c r="C24" s="458">
        <v>60.1308</v>
      </c>
      <c r="D24" s="661">
        <v>2.6</v>
      </c>
      <c r="E24" s="654">
        <v>49.2658</v>
      </c>
      <c r="F24" s="383">
        <v>2.06</v>
      </c>
    </row>
    <row r="25" ht="20" customHeight="1" spans="1:6">
      <c r="A25" s="395" t="s">
        <v>34</v>
      </c>
      <c r="B25" s="395"/>
      <c r="C25" s="395"/>
      <c r="D25" s="395"/>
      <c r="E25" s="395"/>
      <c r="F25" s="395"/>
    </row>
  </sheetData>
  <mergeCells count="6">
    <mergeCell ref="A1:F1"/>
    <mergeCell ref="C2:D2"/>
    <mergeCell ref="E2:F2"/>
    <mergeCell ref="A25:F25"/>
    <mergeCell ref="A2:A3"/>
    <mergeCell ref="B2:B3"/>
  </mergeCells>
  <pageMargins left="0.75" right="0.75" top="1" bottom="1" header="0.5" footer="0.5"/>
  <pageSetup paperSize="9" orientation="portrait"/>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H29" sqref="H28:H29"/>
    </sheetView>
  </sheetViews>
  <sheetFormatPr defaultColWidth="9" defaultRowHeight="14.25" outlineLevelCol="4"/>
  <cols>
    <col min="1" max="1" width="29" customWidth="1"/>
    <col min="2" max="5" width="11" customWidth="1"/>
  </cols>
  <sheetData>
    <row r="1" ht="28.5" customHeight="1" spans="1:5">
      <c r="A1" s="84" t="s">
        <v>536</v>
      </c>
      <c r="B1" s="84"/>
      <c r="C1" s="84"/>
      <c r="D1" s="84"/>
      <c r="E1" s="84"/>
    </row>
    <row r="2" ht="15.95" customHeight="1" spans="1:5">
      <c r="A2" s="89" t="s">
        <v>533</v>
      </c>
      <c r="B2" s="90" t="s">
        <v>43</v>
      </c>
      <c r="C2" s="90"/>
      <c r="D2" s="90" t="s">
        <v>42</v>
      </c>
      <c r="E2" s="138"/>
    </row>
    <row r="3" ht="15.95" customHeight="1" spans="1:5">
      <c r="A3" s="93"/>
      <c r="B3" s="94" t="s">
        <v>5</v>
      </c>
      <c r="C3" s="94" t="s">
        <v>6</v>
      </c>
      <c r="D3" s="94" t="s">
        <v>5</v>
      </c>
      <c r="E3" s="139" t="s">
        <v>6</v>
      </c>
    </row>
    <row r="4" ht="15.95" customHeight="1" spans="1:5">
      <c r="A4" s="196" t="s">
        <v>11</v>
      </c>
      <c r="B4" s="197"/>
      <c r="C4" s="197"/>
      <c r="D4" s="197"/>
      <c r="E4" s="198"/>
    </row>
    <row r="5" ht="15.95" customHeight="1" spans="1:5">
      <c r="A5" s="199" t="s">
        <v>461</v>
      </c>
      <c r="B5" s="114">
        <v>295.3771</v>
      </c>
      <c r="C5" s="112">
        <v>0.9</v>
      </c>
      <c r="D5" s="200">
        <v>360.8379</v>
      </c>
      <c r="E5" s="201">
        <v>0.2</v>
      </c>
    </row>
    <row r="6" ht="15.95" customHeight="1" spans="1:5">
      <c r="A6" s="199" t="s">
        <v>462</v>
      </c>
      <c r="B6" s="114">
        <v>15.5186</v>
      </c>
      <c r="C6" s="112">
        <v>-2.6</v>
      </c>
      <c r="D6" s="200">
        <v>18.1944</v>
      </c>
      <c r="E6" s="201">
        <v>-3.1</v>
      </c>
    </row>
    <row r="7" ht="15.95" customHeight="1" spans="1:5">
      <c r="A7" s="198" t="s">
        <v>463</v>
      </c>
      <c r="B7" s="114">
        <v>77.6047</v>
      </c>
      <c r="C7" s="112">
        <v>0.8</v>
      </c>
      <c r="D7" s="200">
        <v>93.7617</v>
      </c>
      <c r="E7" s="201">
        <v>0.5</v>
      </c>
    </row>
    <row r="8" ht="15.95" customHeight="1" spans="1:5">
      <c r="A8" s="202" t="s">
        <v>464</v>
      </c>
      <c r="B8" s="114">
        <v>77.517</v>
      </c>
      <c r="C8" s="112">
        <v>-2.5</v>
      </c>
      <c r="D8" s="200">
        <v>95.2449</v>
      </c>
      <c r="E8" s="201">
        <v>-2.4</v>
      </c>
    </row>
    <row r="9" ht="15.95" customHeight="1" spans="1:5">
      <c r="A9" s="198" t="s">
        <v>480</v>
      </c>
      <c r="B9" s="114">
        <v>23.2384</v>
      </c>
      <c r="C9" s="112">
        <v>9.9</v>
      </c>
      <c r="D9" s="200">
        <v>28.3472</v>
      </c>
      <c r="E9" s="201">
        <v>9.3</v>
      </c>
    </row>
    <row r="10" ht="15.95" customHeight="1" spans="1:5">
      <c r="A10" s="198" t="s">
        <v>467</v>
      </c>
      <c r="B10" s="114">
        <v>62.7325</v>
      </c>
      <c r="C10" s="112">
        <v>2.9</v>
      </c>
      <c r="D10" s="200">
        <v>77.3637</v>
      </c>
      <c r="E10" s="201">
        <v>5</v>
      </c>
    </row>
    <row r="11" ht="15.95" customHeight="1" spans="1:5">
      <c r="A11" s="198" t="s">
        <v>468</v>
      </c>
      <c r="B11" s="114">
        <v>11.6063</v>
      </c>
      <c r="C11" s="112">
        <v>5.6</v>
      </c>
      <c r="D11" s="200">
        <v>16.5394</v>
      </c>
      <c r="E11" s="201">
        <v>7.7</v>
      </c>
    </row>
    <row r="12" ht="15.95" customHeight="1" spans="1:5">
      <c r="A12" s="198" t="s">
        <v>469</v>
      </c>
      <c r="B12" s="114">
        <v>4.8987</v>
      </c>
      <c r="C12" s="112">
        <v>3</v>
      </c>
      <c r="D12" s="200">
        <v>5.5702</v>
      </c>
      <c r="E12" s="201">
        <v>1.4</v>
      </c>
    </row>
    <row r="13" ht="15.95" customHeight="1" spans="1:5">
      <c r="A13" s="198" t="s">
        <v>470</v>
      </c>
      <c r="B13" s="114">
        <v>3.8635</v>
      </c>
      <c r="C13" s="112">
        <v>2.8</v>
      </c>
      <c r="D13" s="200">
        <v>4.4153</v>
      </c>
      <c r="E13" s="201">
        <v>0.2</v>
      </c>
    </row>
    <row r="14" ht="15.95" customHeight="1" spans="1:5">
      <c r="A14" s="198" t="s">
        <v>471</v>
      </c>
      <c r="B14" s="114">
        <v>13.5519</v>
      </c>
      <c r="C14" s="112">
        <v>9.6</v>
      </c>
      <c r="D14" s="200">
        <v>16.1048</v>
      </c>
      <c r="E14" s="201">
        <v>9.9</v>
      </c>
    </row>
    <row r="15" ht="15.95" customHeight="1" spans="1:5">
      <c r="A15" s="198" t="s">
        <v>472</v>
      </c>
      <c r="B15" s="114">
        <v>37.6683</v>
      </c>
      <c r="C15" s="112">
        <v>9.9</v>
      </c>
      <c r="D15" s="200">
        <v>45.3943</v>
      </c>
      <c r="E15" s="201">
        <v>5</v>
      </c>
    </row>
    <row r="16" ht="15.95" customHeight="1" spans="1:5">
      <c r="A16" s="196" t="s">
        <v>12</v>
      </c>
      <c r="B16" s="197"/>
      <c r="C16" s="197"/>
      <c r="D16" s="197"/>
      <c r="E16" s="198"/>
    </row>
    <row r="17" ht="15.95" customHeight="1" spans="1:5">
      <c r="A17" s="199" t="s">
        <v>461</v>
      </c>
      <c r="B17" s="114"/>
      <c r="C17" s="115">
        <v>16</v>
      </c>
      <c r="D17" s="203"/>
      <c r="E17" s="204">
        <v>1.86050002637863</v>
      </c>
    </row>
    <row r="18" ht="15.95" customHeight="1" spans="1:5">
      <c r="A18" s="199" t="s">
        <v>462</v>
      </c>
      <c r="B18" s="114"/>
      <c r="C18" s="115">
        <v>3.1</v>
      </c>
      <c r="D18" s="203"/>
      <c r="E18" s="204">
        <v>0.2</v>
      </c>
    </row>
    <row r="19" ht="15.95" customHeight="1" spans="1:5">
      <c r="A19" s="198" t="s">
        <v>463</v>
      </c>
      <c r="B19" s="114"/>
      <c r="C19" s="115">
        <v>16.1</v>
      </c>
      <c r="D19" s="203"/>
      <c r="E19" s="204">
        <v>2</v>
      </c>
    </row>
    <row r="20" ht="15.95" customHeight="1" spans="1:5">
      <c r="A20" s="202" t="s">
        <v>464</v>
      </c>
      <c r="B20" s="114"/>
      <c r="C20" s="115">
        <v>21.1</v>
      </c>
      <c r="D20" s="203"/>
      <c r="E20" s="204">
        <v>3.64347076151115</v>
      </c>
    </row>
    <row r="21" ht="15.95" customHeight="1" spans="1:5">
      <c r="A21" s="198" t="s">
        <v>480</v>
      </c>
      <c r="B21" s="114"/>
      <c r="C21" s="115">
        <v>0.2</v>
      </c>
      <c r="D21" s="203"/>
      <c r="E21" s="204">
        <v>-24.5508996416804</v>
      </c>
    </row>
    <row r="22" ht="15.95" customHeight="1" spans="1:5">
      <c r="A22" s="198" t="s">
        <v>467</v>
      </c>
      <c r="B22" s="114"/>
      <c r="C22" s="112">
        <v>17.7</v>
      </c>
      <c r="D22" s="203"/>
      <c r="E22" s="204">
        <v>7.1</v>
      </c>
    </row>
    <row r="23" ht="15.95" customHeight="1" spans="1:5">
      <c r="A23" s="198" t="s">
        <v>468</v>
      </c>
      <c r="B23" s="114"/>
      <c r="C23" s="112">
        <v>9.2</v>
      </c>
      <c r="D23" s="203"/>
      <c r="E23" s="204">
        <v>10.1</v>
      </c>
    </row>
    <row r="24" ht="15.95" customHeight="1" spans="1:5">
      <c r="A24" s="198" t="s">
        <v>469</v>
      </c>
      <c r="B24" s="114"/>
      <c r="C24" s="112">
        <v>34.1</v>
      </c>
      <c r="D24" s="203"/>
      <c r="E24" s="204">
        <v>22.6073832372468</v>
      </c>
    </row>
    <row r="25" ht="15.95" customHeight="1" spans="1:5">
      <c r="A25" s="198" t="s">
        <v>470</v>
      </c>
      <c r="B25" s="114"/>
      <c r="C25" s="112">
        <v>29.8</v>
      </c>
      <c r="D25" s="203"/>
      <c r="E25" s="204">
        <v>15.6</v>
      </c>
    </row>
    <row r="26" ht="15.95" customHeight="1" spans="1:5">
      <c r="A26" s="198" t="s">
        <v>471</v>
      </c>
      <c r="B26" s="114"/>
      <c r="C26" s="112">
        <v>34.7</v>
      </c>
      <c r="D26" s="203"/>
      <c r="E26" s="204">
        <v>23.5</v>
      </c>
    </row>
    <row r="27" ht="15.95" customHeight="1" spans="1:5">
      <c r="A27" s="205" t="s">
        <v>472</v>
      </c>
      <c r="B27" s="209"/>
      <c r="C27" s="210">
        <v>10.2</v>
      </c>
      <c r="D27" s="206"/>
      <c r="E27" s="207">
        <v>-22.8</v>
      </c>
    </row>
    <row r="28" spans="1:5">
      <c r="A28" s="208"/>
      <c r="B28" s="208"/>
      <c r="C28" s="208"/>
      <c r="D28" s="208"/>
      <c r="E28" s="208"/>
    </row>
  </sheetData>
  <mergeCells count="4">
    <mergeCell ref="A1:E1"/>
    <mergeCell ref="B2:C2"/>
    <mergeCell ref="D2:E2"/>
    <mergeCell ref="A2:A3"/>
  </mergeCells>
  <pageMargins left="0.75" right="0.75" top="1" bottom="1" header="0.5" footer="0.5"/>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G8" sqref="G8"/>
    </sheetView>
  </sheetViews>
  <sheetFormatPr defaultColWidth="9" defaultRowHeight="14.25" outlineLevelCol="4"/>
  <cols>
    <col min="1" max="1" width="29" customWidth="1"/>
    <col min="2" max="3" width="11" customWidth="1"/>
  </cols>
  <sheetData>
    <row r="1" ht="28.5" customHeight="1" spans="1:5">
      <c r="A1" s="84" t="s">
        <v>537</v>
      </c>
      <c r="B1" s="84"/>
      <c r="C1" s="84"/>
      <c r="D1" s="84"/>
      <c r="E1" s="84"/>
    </row>
    <row r="2" ht="15.95" customHeight="1" spans="1:5">
      <c r="A2" s="89" t="s">
        <v>533</v>
      </c>
      <c r="B2" s="90" t="s">
        <v>40</v>
      </c>
      <c r="C2" s="90"/>
      <c r="D2" s="90" t="s">
        <v>39</v>
      </c>
      <c r="E2" s="138"/>
    </row>
    <row r="3" ht="15.95" customHeight="1" spans="1:5">
      <c r="A3" s="93"/>
      <c r="B3" s="94" t="s">
        <v>5</v>
      </c>
      <c r="C3" s="94" t="s">
        <v>6</v>
      </c>
      <c r="D3" s="94" t="s">
        <v>5</v>
      </c>
      <c r="E3" s="139" t="s">
        <v>6</v>
      </c>
    </row>
    <row r="4" ht="15.95" customHeight="1" spans="1:5">
      <c r="A4" s="196" t="s">
        <v>11</v>
      </c>
      <c r="B4" s="197"/>
      <c r="C4" s="197"/>
      <c r="D4" s="197"/>
      <c r="E4" s="198"/>
    </row>
    <row r="5" ht="15.95" customHeight="1" spans="1:5">
      <c r="A5" s="199" t="s">
        <v>461</v>
      </c>
      <c r="B5" s="114">
        <v>414.54</v>
      </c>
      <c r="C5" s="112">
        <v>-2.5</v>
      </c>
      <c r="D5" s="200">
        <v>466.5555</v>
      </c>
      <c r="E5" s="201">
        <v>-4.5</v>
      </c>
    </row>
    <row r="6" ht="15.95" customHeight="1" spans="1:5">
      <c r="A6" s="199" t="s">
        <v>462</v>
      </c>
      <c r="B6" s="114">
        <v>21.38</v>
      </c>
      <c r="C6" s="112">
        <v>-2.9</v>
      </c>
      <c r="D6" s="200">
        <v>17.4698</v>
      </c>
      <c r="E6" s="201">
        <v>-0.8</v>
      </c>
    </row>
    <row r="7" ht="15.95" customHeight="1" spans="1:5">
      <c r="A7" s="198" t="s">
        <v>463</v>
      </c>
      <c r="B7" s="114">
        <v>101.19</v>
      </c>
      <c r="C7" s="112">
        <v>-7.1</v>
      </c>
      <c r="D7" s="200">
        <v>90.4893</v>
      </c>
      <c r="E7" s="201">
        <v>-13.5</v>
      </c>
    </row>
    <row r="8" ht="15.95" customHeight="1" spans="1:5">
      <c r="A8" s="202" t="s">
        <v>464</v>
      </c>
      <c r="B8" s="114">
        <v>112.52</v>
      </c>
      <c r="C8" s="112">
        <v>-2.3</v>
      </c>
      <c r="D8" s="200">
        <v>132.3106</v>
      </c>
      <c r="E8" s="201">
        <v>-1</v>
      </c>
    </row>
    <row r="9" ht="15.95" customHeight="1" spans="1:5">
      <c r="A9" s="198" t="s">
        <v>480</v>
      </c>
      <c r="B9" s="114">
        <v>33.38</v>
      </c>
      <c r="C9" s="112">
        <v>9.9</v>
      </c>
      <c r="D9" s="200">
        <v>36.7391</v>
      </c>
      <c r="E9" s="201">
        <v>10.2</v>
      </c>
    </row>
    <row r="10" ht="15.95" customHeight="1" spans="1:5">
      <c r="A10" s="198" t="s">
        <v>467</v>
      </c>
      <c r="B10" s="114">
        <v>90.82</v>
      </c>
      <c r="C10" s="112">
        <v>4.1</v>
      </c>
      <c r="D10" s="200">
        <v>118.579</v>
      </c>
      <c r="E10" s="201">
        <v>3.8</v>
      </c>
    </row>
    <row r="11" ht="15.95" customHeight="1" spans="1:5">
      <c r="A11" s="198" t="s">
        <v>468</v>
      </c>
      <c r="B11" s="114">
        <v>19.37</v>
      </c>
      <c r="C11" s="112">
        <v>6.1</v>
      </c>
      <c r="D11" s="200">
        <v>17.0895</v>
      </c>
      <c r="E11" s="201">
        <v>6</v>
      </c>
    </row>
    <row r="12" ht="15.95" customHeight="1" spans="1:5">
      <c r="A12" s="198" t="s">
        <v>469</v>
      </c>
      <c r="B12" s="114">
        <v>6.36</v>
      </c>
      <c r="C12" s="112">
        <v>1.3</v>
      </c>
      <c r="D12" s="200">
        <v>7.8352</v>
      </c>
      <c r="E12" s="201">
        <v>2.8</v>
      </c>
    </row>
    <row r="13" ht="15.95" customHeight="1" spans="1:5">
      <c r="A13" s="198" t="s">
        <v>470</v>
      </c>
      <c r="B13" s="114">
        <v>4.95</v>
      </c>
      <c r="C13" s="112">
        <v>-3.9</v>
      </c>
      <c r="D13" s="200">
        <v>5.5962</v>
      </c>
      <c r="E13" s="201">
        <v>-3</v>
      </c>
    </row>
    <row r="14" ht="15.95" customHeight="1" spans="1:5">
      <c r="A14" s="198" t="s">
        <v>471</v>
      </c>
      <c r="B14" s="114">
        <v>18.86</v>
      </c>
      <c r="C14" s="112">
        <v>10.5</v>
      </c>
      <c r="D14" s="200">
        <v>15.1866</v>
      </c>
      <c r="E14" s="201">
        <v>10.7</v>
      </c>
    </row>
    <row r="15" ht="15.95" customHeight="1" spans="1:5">
      <c r="A15" s="198" t="s">
        <v>472</v>
      </c>
      <c r="B15" s="114">
        <v>52.62</v>
      </c>
      <c r="C15" s="112">
        <v>3.1</v>
      </c>
      <c r="D15" s="200">
        <v>52.8966</v>
      </c>
      <c r="E15" s="201">
        <v>1.5</v>
      </c>
    </row>
    <row r="16" ht="15.95" customHeight="1" spans="1:5">
      <c r="A16" s="196" t="s">
        <v>12</v>
      </c>
      <c r="B16" s="197"/>
      <c r="C16" s="197"/>
      <c r="D16" s="197"/>
      <c r="E16" s="198"/>
    </row>
    <row r="17" ht="15.95" customHeight="1" spans="1:5">
      <c r="A17" s="199" t="s">
        <v>461</v>
      </c>
      <c r="B17" s="114"/>
      <c r="C17" s="115">
        <v>4.12830311849746</v>
      </c>
      <c r="D17" s="203"/>
      <c r="E17" s="204">
        <v>3.09957002816607</v>
      </c>
    </row>
    <row r="18" ht="15.95" customHeight="1" spans="1:5">
      <c r="A18" s="199" t="s">
        <v>462</v>
      </c>
      <c r="B18" s="114"/>
      <c r="C18" s="115">
        <v>0.307506833026423</v>
      </c>
      <c r="D18" s="203"/>
      <c r="E18" s="204">
        <v>0.299960414942873</v>
      </c>
    </row>
    <row r="19" ht="15.95" customHeight="1" spans="1:5">
      <c r="A19" s="198" t="s">
        <v>463</v>
      </c>
      <c r="B19" s="114"/>
      <c r="C19" s="115">
        <v>1.93812910572981</v>
      </c>
      <c r="D19" s="203"/>
      <c r="E19" s="204">
        <v>0.0999642124678246</v>
      </c>
    </row>
    <row r="20" ht="15.95" customHeight="1" spans="1:5">
      <c r="A20" s="202" t="s">
        <v>464</v>
      </c>
      <c r="B20" s="114"/>
      <c r="C20" s="115">
        <v>2.01268225695708</v>
      </c>
      <c r="D20" s="203"/>
      <c r="E20" s="204">
        <v>-4.71345759188966</v>
      </c>
    </row>
    <row r="21" ht="15.95" customHeight="1" spans="1:5">
      <c r="A21" s="198" t="s">
        <v>480</v>
      </c>
      <c r="B21" s="114"/>
      <c r="C21" s="115">
        <v>-18.6458497135797</v>
      </c>
      <c r="D21" s="203"/>
      <c r="E21" s="204">
        <v>-12.2384570919846</v>
      </c>
    </row>
    <row r="22" ht="15.95" customHeight="1" spans="1:5">
      <c r="A22" s="198" t="s">
        <v>467</v>
      </c>
      <c r="B22" s="114"/>
      <c r="C22" s="112">
        <v>24.3197251217248</v>
      </c>
      <c r="D22" s="203"/>
      <c r="E22" s="204">
        <v>24.9098530135951</v>
      </c>
    </row>
    <row r="23" ht="15.95" customHeight="1" spans="1:5">
      <c r="A23" s="198" t="s">
        <v>468</v>
      </c>
      <c r="B23" s="114"/>
      <c r="C23" s="112">
        <v>8.65619653231077</v>
      </c>
      <c r="D23" s="203"/>
      <c r="E23" s="204">
        <v>1.68691150674931</v>
      </c>
    </row>
    <row r="24" ht="15.95" customHeight="1" spans="1:5">
      <c r="A24" s="198" t="s">
        <v>469</v>
      </c>
      <c r="B24" s="114"/>
      <c r="C24" s="112">
        <v>30.372047965649</v>
      </c>
      <c r="D24" s="203"/>
      <c r="E24" s="204">
        <v>28.9465820962419</v>
      </c>
    </row>
    <row r="25" ht="15.95" customHeight="1" spans="1:5">
      <c r="A25" s="198" t="s">
        <v>470</v>
      </c>
      <c r="B25" s="114"/>
      <c r="C25" s="112">
        <v>5.41520407901817</v>
      </c>
      <c r="D25" s="203"/>
      <c r="E25" s="204">
        <v>-2.51554185295974</v>
      </c>
    </row>
    <row r="26" ht="15.95" customHeight="1" spans="1:5">
      <c r="A26" s="198" t="s">
        <v>471</v>
      </c>
      <c r="B26" s="114"/>
      <c r="C26" s="112">
        <v>28.6838148624806</v>
      </c>
      <c r="D26" s="203"/>
      <c r="E26" s="204">
        <v>25.2527094095007</v>
      </c>
    </row>
    <row r="27" ht="15.95" customHeight="1" spans="1:5">
      <c r="A27" s="205" t="s">
        <v>472</v>
      </c>
      <c r="B27" s="209"/>
      <c r="C27" s="210">
        <v>-26.6444902018081</v>
      </c>
      <c r="D27" s="206"/>
      <c r="E27" s="207">
        <v>-25.0069183043416</v>
      </c>
    </row>
    <row r="28" spans="1:5">
      <c r="A28" s="208"/>
      <c r="B28" s="208"/>
      <c r="C28" s="208"/>
      <c r="D28" s="208"/>
      <c r="E28" s="208"/>
    </row>
  </sheetData>
  <mergeCells count="4">
    <mergeCell ref="A1:E1"/>
    <mergeCell ref="B2:C2"/>
    <mergeCell ref="D2:E2"/>
    <mergeCell ref="A2:A3"/>
  </mergeCells>
  <pageMargins left="0.75" right="0.75" top="1" bottom="1" header="0.5" footer="0.5"/>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G29" sqref="G29"/>
    </sheetView>
  </sheetViews>
  <sheetFormatPr defaultColWidth="9" defaultRowHeight="14.25" outlineLevelCol="4"/>
  <cols>
    <col min="1" max="1" width="29" style="43" customWidth="1"/>
    <col min="2" max="3" width="11" customWidth="1"/>
  </cols>
  <sheetData>
    <row r="1" ht="28.5" customHeight="1" spans="1:5">
      <c r="A1" s="84" t="s">
        <v>538</v>
      </c>
      <c r="B1" s="84"/>
      <c r="C1" s="84"/>
      <c r="D1" s="84"/>
      <c r="E1" s="84"/>
    </row>
    <row r="2" ht="15.95" customHeight="1" spans="1:5">
      <c r="A2" s="89" t="s">
        <v>533</v>
      </c>
      <c r="B2" s="90" t="s">
        <v>37</v>
      </c>
      <c r="C2" s="90"/>
      <c r="D2" s="90" t="s">
        <v>36</v>
      </c>
      <c r="E2" s="138"/>
    </row>
    <row r="3" ht="15.95" customHeight="1" spans="1:5">
      <c r="A3" s="93"/>
      <c r="B3" s="94" t="s">
        <v>5</v>
      </c>
      <c r="C3" s="94" t="s">
        <v>6</v>
      </c>
      <c r="D3" s="94" t="s">
        <v>5</v>
      </c>
      <c r="E3" s="139" t="s">
        <v>6</v>
      </c>
    </row>
    <row r="4" ht="15.95" customHeight="1" spans="1:5">
      <c r="A4" s="196" t="s">
        <v>11</v>
      </c>
      <c r="B4" s="197"/>
      <c r="C4" s="197"/>
      <c r="D4" s="197"/>
      <c r="E4" s="198"/>
    </row>
    <row r="5" ht="15.95" customHeight="1" spans="1:5">
      <c r="A5" s="199" t="s">
        <v>461</v>
      </c>
      <c r="B5" s="114">
        <v>529.3414</v>
      </c>
      <c r="C5" s="112">
        <v>-2.4</v>
      </c>
      <c r="D5" s="200">
        <v>585.7773</v>
      </c>
      <c r="E5" s="201">
        <v>-2</v>
      </c>
    </row>
    <row r="6" ht="15.95" customHeight="1" spans="1:5">
      <c r="A6" s="199" t="s">
        <v>462</v>
      </c>
      <c r="B6" s="114">
        <v>20.1106</v>
      </c>
      <c r="C6" s="112">
        <v>0.1</v>
      </c>
      <c r="D6" s="200">
        <v>22.4875</v>
      </c>
      <c r="E6" s="201">
        <v>2.9</v>
      </c>
    </row>
    <row r="7" ht="15.95" customHeight="1" spans="1:5">
      <c r="A7" s="198" t="s">
        <v>463</v>
      </c>
      <c r="B7" s="114">
        <v>101.4784</v>
      </c>
      <c r="C7" s="112">
        <v>-16</v>
      </c>
      <c r="D7" s="200">
        <v>115.982</v>
      </c>
      <c r="E7" s="201">
        <v>-15</v>
      </c>
    </row>
    <row r="8" ht="15.95" customHeight="1" spans="1:5">
      <c r="A8" s="202" t="s">
        <v>464</v>
      </c>
      <c r="B8" s="114">
        <v>149.5571</v>
      </c>
      <c r="C8" s="112">
        <v>0.5</v>
      </c>
      <c r="D8" s="200">
        <v>168.676</v>
      </c>
      <c r="E8" s="201">
        <v>0.7</v>
      </c>
    </row>
    <row r="9" ht="15.95" customHeight="1" spans="1:5">
      <c r="A9" s="198" t="s">
        <v>480</v>
      </c>
      <c r="B9" s="114">
        <v>41.8086</v>
      </c>
      <c r="C9" s="112">
        <v>10.5</v>
      </c>
      <c r="D9" s="200">
        <v>46.5902</v>
      </c>
      <c r="E9" s="201">
        <v>10.2</v>
      </c>
    </row>
    <row r="10" ht="15.95" customHeight="1" spans="1:5">
      <c r="A10" s="198" t="s">
        <v>467</v>
      </c>
      <c r="B10" s="114">
        <v>135.8146</v>
      </c>
      <c r="C10" s="112">
        <v>5.8</v>
      </c>
      <c r="D10" s="200">
        <v>151.7749</v>
      </c>
      <c r="E10" s="201">
        <v>5.9</v>
      </c>
    </row>
    <row r="11" ht="15.95" customHeight="1" spans="1:5">
      <c r="A11" s="198" t="s">
        <v>468</v>
      </c>
      <c r="B11" s="114">
        <v>19.9623</v>
      </c>
      <c r="C11" s="112">
        <v>7.9</v>
      </c>
      <c r="D11" s="200">
        <v>21.8865</v>
      </c>
      <c r="E11" s="201">
        <v>7.2</v>
      </c>
    </row>
    <row r="12" ht="15.95" customHeight="1" spans="1:5">
      <c r="A12" s="198" t="s">
        <v>469</v>
      </c>
      <c r="B12" s="114">
        <v>8.5944</v>
      </c>
      <c r="C12" s="112">
        <v>4.8</v>
      </c>
      <c r="D12" s="200">
        <v>9.6559</v>
      </c>
      <c r="E12" s="201">
        <v>7.5</v>
      </c>
    </row>
    <row r="13" ht="15.95" customHeight="1" spans="1:5">
      <c r="A13" s="198" t="s">
        <v>470</v>
      </c>
      <c r="B13" s="114">
        <v>6.2297</v>
      </c>
      <c r="C13" s="112">
        <v>-2.9</v>
      </c>
      <c r="D13" s="200">
        <v>6.8375</v>
      </c>
      <c r="E13" s="201">
        <v>-1.9</v>
      </c>
    </row>
    <row r="14" ht="15.95" customHeight="1" spans="1:5">
      <c r="A14" s="198" t="s">
        <v>471</v>
      </c>
      <c r="B14" s="114">
        <v>17.1343</v>
      </c>
      <c r="C14" s="112">
        <v>10.9</v>
      </c>
      <c r="D14" s="200">
        <v>19.2006</v>
      </c>
      <c r="E14" s="201">
        <v>10.7</v>
      </c>
    </row>
    <row r="15" ht="15.95" customHeight="1" spans="1:5">
      <c r="A15" s="198" t="s">
        <v>472</v>
      </c>
      <c r="B15" s="114">
        <v>59.6156</v>
      </c>
      <c r="C15" s="112">
        <v>2</v>
      </c>
      <c r="D15" s="200">
        <v>57.7552</v>
      </c>
      <c r="E15" s="201">
        <v>2.3</v>
      </c>
    </row>
    <row r="16" ht="15.95" customHeight="1" spans="1:5">
      <c r="A16" s="196" t="s">
        <v>12</v>
      </c>
      <c r="B16" s="197"/>
      <c r="C16" s="197"/>
      <c r="D16" s="197"/>
      <c r="E16" s="198"/>
    </row>
    <row r="17" ht="15.95" customHeight="1" spans="1:5">
      <c r="A17" s="199" t="s">
        <v>461</v>
      </c>
      <c r="B17" s="114"/>
      <c r="C17" s="115">
        <v>4.9</v>
      </c>
      <c r="D17" s="203"/>
      <c r="E17" s="204">
        <v>4.4</v>
      </c>
    </row>
    <row r="18" ht="15.95" customHeight="1" spans="1:5">
      <c r="A18" s="199" t="s">
        <v>462</v>
      </c>
      <c r="B18" s="114"/>
      <c r="C18" s="115">
        <v>1</v>
      </c>
      <c r="D18" s="203"/>
      <c r="E18" s="204">
        <v>-4.5</v>
      </c>
    </row>
    <row r="19" ht="15.95" customHeight="1" spans="1:5">
      <c r="A19" s="198" t="s">
        <v>463</v>
      </c>
      <c r="B19" s="114"/>
      <c r="C19" s="115">
        <v>6.3</v>
      </c>
      <c r="D19" s="203"/>
      <c r="E19" s="204">
        <v>6.8</v>
      </c>
    </row>
    <row r="20" ht="15.95" customHeight="1" spans="1:5">
      <c r="A20" s="202" t="s">
        <v>464</v>
      </c>
      <c r="B20" s="114"/>
      <c r="C20" s="115">
        <v>-2.7</v>
      </c>
      <c r="D20" s="203"/>
      <c r="E20" s="204">
        <v>0.5</v>
      </c>
    </row>
    <row r="21" ht="15.95" customHeight="1" spans="1:5">
      <c r="A21" s="198" t="s">
        <v>480</v>
      </c>
      <c r="B21" s="114"/>
      <c r="C21" s="115">
        <v>6.2</v>
      </c>
      <c r="D21" s="203"/>
      <c r="E21" s="204">
        <v>13.6</v>
      </c>
    </row>
    <row r="22" ht="15.95" customHeight="1" spans="1:5">
      <c r="A22" s="198" t="s">
        <v>467</v>
      </c>
      <c r="B22" s="114"/>
      <c r="C22" s="112">
        <v>24.1</v>
      </c>
      <c r="D22" s="203"/>
      <c r="E22" s="204">
        <v>26.9</v>
      </c>
    </row>
    <row r="23" ht="15.95" customHeight="1" spans="1:5">
      <c r="A23" s="198" t="s">
        <v>468</v>
      </c>
      <c r="B23" s="114"/>
      <c r="C23" s="112">
        <v>7.5</v>
      </c>
      <c r="D23" s="203"/>
      <c r="E23" s="204">
        <v>19.3</v>
      </c>
    </row>
    <row r="24" ht="15.95" customHeight="1" spans="1:5">
      <c r="A24" s="198" t="s">
        <v>469</v>
      </c>
      <c r="B24" s="114"/>
      <c r="C24" s="112">
        <v>31.4</v>
      </c>
      <c r="D24" s="203"/>
      <c r="E24" s="204">
        <v>33.7</v>
      </c>
    </row>
    <row r="25" ht="15.95" customHeight="1" spans="1:5">
      <c r="A25" s="198" t="s">
        <v>470</v>
      </c>
      <c r="B25" s="114"/>
      <c r="C25" s="112">
        <v>13.9</v>
      </c>
      <c r="D25" s="203"/>
      <c r="E25" s="204">
        <v>14.4</v>
      </c>
    </row>
    <row r="26" ht="15.95" customHeight="1" spans="1:5">
      <c r="A26" s="198" t="s">
        <v>471</v>
      </c>
      <c r="B26" s="114"/>
      <c r="C26" s="112">
        <v>26.1</v>
      </c>
      <c r="D26" s="203"/>
      <c r="E26" s="204">
        <v>23.5</v>
      </c>
    </row>
    <row r="27" ht="15.95" customHeight="1" spans="1:5">
      <c r="A27" s="205" t="s">
        <v>472</v>
      </c>
      <c r="B27" s="209"/>
      <c r="C27" s="210">
        <v>-27</v>
      </c>
      <c r="D27" s="206"/>
      <c r="E27" s="207">
        <v>-38.1</v>
      </c>
    </row>
    <row r="28" spans="1:5">
      <c r="A28" s="208"/>
      <c r="B28" s="208"/>
      <c r="C28" s="208"/>
      <c r="D28" s="208"/>
      <c r="E28" s="208"/>
    </row>
  </sheetData>
  <mergeCells count="4">
    <mergeCell ref="A1:E1"/>
    <mergeCell ref="B2:C2"/>
    <mergeCell ref="D2:E2"/>
    <mergeCell ref="A2:A3"/>
  </mergeCells>
  <pageMargins left="0.75" right="0.75" top="1" bottom="1" header="0.5" footer="0.5"/>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workbookViewId="0">
      <selection activeCell="E12" sqref="E12"/>
    </sheetView>
  </sheetViews>
  <sheetFormatPr defaultColWidth="9" defaultRowHeight="14.25" outlineLevelCol="2"/>
  <cols>
    <col min="1" max="1" width="29" customWidth="1"/>
    <col min="2" max="3" width="11" customWidth="1"/>
  </cols>
  <sheetData>
    <row r="1" ht="28.5" customHeight="1" spans="1:3">
      <c r="A1" s="84" t="s">
        <v>539</v>
      </c>
      <c r="B1" s="84"/>
      <c r="C1" s="84"/>
    </row>
    <row r="2" ht="15.95" customHeight="1" spans="1:3">
      <c r="A2" s="89" t="s">
        <v>533</v>
      </c>
      <c r="B2" s="90" t="s">
        <v>4</v>
      </c>
      <c r="C2" s="138"/>
    </row>
    <row r="3" ht="15.95" customHeight="1" spans="1:3">
      <c r="A3" s="93"/>
      <c r="B3" s="94" t="s">
        <v>5</v>
      </c>
      <c r="C3" s="139" t="s">
        <v>6</v>
      </c>
    </row>
    <row r="4" ht="15.95" customHeight="1" spans="1:3">
      <c r="A4" s="196" t="s">
        <v>11</v>
      </c>
      <c r="B4" s="197"/>
      <c r="C4" s="198"/>
    </row>
    <row r="5" ht="15.95" customHeight="1" spans="1:3">
      <c r="A5" s="199" t="s">
        <v>461</v>
      </c>
      <c r="B5" s="200">
        <v>651.7158</v>
      </c>
      <c r="C5" s="201">
        <v>-1.2</v>
      </c>
    </row>
    <row r="6" ht="15.95" customHeight="1" spans="1:3">
      <c r="A6" s="199" t="s">
        <v>462</v>
      </c>
      <c r="B6" s="200">
        <v>24.9561</v>
      </c>
      <c r="C6" s="201">
        <v>3.2</v>
      </c>
    </row>
    <row r="7" ht="15.95" customHeight="1" spans="1:3">
      <c r="A7" s="198" t="s">
        <v>463</v>
      </c>
      <c r="B7" s="200">
        <v>130.281</v>
      </c>
      <c r="C7" s="201">
        <v>-13</v>
      </c>
    </row>
    <row r="8" ht="15.95" customHeight="1" spans="1:3">
      <c r="A8" s="202" t="s">
        <v>464</v>
      </c>
      <c r="B8" s="200">
        <v>187.7212</v>
      </c>
      <c r="C8" s="201">
        <v>1.4</v>
      </c>
    </row>
    <row r="9" ht="15.95" customHeight="1" spans="1:3">
      <c r="A9" s="198" t="s">
        <v>480</v>
      </c>
      <c r="B9" s="200">
        <v>52.2524</v>
      </c>
      <c r="C9" s="201">
        <v>9.5</v>
      </c>
    </row>
    <row r="10" ht="15.95" customHeight="1" spans="1:3">
      <c r="A10" s="198" t="s">
        <v>467</v>
      </c>
      <c r="B10" s="200">
        <v>169.715</v>
      </c>
      <c r="C10" s="201">
        <v>6.4</v>
      </c>
    </row>
    <row r="11" ht="15.95" customHeight="1" spans="1:3">
      <c r="A11" s="198" t="s">
        <v>468</v>
      </c>
      <c r="B11" s="200">
        <v>24.803</v>
      </c>
      <c r="C11" s="201">
        <v>6.5</v>
      </c>
    </row>
    <row r="12" ht="15.95" customHeight="1" spans="1:3">
      <c r="A12" s="198" t="s">
        <v>469</v>
      </c>
      <c r="B12" s="200">
        <v>10.7328</v>
      </c>
      <c r="C12" s="201">
        <v>8.2</v>
      </c>
    </row>
    <row r="13" ht="15.95" customHeight="1" spans="1:3">
      <c r="A13" s="198" t="s">
        <v>470</v>
      </c>
      <c r="B13" s="200">
        <v>7.6228</v>
      </c>
      <c r="C13" s="201">
        <v>1.1</v>
      </c>
    </row>
    <row r="14" ht="15.95" customHeight="1" spans="1:3">
      <c r="A14" s="198" t="s">
        <v>471</v>
      </c>
      <c r="B14" s="200">
        <v>21.3539</v>
      </c>
      <c r="C14" s="201">
        <v>10.7</v>
      </c>
    </row>
    <row r="15" ht="15.95" customHeight="1" spans="1:3">
      <c r="A15" s="198" t="s">
        <v>472</v>
      </c>
      <c r="B15" s="200">
        <v>61.7887</v>
      </c>
      <c r="C15" s="201">
        <v>0</v>
      </c>
    </row>
    <row r="16" ht="15.95" customHeight="1" spans="1:3">
      <c r="A16" s="196" t="s">
        <v>12</v>
      </c>
      <c r="B16" s="197"/>
      <c r="C16" s="198"/>
    </row>
    <row r="17" ht="15.95" customHeight="1" spans="1:3">
      <c r="A17" s="199" t="s">
        <v>461</v>
      </c>
      <c r="B17" s="203"/>
      <c r="C17" s="204">
        <v>2.46181584524588</v>
      </c>
    </row>
    <row r="18" ht="15.95" customHeight="1" spans="1:3">
      <c r="A18" s="199" t="s">
        <v>462</v>
      </c>
      <c r="B18" s="203"/>
      <c r="C18" s="204">
        <v>-5.4</v>
      </c>
    </row>
    <row r="19" ht="15.95" customHeight="1" spans="1:3">
      <c r="A19" s="198" t="s">
        <v>463</v>
      </c>
      <c r="B19" s="203"/>
      <c r="C19" s="204">
        <v>9.21739912026919</v>
      </c>
    </row>
    <row r="20" ht="15.95" customHeight="1" spans="1:3">
      <c r="A20" s="202" t="s">
        <v>464</v>
      </c>
      <c r="B20" s="203"/>
      <c r="C20" s="204">
        <v>13.985262904092</v>
      </c>
    </row>
    <row r="21" ht="15.95" customHeight="1" spans="1:3">
      <c r="A21" s="198" t="s">
        <v>480</v>
      </c>
      <c r="B21" s="203"/>
      <c r="C21" s="204">
        <v>13.101623162753</v>
      </c>
    </row>
    <row r="22" ht="15.95" customHeight="1" spans="1:3">
      <c r="A22" s="198" t="s">
        <v>467</v>
      </c>
      <c r="B22" s="203"/>
      <c r="C22" s="204">
        <v>25.0019297645389</v>
      </c>
    </row>
    <row r="23" ht="15.95" customHeight="1" spans="1:3">
      <c r="A23" s="198" t="s">
        <v>468</v>
      </c>
      <c r="B23" s="203"/>
      <c r="C23" s="204">
        <v>22.9196214549572</v>
      </c>
    </row>
    <row r="24" ht="15.95" customHeight="1" spans="1:3">
      <c r="A24" s="198" t="s">
        <v>469</v>
      </c>
      <c r="B24" s="203"/>
      <c r="C24" s="204">
        <v>28.0688000704956</v>
      </c>
    </row>
    <row r="25" ht="15.95" customHeight="1" spans="1:3">
      <c r="A25" s="198" t="s">
        <v>470</v>
      </c>
      <c r="B25" s="203"/>
      <c r="C25" s="204">
        <v>11.6143651096566</v>
      </c>
    </row>
    <row r="26" ht="15.95" customHeight="1" spans="1:3">
      <c r="A26" s="198" t="s">
        <v>471</v>
      </c>
      <c r="B26" s="203"/>
      <c r="C26" s="204">
        <v>11.6413363685056</v>
      </c>
    </row>
    <row r="27" ht="15.95" customHeight="1" spans="1:3">
      <c r="A27" s="205" t="s">
        <v>472</v>
      </c>
      <c r="B27" s="206"/>
      <c r="C27" s="207">
        <v>-45.8069149706809</v>
      </c>
    </row>
    <row r="28" spans="1:3">
      <c r="A28" s="208"/>
      <c r="B28" s="208"/>
      <c r="C28" s="208"/>
    </row>
  </sheetData>
  <mergeCells count="3">
    <mergeCell ref="A1:C1"/>
    <mergeCell ref="B2:C2"/>
    <mergeCell ref="A2:A3"/>
  </mergeCells>
  <pageMargins left="0.75" right="0.75" top="1" bottom="1" header="0.5" footer="0.5"/>
  <pageSetup paperSize="9" orientation="portrait"/>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F7" sqref="F7"/>
    </sheetView>
  </sheetViews>
  <sheetFormatPr defaultColWidth="9" defaultRowHeight="14.25" outlineLevelCol="4"/>
  <cols>
    <col min="1" max="1" width="29" customWidth="1"/>
    <col min="2" max="5" width="13.25" customWidth="1"/>
  </cols>
  <sheetData>
    <row r="1" ht="28.5" customHeight="1" spans="1:5">
      <c r="A1" s="84" t="s">
        <v>540</v>
      </c>
      <c r="B1" s="84"/>
      <c r="C1" s="84"/>
      <c r="D1" s="84"/>
      <c r="E1" s="84"/>
    </row>
    <row r="2" ht="15.95" customHeight="1" spans="1:5">
      <c r="A2" s="89" t="s">
        <v>533</v>
      </c>
      <c r="B2" s="90" t="s">
        <v>50</v>
      </c>
      <c r="C2" s="90"/>
      <c r="D2" s="90" t="s">
        <v>48</v>
      </c>
      <c r="E2" s="138"/>
    </row>
    <row r="3" ht="15.95" customHeight="1" spans="1:5">
      <c r="A3" s="93"/>
      <c r="B3" s="94" t="s">
        <v>5</v>
      </c>
      <c r="C3" s="94" t="s">
        <v>6</v>
      </c>
      <c r="D3" s="94" t="s">
        <v>5</v>
      </c>
      <c r="E3" s="139" t="s">
        <v>6</v>
      </c>
    </row>
    <row r="4" ht="15.95" customHeight="1" spans="1:5">
      <c r="A4" s="196" t="s">
        <v>16</v>
      </c>
      <c r="B4" s="197"/>
      <c r="C4" s="197"/>
      <c r="D4" s="197"/>
      <c r="E4" s="198"/>
    </row>
    <row r="5" ht="15.95" customHeight="1" spans="1:5">
      <c r="A5" s="199" t="s">
        <v>461</v>
      </c>
      <c r="B5" s="114">
        <v>1697.3037</v>
      </c>
      <c r="C5" s="112">
        <v>10.3</v>
      </c>
      <c r="D5" s="200">
        <v>298.7004</v>
      </c>
      <c r="E5" s="201">
        <v>8.1</v>
      </c>
    </row>
    <row r="6" ht="15.95" customHeight="1" spans="1:5">
      <c r="A6" s="199" t="s">
        <v>462</v>
      </c>
      <c r="B6" s="114">
        <v>417.7428</v>
      </c>
      <c r="C6" s="112">
        <v>10</v>
      </c>
      <c r="D6" s="200">
        <v>73.6926</v>
      </c>
      <c r="E6" s="201">
        <v>8.5</v>
      </c>
    </row>
    <row r="7" ht="15.95" customHeight="1" spans="1:5">
      <c r="A7" s="198" t="s">
        <v>463</v>
      </c>
      <c r="B7" s="114">
        <v>438.1392</v>
      </c>
      <c r="C7" s="112">
        <v>12.8</v>
      </c>
      <c r="D7" s="200">
        <v>76.8636</v>
      </c>
      <c r="E7" s="201">
        <v>7.9</v>
      </c>
    </row>
    <row r="8" ht="15.95" customHeight="1" spans="1:5">
      <c r="A8" s="202" t="s">
        <v>464</v>
      </c>
      <c r="B8" s="114">
        <v>46.0925</v>
      </c>
      <c r="C8" s="112">
        <v>9.7</v>
      </c>
      <c r="D8" s="200">
        <v>8.1158</v>
      </c>
      <c r="E8" s="201">
        <v>8.8</v>
      </c>
    </row>
    <row r="9" ht="15.95" customHeight="1" spans="1:5">
      <c r="A9" s="198" t="s">
        <v>480</v>
      </c>
      <c r="B9" s="114">
        <v>73.0499</v>
      </c>
      <c r="C9" s="112">
        <v>10</v>
      </c>
      <c r="D9" s="200">
        <v>13.0054</v>
      </c>
      <c r="E9" s="201">
        <v>9.3</v>
      </c>
    </row>
    <row r="10" ht="15.95" customHeight="1" spans="1:5">
      <c r="A10" s="198" t="s">
        <v>467</v>
      </c>
      <c r="B10" s="114">
        <v>181.9572</v>
      </c>
      <c r="C10" s="112">
        <v>11.7</v>
      </c>
      <c r="D10" s="200">
        <v>31.5897</v>
      </c>
      <c r="E10" s="201">
        <v>6.6</v>
      </c>
    </row>
    <row r="11" ht="15.95" customHeight="1" spans="1:5">
      <c r="A11" s="198" t="s">
        <v>468</v>
      </c>
      <c r="B11" s="114">
        <v>139.3654</v>
      </c>
      <c r="C11" s="112">
        <v>12.8</v>
      </c>
      <c r="D11" s="200">
        <v>24.7211</v>
      </c>
      <c r="E11" s="201">
        <v>8.8</v>
      </c>
    </row>
    <row r="12" ht="15.95" customHeight="1" spans="1:5">
      <c r="A12" s="198" t="s">
        <v>469</v>
      </c>
      <c r="B12" s="114">
        <v>91.6882</v>
      </c>
      <c r="C12" s="112">
        <v>8.5</v>
      </c>
      <c r="D12" s="200">
        <v>15.8771</v>
      </c>
      <c r="E12" s="201">
        <v>6.2</v>
      </c>
    </row>
    <row r="13" ht="15.95" customHeight="1" spans="1:5">
      <c r="A13" s="198" t="s">
        <v>470</v>
      </c>
      <c r="B13" s="114">
        <v>161.7386</v>
      </c>
      <c r="C13" s="112">
        <v>7.4</v>
      </c>
      <c r="D13" s="200">
        <v>28.4471</v>
      </c>
      <c r="E13" s="201">
        <v>7.6</v>
      </c>
    </row>
    <row r="14" ht="15.95" customHeight="1" spans="1:5">
      <c r="A14" s="198" t="s">
        <v>471</v>
      </c>
      <c r="B14" s="114">
        <v>123.0689</v>
      </c>
      <c r="C14" s="112">
        <v>9.9</v>
      </c>
      <c r="D14" s="200">
        <v>21.3837</v>
      </c>
      <c r="E14" s="201">
        <v>6.8</v>
      </c>
    </row>
    <row r="15" ht="15.95" customHeight="1" spans="1:5">
      <c r="A15" s="198" t="s">
        <v>472</v>
      </c>
      <c r="B15" s="114">
        <v>206.4197</v>
      </c>
      <c r="C15" s="112">
        <v>8.8</v>
      </c>
      <c r="D15" s="200">
        <v>36.5947</v>
      </c>
      <c r="E15" s="201">
        <v>9.1</v>
      </c>
    </row>
    <row r="16" ht="15.95" customHeight="1" spans="1:5">
      <c r="A16" s="196" t="s">
        <v>17</v>
      </c>
      <c r="B16" s="197"/>
      <c r="C16" s="197"/>
      <c r="D16" s="197"/>
      <c r="E16" s="198"/>
    </row>
    <row r="17" ht="15.95" customHeight="1" spans="1:5">
      <c r="A17" s="199" t="s">
        <v>461</v>
      </c>
      <c r="B17" s="114">
        <v>121.83</v>
      </c>
      <c r="C17" s="115">
        <v>15.4</v>
      </c>
      <c r="D17" s="203">
        <v>24.8697</v>
      </c>
      <c r="E17" s="204">
        <v>11.8</v>
      </c>
    </row>
    <row r="18" ht="15.95" customHeight="1" spans="1:5">
      <c r="A18" s="199" t="s">
        <v>462</v>
      </c>
      <c r="B18" s="114">
        <v>3.7173</v>
      </c>
      <c r="C18" s="115">
        <v>5.3</v>
      </c>
      <c r="D18" s="203">
        <v>0.6459</v>
      </c>
      <c r="E18" s="204">
        <v>-12.1</v>
      </c>
    </row>
    <row r="19" ht="15.95" customHeight="1" spans="1:5">
      <c r="A19" s="198" t="s">
        <v>463</v>
      </c>
      <c r="B19" s="114">
        <v>8.1634</v>
      </c>
      <c r="C19" s="115">
        <v>0.7</v>
      </c>
      <c r="D19" s="203">
        <v>1.5358</v>
      </c>
      <c r="E19" s="204">
        <v>-13.2</v>
      </c>
    </row>
    <row r="20" ht="15.95" customHeight="1" spans="1:5">
      <c r="A20" s="202" t="s">
        <v>464</v>
      </c>
      <c r="B20" s="114">
        <v>4.8691</v>
      </c>
      <c r="C20" s="115">
        <v>3</v>
      </c>
      <c r="D20" s="203">
        <v>0.5499</v>
      </c>
      <c r="E20" s="204">
        <v>7.3</v>
      </c>
    </row>
    <row r="21" ht="15.95" customHeight="1" spans="1:5">
      <c r="A21" s="198" t="s">
        <v>480</v>
      </c>
      <c r="B21" s="114">
        <v>5.0061</v>
      </c>
      <c r="C21" s="115">
        <v>15.6</v>
      </c>
      <c r="D21" s="203">
        <v>1.5524</v>
      </c>
      <c r="E21" s="204">
        <v>22.8</v>
      </c>
    </row>
    <row r="22" ht="15.95" customHeight="1" spans="1:5">
      <c r="A22" s="198" t="s">
        <v>467</v>
      </c>
      <c r="B22" s="114">
        <v>12.2575</v>
      </c>
      <c r="C22" s="112">
        <v>31.3</v>
      </c>
      <c r="D22" s="203">
        <v>3.8909</v>
      </c>
      <c r="E22" s="204">
        <v>71.9</v>
      </c>
    </row>
    <row r="23" ht="15.95" customHeight="1" spans="1:5">
      <c r="A23" s="198" t="s">
        <v>468</v>
      </c>
      <c r="B23" s="114">
        <v>8.4482</v>
      </c>
      <c r="C23" s="112">
        <v>25.2</v>
      </c>
      <c r="D23" s="203">
        <v>1.7609</v>
      </c>
      <c r="E23" s="204">
        <v>17.3</v>
      </c>
    </row>
    <row r="24" ht="15.95" customHeight="1" spans="1:5">
      <c r="A24" s="198" t="s">
        <v>469</v>
      </c>
      <c r="B24" s="114">
        <v>4.951</v>
      </c>
      <c r="C24" s="112">
        <v>11.3</v>
      </c>
      <c r="D24" s="203">
        <v>1.0858</v>
      </c>
      <c r="E24" s="204">
        <v>14.8</v>
      </c>
    </row>
    <row r="25" ht="15.95" customHeight="1" spans="1:5">
      <c r="A25" s="198" t="s">
        <v>470</v>
      </c>
      <c r="B25" s="114">
        <v>5.5187</v>
      </c>
      <c r="C25" s="112">
        <v>22.9</v>
      </c>
      <c r="D25" s="203">
        <v>1.2456</v>
      </c>
      <c r="E25" s="204">
        <v>-2.4</v>
      </c>
    </row>
    <row r="26" ht="15.95" customHeight="1" spans="1:5">
      <c r="A26" s="198" t="s">
        <v>471</v>
      </c>
      <c r="B26" s="114">
        <v>7.4075</v>
      </c>
      <c r="C26" s="112">
        <v>6.9</v>
      </c>
      <c r="D26" s="203">
        <v>1.0078</v>
      </c>
      <c r="E26" s="204">
        <v>-12.8</v>
      </c>
    </row>
    <row r="27" ht="15.95" customHeight="1" spans="1:5">
      <c r="A27" s="205" t="s">
        <v>472</v>
      </c>
      <c r="B27" s="209">
        <v>12.085</v>
      </c>
      <c r="C27" s="210">
        <v>3.4</v>
      </c>
      <c r="D27" s="206">
        <v>1.9454</v>
      </c>
      <c r="E27" s="207">
        <v>15.2</v>
      </c>
    </row>
    <row r="28" spans="1:5">
      <c r="A28" s="208"/>
      <c r="B28" s="208"/>
      <c r="C28" s="208"/>
      <c r="D28" s="208"/>
      <c r="E28" s="208"/>
    </row>
  </sheetData>
  <mergeCells count="4">
    <mergeCell ref="A1:E1"/>
    <mergeCell ref="B2:C2"/>
    <mergeCell ref="D2:E2"/>
    <mergeCell ref="A2:A3"/>
  </mergeCells>
  <pageMargins left="0.75" right="0.75" top="1" bottom="1" header="0.5" footer="0.5"/>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I32" sqref="I32"/>
    </sheetView>
  </sheetViews>
  <sheetFormatPr defaultColWidth="9" defaultRowHeight="14.25" outlineLevelCol="4"/>
  <cols>
    <col min="1" max="1" width="29" customWidth="1"/>
    <col min="2" max="5" width="11" customWidth="1"/>
  </cols>
  <sheetData>
    <row r="1" ht="28.5" customHeight="1" spans="1:5">
      <c r="A1" s="84" t="s">
        <v>541</v>
      </c>
      <c r="B1" s="84"/>
      <c r="C1" s="84"/>
      <c r="D1" s="84"/>
      <c r="E1" s="84"/>
    </row>
    <row r="2" ht="15.95" customHeight="1" spans="1:5">
      <c r="A2" s="89" t="s">
        <v>533</v>
      </c>
      <c r="B2" s="90" t="s">
        <v>46</v>
      </c>
      <c r="C2" s="90"/>
      <c r="D2" s="90" t="s">
        <v>45</v>
      </c>
      <c r="E2" s="138"/>
    </row>
    <row r="3" ht="15.95" customHeight="1" spans="1:5">
      <c r="A3" s="93"/>
      <c r="B3" s="94" t="s">
        <v>5</v>
      </c>
      <c r="C3" s="94" t="s">
        <v>6</v>
      </c>
      <c r="D3" s="94" t="s">
        <v>5</v>
      </c>
      <c r="E3" s="139" t="s">
        <v>6</v>
      </c>
    </row>
    <row r="4" ht="15.95" customHeight="1" spans="1:5">
      <c r="A4" s="196" t="s">
        <v>16</v>
      </c>
      <c r="B4" s="197"/>
      <c r="C4" s="197"/>
      <c r="D4" s="197"/>
      <c r="E4" s="198"/>
    </row>
    <row r="5" ht="15.95" customHeight="1" spans="1:5">
      <c r="A5" s="199" t="s">
        <v>461</v>
      </c>
      <c r="B5" s="114">
        <v>445.4616</v>
      </c>
      <c r="C5" s="112">
        <v>8.1</v>
      </c>
      <c r="D5" s="200">
        <v>590.7281</v>
      </c>
      <c r="E5" s="201">
        <v>8.1</v>
      </c>
    </row>
    <row r="6" ht="15.95" customHeight="1" spans="1:5">
      <c r="A6" s="199" t="s">
        <v>462</v>
      </c>
      <c r="B6" s="114">
        <v>108.8189</v>
      </c>
      <c r="C6" s="112">
        <v>7.4</v>
      </c>
      <c r="D6" s="200">
        <v>144.7939</v>
      </c>
      <c r="E6" s="201">
        <v>7.8</v>
      </c>
    </row>
    <row r="7" ht="15.95" customHeight="1" spans="1:5">
      <c r="A7" s="198" t="s">
        <v>463</v>
      </c>
      <c r="B7" s="114">
        <v>114.9509</v>
      </c>
      <c r="C7" s="112">
        <v>8.1</v>
      </c>
      <c r="D7" s="200">
        <v>151.9219</v>
      </c>
      <c r="E7" s="201">
        <v>7.9</v>
      </c>
    </row>
    <row r="8" ht="15.95" customHeight="1" spans="1:5">
      <c r="A8" s="202" t="s">
        <v>464</v>
      </c>
      <c r="B8" s="114">
        <v>12.1542</v>
      </c>
      <c r="C8" s="112">
        <v>9</v>
      </c>
      <c r="D8" s="200">
        <v>15.8674</v>
      </c>
      <c r="E8" s="201">
        <v>7.2</v>
      </c>
    </row>
    <row r="9" ht="15.95" customHeight="1" spans="1:5">
      <c r="A9" s="198" t="s">
        <v>480</v>
      </c>
      <c r="B9" s="114">
        <v>19.3423</v>
      </c>
      <c r="C9" s="112">
        <v>8.9</v>
      </c>
      <c r="D9" s="200">
        <v>25.2215</v>
      </c>
      <c r="E9" s="201">
        <v>7.2</v>
      </c>
    </row>
    <row r="10" ht="15.95" customHeight="1" spans="1:5">
      <c r="A10" s="198" t="s">
        <v>467</v>
      </c>
      <c r="B10" s="114">
        <v>47.6538</v>
      </c>
      <c r="C10" s="112">
        <v>7.8</v>
      </c>
      <c r="D10" s="200">
        <v>63.4655</v>
      </c>
      <c r="E10" s="201">
        <v>8.4</v>
      </c>
    </row>
    <row r="11" ht="15.95" customHeight="1" spans="1:5">
      <c r="A11" s="198" t="s">
        <v>468</v>
      </c>
      <c r="B11" s="114">
        <v>37.182</v>
      </c>
      <c r="C11" s="112">
        <v>9.7</v>
      </c>
      <c r="D11" s="200">
        <v>49.3201</v>
      </c>
      <c r="E11" s="201">
        <v>9.8</v>
      </c>
    </row>
    <row r="12" ht="15.95" customHeight="1" spans="1:5">
      <c r="A12" s="198" t="s">
        <v>469</v>
      </c>
      <c r="B12" s="114">
        <v>23.7375</v>
      </c>
      <c r="C12" s="112">
        <v>6.5</v>
      </c>
      <c r="D12" s="200">
        <v>31.6463</v>
      </c>
      <c r="E12" s="201">
        <v>7.1</v>
      </c>
    </row>
    <row r="13" ht="15.95" customHeight="1" spans="1:5">
      <c r="A13" s="198" t="s">
        <v>470</v>
      </c>
      <c r="B13" s="114">
        <v>42.5387</v>
      </c>
      <c r="C13" s="112">
        <v>8</v>
      </c>
      <c r="D13" s="200">
        <v>56.4185</v>
      </c>
      <c r="E13" s="201">
        <v>8</v>
      </c>
    </row>
    <row r="14" ht="15.95" customHeight="1" spans="1:5">
      <c r="A14" s="198" t="s">
        <v>471</v>
      </c>
      <c r="B14" s="114">
        <v>32.093</v>
      </c>
      <c r="C14" s="112">
        <v>7.4</v>
      </c>
      <c r="D14" s="200">
        <v>42.8772</v>
      </c>
      <c r="E14" s="201">
        <v>8.2</v>
      </c>
    </row>
    <row r="15" ht="15.95" customHeight="1" spans="1:5">
      <c r="A15" s="198" t="s">
        <v>472</v>
      </c>
      <c r="B15" s="114">
        <v>54.6482</v>
      </c>
      <c r="C15" s="112">
        <v>9.2</v>
      </c>
      <c r="D15" s="200">
        <v>72.6615</v>
      </c>
      <c r="E15" s="201">
        <v>9.4</v>
      </c>
    </row>
    <row r="16" ht="15.95" customHeight="1" spans="1:5">
      <c r="A16" s="196" t="s">
        <v>17</v>
      </c>
      <c r="B16" s="197"/>
      <c r="C16" s="197"/>
      <c r="D16" s="197"/>
      <c r="E16" s="198"/>
    </row>
    <row r="17" ht="15.95" customHeight="1" spans="1:5">
      <c r="A17" s="199" t="s">
        <v>461</v>
      </c>
      <c r="B17" s="114">
        <v>34.0085</v>
      </c>
      <c r="C17" s="115">
        <v>12.4</v>
      </c>
      <c r="D17" s="203">
        <v>44.9702</v>
      </c>
      <c r="E17" s="204">
        <v>11.4</v>
      </c>
    </row>
    <row r="18" ht="15.95" customHeight="1" spans="1:5">
      <c r="A18" s="199" t="s">
        <v>462</v>
      </c>
      <c r="B18" s="114">
        <v>0.9271</v>
      </c>
      <c r="C18" s="115">
        <v>1.9</v>
      </c>
      <c r="D18" s="203">
        <v>1.258</v>
      </c>
      <c r="E18" s="204">
        <v>0.7</v>
      </c>
    </row>
    <row r="19" ht="15.95" customHeight="1" spans="1:5">
      <c r="A19" s="198" t="s">
        <v>463</v>
      </c>
      <c r="B19" s="114">
        <v>2.37</v>
      </c>
      <c r="C19" s="115">
        <v>0.7</v>
      </c>
      <c r="D19" s="203">
        <v>2.8889</v>
      </c>
      <c r="E19" s="204">
        <v>-6.8</v>
      </c>
    </row>
    <row r="20" ht="15.95" customHeight="1" spans="1:5">
      <c r="A20" s="202" t="s">
        <v>464</v>
      </c>
      <c r="B20" s="114">
        <v>0.8875</v>
      </c>
      <c r="C20" s="115">
        <v>10.2</v>
      </c>
      <c r="D20" s="203">
        <v>1.0579</v>
      </c>
      <c r="E20" s="204">
        <v>9.1</v>
      </c>
    </row>
    <row r="21" ht="15.95" customHeight="1" spans="1:5">
      <c r="A21" s="198" t="s">
        <v>480</v>
      </c>
      <c r="B21" s="114">
        <v>1.8222</v>
      </c>
      <c r="C21" s="115">
        <v>20.9</v>
      </c>
      <c r="D21" s="203">
        <v>2.3369</v>
      </c>
      <c r="E21" s="204">
        <v>23.4</v>
      </c>
    </row>
    <row r="22" ht="15.95" customHeight="1" spans="1:5">
      <c r="A22" s="198" t="s">
        <v>467</v>
      </c>
      <c r="B22" s="114">
        <v>4.6475</v>
      </c>
      <c r="C22" s="112">
        <v>56.7</v>
      </c>
      <c r="D22" s="203">
        <v>5.3043</v>
      </c>
      <c r="E22" s="204">
        <v>34.3</v>
      </c>
    </row>
    <row r="23" ht="15.95" customHeight="1" spans="1:5">
      <c r="A23" s="198" t="s">
        <v>468</v>
      </c>
      <c r="B23" s="114">
        <v>2.3637</v>
      </c>
      <c r="C23" s="112">
        <v>11.2</v>
      </c>
      <c r="D23" s="203">
        <v>2.8186</v>
      </c>
      <c r="E23" s="204">
        <v>-7.3</v>
      </c>
    </row>
    <row r="24" ht="15.95" customHeight="1" spans="1:5">
      <c r="A24" s="198" t="s">
        <v>469</v>
      </c>
      <c r="B24" s="114">
        <v>1.421</v>
      </c>
      <c r="C24" s="112">
        <v>13.1</v>
      </c>
      <c r="D24" s="203">
        <v>2.2856</v>
      </c>
      <c r="E24" s="204">
        <v>38.1</v>
      </c>
    </row>
    <row r="25" ht="15.95" customHeight="1" spans="1:5">
      <c r="A25" s="198" t="s">
        <v>470</v>
      </c>
      <c r="B25" s="114">
        <v>1.6599</v>
      </c>
      <c r="C25" s="112">
        <v>-2</v>
      </c>
      <c r="D25" s="203">
        <v>2.0591</v>
      </c>
      <c r="E25" s="204">
        <v>-3.1</v>
      </c>
    </row>
    <row r="26" ht="15.95" customHeight="1" spans="1:5">
      <c r="A26" s="198" t="s">
        <v>471</v>
      </c>
      <c r="B26" s="114">
        <v>1.5734</v>
      </c>
      <c r="C26" s="112">
        <v>4.1</v>
      </c>
      <c r="D26" s="203">
        <v>2.0337</v>
      </c>
      <c r="E26" s="204">
        <v>1.9</v>
      </c>
    </row>
    <row r="27" ht="15.95" customHeight="1" spans="1:5">
      <c r="A27" s="205" t="s">
        <v>472</v>
      </c>
      <c r="B27" s="209">
        <v>2.7818</v>
      </c>
      <c r="C27" s="210">
        <v>10.4</v>
      </c>
      <c r="D27" s="206">
        <v>3.5316</v>
      </c>
      <c r="E27" s="207">
        <v>10.4</v>
      </c>
    </row>
    <row r="28" spans="1:5">
      <c r="A28" s="208"/>
      <c r="B28" s="208"/>
      <c r="C28" s="208"/>
      <c r="D28" s="208"/>
      <c r="E28" s="208"/>
    </row>
  </sheetData>
  <mergeCells count="4">
    <mergeCell ref="A1:E1"/>
    <mergeCell ref="B2:C2"/>
    <mergeCell ref="D2:E2"/>
    <mergeCell ref="A2:A3"/>
  </mergeCells>
  <pageMargins left="0.75" right="0.75" top="1" bottom="1" header="0.5" footer="0.5"/>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G22" sqref="G22"/>
    </sheetView>
  </sheetViews>
  <sheetFormatPr defaultColWidth="9" defaultRowHeight="14.25" outlineLevelCol="4"/>
  <cols>
    <col min="1" max="1" width="29" customWidth="1"/>
    <col min="2" max="5" width="11" customWidth="1"/>
  </cols>
  <sheetData>
    <row r="1" ht="28.5" customHeight="1" spans="1:5">
      <c r="A1" s="84" t="s">
        <v>542</v>
      </c>
      <c r="B1" s="84"/>
      <c r="C1" s="84"/>
      <c r="D1" s="84"/>
      <c r="E1" s="84"/>
    </row>
    <row r="2" ht="15.95" customHeight="1" spans="1:5">
      <c r="A2" s="89" t="s">
        <v>533</v>
      </c>
      <c r="B2" s="90" t="s">
        <v>43</v>
      </c>
      <c r="C2" s="90"/>
      <c r="D2" s="90" t="s">
        <v>42</v>
      </c>
      <c r="E2" s="138"/>
    </row>
    <row r="3" ht="15.95" customHeight="1" spans="1:5">
      <c r="A3" s="93"/>
      <c r="B3" s="94" t="s">
        <v>5</v>
      </c>
      <c r="C3" s="94" t="s">
        <v>6</v>
      </c>
      <c r="D3" s="94" t="s">
        <v>5</v>
      </c>
      <c r="E3" s="139" t="s">
        <v>6</v>
      </c>
    </row>
    <row r="4" ht="15.95" customHeight="1" spans="1:5">
      <c r="A4" s="196" t="s">
        <v>16</v>
      </c>
      <c r="B4" s="197"/>
      <c r="C4" s="197"/>
      <c r="D4" s="197"/>
      <c r="E4" s="198"/>
    </row>
    <row r="5" ht="15.95" customHeight="1" spans="1:5">
      <c r="A5" s="199" t="s">
        <v>461</v>
      </c>
      <c r="B5" s="114">
        <v>739.7609</v>
      </c>
      <c r="C5" s="112">
        <v>8.3</v>
      </c>
      <c r="D5" s="200">
        <v>892.2501</v>
      </c>
      <c r="E5" s="201">
        <v>8.6</v>
      </c>
    </row>
    <row r="6" ht="15.95" customHeight="1" spans="1:5">
      <c r="A6" s="199" t="s">
        <v>462</v>
      </c>
      <c r="B6" s="114">
        <v>182.4355</v>
      </c>
      <c r="C6" s="112">
        <v>8.2</v>
      </c>
      <c r="D6" s="200">
        <v>220.4381</v>
      </c>
      <c r="E6" s="201">
        <v>8.8</v>
      </c>
    </row>
    <row r="7" ht="15.95" customHeight="1" spans="1:5">
      <c r="A7" s="198" t="s">
        <v>463</v>
      </c>
      <c r="B7" s="114">
        <v>190.46</v>
      </c>
      <c r="C7" s="112">
        <v>8</v>
      </c>
      <c r="D7" s="200">
        <v>229.3422</v>
      </c>
      <c r="E7" s="201">
        <v>8.2</v>
      </c>
    </row>
    <row r="8" ht="15.95" customHeight="1" spans="1:5">
      <c r="A8" s="202" t="s">
        <v>464</v>
      </c>
      <c r="B8" s="114">
        <v>19.8531</v>
      </c>
      <c r="C8" s="112">
        <v>7.5</v>
      </c>
      <c r="D8" s="200">
        <v>23.8994</v>
      </c>
      <c r="E8" s="201">
        <v>7.4</v>
      </c>
    </row>
    <row r="9" ht="15.95" customHeight="1" spans="1:5">
      <c r="A9" s="198" t="s">
        <v>480</v>
      </c>
      <c r="B9" s="114">
        <v>31.3225</v>
      </c>
      <c r="C9" s="112">
        <v>6.7</v>
      </c>
      <c r="D9" s="200">
        <v>38.0585</v>
      </c>
      <c r="E9" s="201">
        <v>7.8</v>
      </c>
    </row>
    <row r="10" ht="15.95" customHeight="1" spans="1:5">
      <c r="A10" s="198" t="s">
        <v>467</v>
      </c>
      <c r="B10" s="114">
        <v>79.9788</v>
      </c>
      <c r="C10" s="112">
        <v>9.3</v>
      </c>
      <c r="D10" s="200">
        <v>96.7081</v>
      </c>
      <c r="E10" s="201">
        <v>9.8</v>
      </c>
    </row>
    <row r="11" ht="15.95" customHeight="1" spans="1:5">
      <c r="A11" s="198" t="s">
        <v>468</v>
      </c>
      <c r="B11" s="114">
        <v>61.5046</v>
      </c>
      <c r="C11" s="112">
        <v>10</v>
      </c>
      <c r="D11" s="200">
        <v>74.2454</v>
      </c>
      <c r="E11" s="201">
        <v>10.3</v>
      </c>
    </row>
    <row r="12" ht="15.95" customHeight="1" spans="1:5">
      <c r="A12" s="198" t="s">
        <v>469</v>
      </c>
      <c r="B12" s="114">
        <v>39.4728</v>
      </c>
      <c r="C12" s="112">
        <v>7.1</v>
      </c>
      <c r="D12" s="200">
        <v>47.6206</v>
      </c>
      <c r="E12" s="201">
        <v>7.3</v>
      </c>
    </row>
    <row r="13" ht="15.95" customHeight="1" spans="1:5">
      <c r="A13" s="198" t="s">
        <v>470</v>
      </c>
      <c r="B13" s="114">
        <v>70.0786</v>
      </c>
      <c r="C13" s="112">
        <v>7.9</v>
      </c>
      <c r="D13" s="200">
        <v>84.4158</v>
      </c>
      <c r="E13" s="201">
        <v>7.9</v>
      </c>
    </row>
    <row r="14" ht="15.95" customHeight="1" spans="1:5">
      <c r="A14" s="198" t="s">
        <v>471</v>
      </c>
      <c r="B14" s="114">
        <v>53.7176</v>
      </c>
      <c r="C14" s="112">
        <v>8.8</v>
      </c>
      <c r="D14" s="200">
        <v>64.9258</v>
      </c>
      <c r="E14" s="201">
        <v>9.1</v>
      </c>
    </row>
    <row r="15" ht="15.95" customHeight="1" spans="1:5">
      <c r="A15" s="198" t="s">
        <v>472</v>
      </c>
      <c r="B15" s="114">
        <v>90.9149</v>
      </c>
      <c r="C15" s="112">
        <v>9.6</v>
      </c>
      <c r="D15" s="200">
        <v>109.304</v>
      </c>
      <c r="E15" s="201">
        <v>9.5</v>
      </c>
    </row>
    <row r="16" ht="15.95" customHeight="1" spans="1:5">
      <c r="A16" s="196" t="s">
        <v>17</v>
      </c>
      <c r="B16" s="197"/>
      <c r="C16" s="197"/>
      <c r="D16" s="197"/>
      <c r="E16" s="198"/>
    </row>
    <row r="17" ht="15.95" customHeight="1" spans="1:5">
      <c r="A17" s="199" t="s">
        <v>461</v>
      </c>
      <c r="B17" s="114">
        <v>53.0841</v>
      </c>
      <c r="C17" s="115">
        <v>6.4</v>
      </c>
      <c r="D17" s="203">
        <v>66.1859</v>
      </c>
      <c r="E17" s="204">
        <v>2.2</v>
      </c>
    </row>
    <row r="18" ht="15.95" customHeight="1" spans="1:5">
      <c r="A18" s="199" t="s">
        <v>462</v>
      </c>
      <c r="B18" s="114">
        <v>1.5412</v>
      </c>
      <c r="C18" s="115">
        <v>1.3</v>
      </c>
      <c r="D18" s="203">
        <v>1.8567</v>
      </c>
      <c r="E18" s="204">
        <v>0.4</v>
      </c>
    </row>
    <row r="19" ht="15.95" customHeight="1" spans="1:5">
      <c r="A19" s="198" t="s">
        <v>463</v>
      </c>
      <c r="B19" s="114">
        <v>3.3174</v>
      </c>
      <c r="C19" s="115">
        <v>-12.6</v>
      </c>
      <c r="D19" s="203">
        <v>3.9185</v>
      </c>
      <c r="E19" s="204">
        <v>-12.1</v>
      </c>
    </row>
    <row r="20" ht="15.95" customHeight="1" spans="1:5">
      <c r="A20" s="202" t="s">
        <v>464</v>
      </c>
      <c r="B20" s="114">
        <v>1.2465</v>
      </c>
      <c r="C20" s="115">
        <v>4.5</v>
      </c>
      <c r="D20" s="203">
        <v>2.502</v>
      </c>
      <c r="E20" s="204">
        <v>48.9</v>
      </c>
    </row>
    <row r="21" ht="15.95" customHeight="1" spans="1:5">
      <c r="A21" s="198" t="s">
        <v>480</v>
      </c>
      <c r="B21" s="114">
        <v>2.6116</v>
      </c>
      <c r="C21" s="115">
        <v>15</v>
      </c>
      <c r="D21" s="203">
        <v>3.2544</v>
      </c>
      <c r="E21" s="204">
        <v>8.6</v>
      </c>
    </row>
    <row r="22" ht="15.95" customHeight="1" spans="1:5">
      <c r="A22" s="198" t="s">
        <v>467</v>
      </c>
      <c r="B22" s="114">
        <v>6.4661</v>
      </c>
      <c r="C22" s="112">
        <v>31.3</v>
      </c>
      <c r="D22" s="203">
        <v>8.1965</v>
      </c>
      <c r="E22" s="204">
        <v>10.6</v>
      </c>
    </row>
    <row r="23" ht="15.95" customHeight="1" spans="1:5">
      <c r="A23" s="198" t="s">
        <v>468</v>
      </c>
      <c r="B23" s="114">
        <v>3.243</v>
      </c>
      <c r="C23" s="112">
        <v>-14.4</v>
      </c>
      <c r="D23" s="203">
        <v>5.0036</v>
      </c>
      <c r="E23" s="204">
        <v>10.8</v>
      </c>
    </row>
    <row r="24" ht="15.95" customHeight="1" spans="1:5">
      <c r="A24" s="198" t="s">
        <v>469</v>
      </c>
      <c r="B24" s="114">
        <v>2.9044</v>
      </c>
      <c r="C24" s="112">
        <v>34.1</v>
      </c>
      <c r="D24" s="203">
        <v>2.9502</v>
      </c>
      <c r="E24" s="204">
        <v>11.2</v>
      </c>
    </row>
    <row r="25" ht="15.95" customHeight="1" spans="1:5">
      <c r="A25" s="198" t="s">
        <v>470</v>
      </c>
      <c r="B25" s="114">
        <v>2.7376</v>
      </c>
      <c r="C25" s="112">
        <v>8.8</v>
      </c>
      <c r="D25" s="203">
        <v>3.1801</v>
      </c>
      <c r="E25" s="204">
        <v>2.4</v>
      </c>
    </row>
    <row r="26" ht="15.95" customHeight="1" spans="1:5">
      <c r="A26" s="198" t="s">
        <v>471</v>
      </c>
      <c r="B26" s="114">
        <v>2.4775</v>
      </c>
      <c r="C26" s="112">
        <v>3.4</v>
      </c>
      <c r="D26" s="203">
        <v>3.828</v>
      </c>
      <c r="E26" s="204">
        <v>7.6</v>
      </c>
    </row>
    <row r="27" ht="15.95" customHeight="1" spans="1:5">
      <c r="A27" s="205" t="s">
        <v>472</v>
      </c>
      <c r="B27" s="209">
        <v>4.3126</v>
      </c>
      <c r="C27" s="210">
        <v>10.9</v>
      </c>
      <c r="D27" s="206">
        <v>6.0043</v>
      </c>
      <c r="E27" s="207">
        <v>6.9</v>
      </c>
    </row>
    <row r="28" spans="1:5">
      <c r="A28" s="208"/>
      <c r="B28" s="208"/>
      <c r="C28" s="208"/>
      <c r="D28" s="208"/>
      <c r="E28" s="208"/>
    </row>
  </sheetData>
  <mergeCells count="4">
    <mergeCell ref="A1:E1"/>
    <mergeCell ref="B2:C2"/>
    <mergeCell ref="D2:E2"/>
    <mergeCell ref="A2:A3"/>
  </mergeCells>
  <pageMargins left="0.75" right="0.75" top="1" bottom="1" header="0.5" footer="0.5"/>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G7" sqref="G7"/>
    </sheetView>
  </sheetViews>
  <sheetFormatPr defaultColWidth="9" defaultRowHeight="14.25" outlineLevelCol="4"/>
  <cols>
    <col min="1" max="1" width="29" customWidth="1"/>
    <col min="2" max="3" width="11" customWidth="1"/>
  </cols>
  <sheetData>
    <row r="1" ht="28.5" customHeight="1" spans="1:5">
      <c r="A1" s="84" t="s">
        <v>543</v>
      </c>
      <c r="B1" s="84"/>
      <c r="C1" s="84"/>
      <c r="D1" s="84"/>
      <c r="E1" s="84"/>
    </row>
    <row r="2" ht="15.95" customHeight="1" spans="1:5">
      <c r="A2" s="89" t="s">
        <v>533</v>
      </c>
      <c r="B2" s="90" t="s">
        <v>40</v>
      </c>
      <c r="C2" s="90"/>
      <c r="D2" s="90" t="s">
        <v>39</v>
      </c>
      <c r="E2" s="138"/>
    </row>
    <row r="3" ht="15.95" customHeight="1" spans="1:5">
      <c r="A3" s="93"/>
      <c r="B3" s="94" t="s">
        <v>5</v>
      </c>
      <c r="C3" s="94" t="s">
        <v>6</v>
      </c>
      <c r="D3" s="94" t="s">
        <v>5</v>
      </c>
      <c r="E3" s="139" t="s">
        <v>6</v>
      </c>
    </row>
    <row r="4" ht="15.95" customHeight="1" spans="1:5">
      <c r="A4" s="196" t="s">
        <v>16</v>
      </c>
      <c r="B4" s="197"/>
      <c r="C4" s="197"/>
      <c r="D4" s="197"/>
      <c r="E4" s="198"/>
    </row>
    <row r="5" ht="15.95" customHeight="1" spans="1:5">
      <c r="A5" s="199" t="s">
        <v>461</v>
      </c>
      <c r="B5" s="114">
        <v>1047.7336</v>
      </c>
      <c r="C5" s="112">
        <v>8.5</v>
      </c>
      <c r="D5" s="200">
        <v>1199.9936</v>
      </c>
      <c r="E5" s="201">
        <v>8.4</v>
      </c>
    </row>
    <row r="6" ht="15.95" customHeight="1" spans="1:5">
      <c r="A6" s="199" t="s">
        <v>462</v>
      </c>
      <c r="B6" s="114">
        <v>257.8642</v>
      </c>
      <c r="C6" s="112">
        <v>8.5</v>
      </c>
      <c r="D6" s="200">
        <v>295.7627</v>
      </c>
      <c r="E6" s="201">
        <v>8.3</v>
      </c>
    </row>
    <row r="7" ht="15.95" customHeight="1" spans="1:5">
      <c r="A7" s="198" t="s">
        <v>463</v>
      </c>
      <c r="B7" s="114">
        <v>268.7241</v>
      </c>
      <c r="C7" s="112">
        <v>8</v>
      </c>
      <c r="D7" s="200">
        <v>307.2075</v>
      </c>
      <c r="E7" s="201">
        <v>7.6</v>
      </c>
    </row>
    <row r="8" ht="15.95" customHeight="1" spans="1:5">
      <c r="A8" s="202" t="s">
        <v>464</v>
      </c>
      <c r="B8" s="114">
        <v>28.2499</v>
      </c>
      <c r="C8" s="112">
        <v>7.8</v>
      </c>
      <c r="D8" s="200">
        <v>32.5945</v>
      </c>
      <c r="E8" s="201">
        <v>8.6</v>
      </c>
    </row>
    <row r="9" ht="15.95" customHeight="1" spans="1:5">
      <c r="A9" s="198" t="s">
        <v>480</v>
      </c>
      <c r="B9" s="114">
        <v>44.6359</v>
      </c>
      <c r="C9" s="112">
        <v>7.6</v>
      </c>
      <c r="D9" s="200">
        <v>51.1977</v>
      </c>
      <c r="E9" s="201">
        <v>7.8</v>
      </c>
    </row>
    <row r="10" ht="15.95" customHeight="1" spans="1:5">
      <c r="A10" s="198" t="s">
        <v>467</v>
      </c>
      <c r="B10" s="114">
        <v>113.3344</v>
      </c>
      <c r="C10" s="112">
        <v>9.5</v>
      </c>
      <c r="D10" s="200">
        <v>129.5833</v>
      </c>
      <c r="E10" s="201">
        <v>9.1</v>
      </c>
    </row>
    <row r="11" ht="15.95" customHeight="1" spans="1:5">
      <c r="A11" s="198" t="s">
        <v>468</v>
      </c>
      <c r="B11" s="114">
        <v>87.3515</v>
      </c>
      <c r="C11" s="112">
        <v>10.2</v>
      </c>
      <c r="D11" s="200">
        <v>99.7308</v>
      </c>
      <c r="E11" s="201">
        <v>10.1</v>
      </c>
    </row>
    <row r="12" ht="15.95" customHeight="1" spans="1:5">
      <c r="A12" s="198" t="s">
        <v>469</v>
      </c>
      <c r="B12" s="114">
        <v>56.138</v>
      </c>
      <c r="C12" s="112">
        <v>7.4</v>
      </c>
      <c r="D12" s="200">
        <v>64.4862</v>
      </c>
      <c r="E12" s="201">
        <v>7.8</v>
      </c>
    </row>
    <row r="13" ht="15.95" customHeight="1" spans="1:5">
      <c r="A13" s="198" t="s">
        <v>470</v>
      </c>
      <c r="B13" s="114">
        <v>99.508</v>
      </c>
      <c r="C13" s="112">
        <v>8</v>
      </c>
      <c r="D13" s="200">
        <v>113.9722</v>
      </c>
      <c r="E13" s="201">
        <v>8.2</v>
      </c>
    </row>
    <row r="14" ht="15.95" customHeight="1" spans="1:5">
      <c r="A14" s="198" t="s">
        <v>471</v>
      </c>
      <c r="B14" s="114">
        <v>76.6371</v>
      </c>
      <c r="C14" s="112">
        <v>9.4</v>
      </c>
      <c r="D14" s="200">
        <v>87.8144</v>
      </c>
      <c r="E14" s="201">
        <v>9.6</v>
      </c>
    </row>
    <row r="15" ht="15.95" customHeight="1" spans="1:5">
      <c r="A15" s="198" t="s">
        <v>472</v>
      </c>
      <c r="B15" s="114">
        <v>128.6245</v>
      </c>
      <c r="C15" s="112">
        <v>9.5</v>
      </c>
      <c r="D15" s="200">
        <v>147.2277</v>
      </c>
      <c r="E15" s="201">
        <v>9.4</v>
      </c>
    </row>
    <row r="16" ht="15.95" customHeight="1" spans="1:5">
      <c r="A16" s="196" t="s">
        <v>17</v>
      </c>
      <c r="B16" s="197"/>
      <c r="C16" s="197"/>
      <c r="D16" s="197"/>
      <c r="E16" s="198"/>
    </row>
    <row r="17" ht="15.95" customHeight="1" spans="1:5">
      <c r="A17" s="199" t="s">
        <v>461</v>
      </c>
      <c r="B17" s="114">
        <v>77.8809</v>
      </c>
      <c r="C17" s="115">
        <v>3.7</v>
      </c>
      <c r="D17" s="203">
        <v>87.1046</v>
      </c>
      <c r="E17" s="204">
        <v>4.1</v>
      </c>
    </row>
    <row r="18" ht="15.95" customHeight="1" spans="1:5">
      <c r="A18" s="199" t="s">
        <v>462</v>
      </c>
      <c r="B18" s="114">
        <v>2.1908</v>
      </c>
      <c r="C18" s="115">
        <v>-1.4</v>
      </c>
      <c r="D18" s="203">
        <v>2.3941</v>
      </c>
      <c r="E18" s="204">
        <v>-2.2</v>
      </c>
    </row>
    <row r="19" ht="15.95" customHeight="1" spans="1:5">
      <c r="A19" s="198" t="s">
        <v>463</v>
      </c>
      <c r="B19" s="114">
        <v>4.5725</v>
      </c>
      <c r="C19" s="115">
        <v>-13.1</v>
      </c>
      <c r="D19" s="203">
        <v>4.8863</v>
      </c>
      <c r="E19" s="204">
        <v>-16.7</v>
      </c>
    </row>
    <row r="20" ht="15.95" customHeight="1" spans="1:5">
      <c r="A20" s="202" t="s">
        <v>464</v>
      </c>
      <c r="B20" s="114">
        <v>3.5925</v>
      </c>
      <c r="C20" s="115">
        <v>93.6</v>
      </c>
      <c r="D20" s="203">
        <v>3.782</v>
      </c>
      <c r="E20" s="204">
        <v>88.3</v>
      </c>
    </row>
    <row r="21" ht="15.95" customHeight="1" spans="1:5">
      <c r="A21" s="198" t="s">
        <v>480</v>
      </c>
      <c r="B21" s="114">
        <v>3.6067</v>
      </c>
      <c r="C21" s="115">
        <v>2.3</v>
      </c>
      <c r="D21" s="203">
        <v>3.8449</v>
      </c>
      <c r="E21" s="204">
        <v>0.9</v>
      </c>
    </row>
    <row r="22" ht="15.95" customHeight="1" spans="1:5">
      <c r="A22" s="198" t="s">
        <v>467</v>
      </c>
      <c r="B22" s="114">
        <v>9.179</v>
      </c>
      <c r="C22" s="112">
        <v>6.7</v>
      </c>
      <c r="D22" s="203">
        <v>9.848</v>
      </c>
      <c r="E22" s="204">
        <v>1.7</v>
      </c>
    </row>
    <row r="23" ht="15.95" customHeight="1" spans="1:5">
      <c r="A23" s="198" t="s">
        <v>468</v>
      </c>
      <c r="B23" s="114">
        <v>5.4724</v>
      </c>
      <c r="C23" s="112">
        <v>0.9</v>
      </c>
      <c r="D23" s="203">
        <v>6.0161</v>
      </c>
      <c r="E23" s="204">
        <v>0.5</v>
      </c>
    </row>
    <row r="24" ht="15.95" customHeight="1" spans="1:5">
      <c r="A24" s="198" t="s">
        <v>469</v>
      </c>
      <c r="B24" s="114">
        <v>3.2879</v>
      </c>
      <c r="C24" s="112">
        <v>8.7</v>
      </c>
      <c r="D24" s="203">
        <v>3.5872</v>
      </c>
      <c r="E24" s="204">
        <v>7.9</v>
      </c>
    </row>
    <row r="25" ht="15.95" customHeight="1" spans="1:5">
      <c r="A25" s="198" t="s">
        <v>470</v>
      </c>
      <c r="B25" s="114">
        <v>3.5333</v>
      </c>
      <c r="C25" s="112">
        <v>1.2</v>
      </c>
      <c r="D25" s="203">
        <v>3.881</v>
      </c>
      <c r="E25" s="204">
        <v>3</v>
      </c>
    </row>
    <row r="26" ht="15.95" customHeight="1" spans="1:5">
      <c r="A26" s="198" t="s">
        <v>471</v>
      </c>
      <c r="B26" s="114">
        <v>4.1971</v>
      </c>
      <c r="C26" s="112">
        <v>5.2</v>
      </c>
      <c r="D26" s="203">
        <v>4.6095</v>
      </c>
      <c r="E26" s="204">
        <v>3.6</v>
      </c>
    </row>
    <row r="27" ht="15.95" customHeight="1" spans="1:5">
      <c r="A27" s="205" t="s">
        <v>472</v>
      </c>
      <c r="B27" s="209">
        <v>7.0393</v>
      </c>
      <c r="C27" s="210">
        <v>8.2</v>
      </c>
      <c r="D27" s="206">
        <v>7.6701</v>
      </c>
      <c r="E27" s="207">
        <v>7.7</v>
      </c>
    </row>
    <row r="28" spans="1:5">
      <c r="A28" s="208"/>
      <c r="B28" s="208"/>
      <c r="C28" s="208"/>
      <c r="D28" s="208"/>
      <c r="E28" s="208"/>
    </row>
  </sheetData>
  <mergeCells count="4">
    <mergeCell ref="A1:E1"/>
    <mergeCell ref="B2:C2"/>
    <mergeCell ref="D2:E2"/>
    <mergeCell ref="A2:A3"/>
  </mergeCells>
  <pageMargins left="0.75" right="0.75" top="1" bottom="1" header="0.5" footer="0.5"/>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H26" sqref="H26"/>
    </sheetView>
  </sheetViews>
  <sheetFormatPr defaultColWidth="9" defaultRowHeight="14.25" outlineLevelCol="4"/>
  <cols>
    <col min="1" max="1" width="29" customWidth="1"/>
    <col min="2" max="3" width="11" customWidth="1"/>
  </cols>
  <sheetData>
    <row r="1" ht="28.5" customHeight="1" spans="1:5">
      <c r="A1" s="84" t="s">
        <v>544</v>
      </c>
      <c r="B1" s="84"/>
      <c r="C1" s="84"/>
      <c r="D1" s="84"/>
      <c r="E1" s="84"/>
    </row>
    <row r="2" ht="15.95" customHeight="1" spans="1:5">
      <c r="A2" s="89" t="s">
        <v>533</v>
      </c>
      <c r="B2" s="90" t="s">
        <v>37</v>
      </c>
      <c r="C2" s="90"/>
      <c r="D2" s="90" t="s">
        <v>36</v>
      </c>
      <c r="E2" s="138"/>
    </row>
    <row r="3" ht="15.95" customHeight="1" spans="1:5">
      <c r="A3" s="93"/>
      <c r="B3" s="94" t="s">
        <v>5</v>
      </c>
      <c r="C3" s="94" t="s">
        <v>6</v>
      </c>
      <c r="D3" s="94" t="s">
        <v>5</v>
      </c>
      <c r="E3" s="139" t="s">
        <v>6</v>
      </c>
    </row>
    <row r="4" ht="15.95" customHeight="1" spans="1:5">
      <c r="A4" s="196" t="s">
        <v>16</v>
      </c>
      <c r="B4" s="197"/>
      <c r="C4" s="197"/>
      <c r="D4" s="197"/>
      <c r="E4" s="198"/>
    </row>
    <row r="5" ht="15.95" customHeight="1" spans="1:5">
      <c r="A5" s="199" t="s">
        <v>461</v>
      </c>
      <c r="B5" s="114">
        <v>1362.9642</v>
      </c>
      <c r="C5" s="112">
        <v>8.5</v>
      </c>
      <c r="D5" s="200">
        <v>1522.2108</v>
      </c>
      <c r="E5" s="201">
        <v>8.4</v>
      </c>
    </row>
    <row r="6" ht="15.95" customHeight="1" spans="1:5">
      <c r="A6" s="199" t="s">
        <v>462</v>
      </c>
      <c r="B6" s="114">
        <v>335.0714</v>
      </c>
      <c r="C6" s="112">
        <v>8.3</v>
      </c>
      <c r="D6" s="200">
        <v>373.2813</v>
      </c>
      <c r="E6" s="201">
        <v>8</v>
      </c>
    </row>
    <row r="7" ht="15.95" customHeight="1" spans="1:5">
      <c r="A7" s="198" t="s">
        <v>463</v>
      </c>
      <c r="B7" s="114">
        <v>348.0672</v>
      </c>
      <c r="C7" s="112">
        <v>7.5</v>
      </c>
      <c r="D7" s="200">
        <v>387.662</v>
      </c>
      <c r="E7" s="201">
        <v>7.1</v>
      </c>
    </row>
    <row r="8" ht="15.95" customHeight="1" spans="1:5">
      <c r="A8" s="202" t="s">
        <v>464</v>
      </c>
      <c r="B8" s="114">
        <v>37.1789</v>
      </c>
      <c r="C8" s="112">
        <v>9</v>
      </c>
      <c r="D8" s="200">
        <v>41.8367</v>
      </c>
      <c r="E8" s="201">
        <v>9.7</v>
      </c>
    </row>
    <row r="9" ht="15.95" customHeight="1" spans="1:5">
      <c r="A9" s="198" t="s">
        <v>480</v>
      </c>
      <c r="B9" s="114">
        <v>58.8501</v>
      </c>
      <c r="C9" s="112">
        <v>9.1</v>
      </c>
      <c r="D9" s="200">
        <v>65.4607</v>
      </c>
      <c r="E9" s="201">
        <v>8.5</v>
      </c>
    </row>
    <row r="10" ht="15.95" customHeight="1" spans="1:5">
      <c r="A10" s="198" t="s">
        <v>467</v>
      </c>
      <c r="B10" s="114">
        <v>147.5626</v>
      </c>
      <c r="C10" s="112">
        <v>9.4</v>
      </c>
      <c r="D10" s="200">
        <v>164.8442</v>
      </c>
      <c r="E10" s="201">
        <v>9.3</v>
      </c>
    </row>
    <row r="11" ht="15.95" customHeight="1" spans="1:5">
      <c r="A11" s="198" t="s">
        <v>468</v>
      </c>
      <c r="B11" s="114">
        <v>113.4045</v>
      </c>
      <c r="C11" s="112">
        <v>10.2</v>
      </c>
      <c r="D11" s="200">
        <v>126.965</v>
      </c>
      <c r="E11" s="201">
        <v>10.2</v>
      </c>
    </row>
    <row r="12" ht="15.95" customHeight="1" spans="1:5">
      <c r="A12" s="198" t="s">
        <v>469</v>
      </c>
      <c r="B12" s="114">
        <v>73.3141</v>
      </c>
      <c r="C12" s="112">
        <v>7.9</v>
      </c>
      <c r="D12" s="200">
        <v>82.0398</v>
      </c>
      <c r="E12" s="201">
        <v>7.9</v>
      </c>
    </row>
    <row r="13" ht="15.95" customHeight="1" spans="1:5">
      <c r="A13" s="198" t="s">
        <v>470</v>
      </c>
      <c r="B13" s="114">
        <v>129.8849</v>
      </c>
      <c r="C13" s="112">
        <v>8.5</v>
      </c>
      <c r="D13" s="200">
        <v>145.7264</v>
      </c>
      <c r="E13" s="201">
        <v>8.7</v>
      </c>
    </row>
    <row r="14" ht="15.95" customHeight="1" spans="1:5">
      <c r="A14" s="198" t="s">
        <v>471</v>
      </c>
      <c r="B14" s="114">
        <v>99.8765</v>
      </c>
      <c r="C14" s="112">
        <v>9.7</v>
      </c>
      <c r="D14" s="200">
        <v>111.9143</v>
      </c>
      <c r="E14" s="201">
        <v>9.8</v>
      </c>
    </row>
    <row r="15" ht="15.95" customHeight="1" spans="1:5">
      <c r="A15" s="198" t="s">
        <v>472</v>
      </c>
      <c r="B15" s="114">
        <v>167.3162</v>
      </c>
      <c r="C15" s="112">
        <v>9.6</v>
      </c>
      <c r="D15" s="200">
        <v>187.3245</v>
      </c>
      <c r="E15" s="201">
        <v>9.6</v>
      </c>
    </row>
    <row r="16" ht="15.95" customHeight="1" spans="1:5">
      <c r="A16" s="196" t="s">
        <v>17</v>
      </c>
      <c r="B16" s="197"/>
      <c r="C16" s="197"/>
      <c r="D16" s="197"/>
      <c r="E16" s="198"/>
    </row>
    <row r="17" ht="15.95" customHeight="1" spans="1:5">
      <c r="A17" s="199" t="s">
        <v>461</v>
      </c>
      <c r="B17" s="114">
        <v>97.9598</v>
      </c>
      <c r="C17" s="115">
        <v>6.3</v>
      </c>
      <c r="D17" s="203">
        <v>105.1352</v>
      </c>
      <c r="E17" s="204">
        <v>4.7</v>
      </c>
    </row>
    <row r="18" ht="15.95" customHeight="1" spans="1:5">
      <c r="A18" s="199" t="s">
        <v>462</v>
      </c>
      <c r="B18" s="114">
        <v>2.6893</v>
      </c>
      <c r="C18" s="115">
        <v>0.5</v>
      </c>
      <c r="D18" s="203">
        <v>3.0516</v>
      </c>
      <c r="E18" s="204">
        <v>0.4</v>
      </c>
    </row>
    <row r="19" ht="15.95" customHeight="1" spans="1:5">
      <c r="A19" s="198" t="s">
        <v>463</v>
      </c>
      <c r="B19" s="114">
        <v>5.1504</v>
      </c>
      <c r="C19" s="115">
        <v>-19.9</v>
      </c>
      <c r="D19" s="203">
        <v>5.4254</v>
      </c>
      <c r="E19" s="204">
        <v>-21.6</v>
      </c>
    </row>
    <row r="20" ht="15.95" customHeight="1" spans="1:5">
      <c r="A20" s="202" t="s">
        <v>464</v>
      </c>
      <c r="B20" s="114">
        <v>3.9849</v>
      </c>
      <c r="C20" s="115">
        <v>84.3</v>
      </c>
      <c r="D20" s="203">
        <v>4.2265</v>
      </c>
      <c r="E20" s="204">
        <v>76.1</v>
      </c>
    </row>
    <row r="21" ht="15.95" customHeight="1" spans="1:5">
      <c r="A21" s="198" t="s">
        <v>480</v>
      </c>
      <c r="B21" s="114">
        <v>4.3882</v>
      </c>
      <c r="C21" s="115">
        <v>8</v>
      </c>
      <c r="D21" s="203">
        <v>4.9403</v>
      </c>
      <c r="E21" s="204">
        <v>11.9</v>
      </c>
    </row>
    <row r="22" ht="15.95" customHeight="1" spans="1:5">
      <c r="A22" s="198" t="s">
        <v>467</v>
      </c>
      <c r="B22" s="114">
        <v>12.471</v>
      </c>
      <c r="C22" s="112">
        <v>19.3</v>
      </c>
      <c r="D22" s="203">
        <v>12.4587</v>
      </c>
      <c r="E22" s="204">
        <v>13.7</v>
      </c>
    </row>
    <row r="23" ht="15.95" customHeight="1" spans="1:5">
      <c r="A23" s="198" t="s">
        <v>468</v>
      </c>
      <c r="B23" s="114">
        <v>7.0875</v>
      </c>
      <c r="C23" s="112">
        <v>7.4</v>
      </c>
      <c r="D23" s="203">
        <v>7.6659</v>
      </c>
      <c r="E23" s="204">
        <v>8</v>
      </c>
    </row>
    <row r="24" ht="15.95" customHeight="1" spans="1:5">
      <c r="A24" s="198" t="s">
        <v>469</v>
      </c>
      <c r="B24" s="114">
        <v>3.928</v>
      </c>
      <c r="C24" s="112">
        <v>8.3</v>
      </c>
      <c r="D24" s="203">
        <v>4.2252</v>
      </c>
      <c r="E24" s="204">
        <v>4.2</v>
      </c>
    </row>
    <row r="25" ht="15.95" customHeight="1" spans="1:5">
      <c r="A25" s="198" t="s">
        <v>470</v>
      </c>
      <c r="B25" s="114">
        <v>4.226</v>
      </c>
      <c r="C25" s="112">
        <v>3.5</v>
      </c>
      <c r="D25" s="203">
        <v>4.6721</v>
      </c>
      <c r="E25" s="204">
        <v>3.4</v>
      </c>
    </row>
    <row r="26" ht="15.95" customHeight="1" spans="1:5">
      <c r="A26" s="198" t="s">
        <v>471</v>
      </c>
      <c r="B26" s="114">
        <v>5.2204</v>
      </c>
      <c r="C26" s="112">
        <v>6.3</v>
      </c>
      <c r="D26" s="203">
        <v>5.7393</v>
      </c>
      <c r="E26" s="204">
        <v>7.4</v>
      </c>
    </row>
    <row r="27" ht="15.95" customHeight="1" spans="1:5">
      <c r="A27" s="205" t="s">
        <v>472</v>
      </c>
      <c r="B27" s="209">
        <v>8.69</v>
      </c>
      <c r="C27" s="210">
        <v>6.4</v>
      </c>
      <c r="D27" s="206">
        <v>9.5118</v>
      </c>
      <c r="E27" s="207">
        <v>6.6</v>
      </c>
    </row>
    <row r="28" spans="1:5">
      <c r="A28" s="208"/>
      <c r="B28" s="208"/>
      <c r="C28" s="208"/>
      <c r="D28" s="208"/>
      <c r="E28" s="208"/>
    </row>
  </sheetData>
  <mergeCells count="4">
    <mergeCell ref="A1:E1"/>
    <mergeCell ref="B2:C2"/>
    <mergeCell ref="D2:E2"/>
    <mergeCell ref="A2:A3"/>
  </mergeCells>
  <pageMargins left="0.75" right="0.75" top="1" bottom="1" header="0.5" footer="0.5"/>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H28" sqref="G27:H28"/>
    </sheetView>
  </sheetViews>
  <sheetFormatPr defaultColWidth="9" defaultRowHeight="14.25" outlineLevelCol="4"/>
  <cols>
    <col min="1" max="1" width="29" customWidth="1"/>
    <col min="2" max="3" width="11" customWidth="1"/>
  </cols>
  <sheetData>
    <row r="1" ht="28.5" customHeight="1" spans="1:5">
      <c r="A1" s="194" t="s">
        <v>545</v>
      </c>
      <c r="B1" s="194"/>
      <c r="C1" s="194"/>
      <c r="D1" s="195"/>
      <c r="E1" s="195"/>
    </row>
    <row r="2" ht="15.95" customHeight="1" spans="1:5">
      <c r="A2" s="89" t="s">
        <v>533</v>
      </c>
      <c r="B2" s="90" t="s">
        <v>4</v>
      </c>
      <c r="C2" s="138"/>
    </row>
    <row r="3" ht="15.95" customHeight="1" spans="1:5">
      <c r="A3" s="93"/>
      <c r="B3" s="94" t="s">
        <v>5</v>
      </c>
      <c r="C3" s="139" t="s">
        <v>6</v>
      </c>
    </row>
    <row r="4" ht="15.95" customHeight="1" spans="1:5">
      <c r="A4" s="196" t="s">
        <v>16</v>
      </c>
      <c r="B4" s="197"/>
      <c r="C4" s="198"/>
    </row>
    <row r="5" ht="15.95" customHeight="1" spans="1:5">
      <c r="A5" s="199" t="s">
        <v>461</v>
      </c>
      <c r="B5" s="200">
        <v>1680.1567</v>
      </c>
      <c r="C5" s="201">
        <v>8.5</v>
      </c>
    </row>
    <row r="6" ht="15.95" customHeight="1" spans="1:5">
      <c r="A6" s="199" t="s">
        <v>462</v>
      </c>
      <c r="B6" s="200">
        <v>411.5388</v>
      </c>
      <c r="C6" s="201">
        <v>8.1</v>
      </c>
    </row>
    <row r="7" ht="15.95" customHeight="1" spans="1:5">
      <c r="A7" s="198" t="s">
        <v>463</v>
      </c>
      <c r="B7" s="200">
        <v>427.7847</v>
      </c>
      <c r="C7" s="201">
        <v>7.2</v>
      </c>
    </row>
    <row r="8" ht="15.95" customHeight="1" spans="1:5">
      <c r="A8" s="202" t="s">
        <v>464</v>
      </c>
      <c r="B8" s="200">
        <v>46.0774</v>
      </c>
      <c r="C8" s="201">
        <v>9.5</v>
      </c>
    </row>
    <row r="9" ht="15.95" customHeight="1" spans="1:5">
      <c r="A9" s="198" t="s">
        <v>480</v>
      </c>
      <c r="B9" s="200">
        <v>71.9718</v>
      </c>
      <c r="C9" s="201">
        <v>8.1</v>
      </c>
    </row>
    <row r="10" ht="15.95" customHeight="1" spans="1:5">
      <c r="A10" s="198" t="s">
        <v>467</v>
      </c>
      <c r="B10" s="200">
        <v>181.8795</v>
      </c>
      <c r="C10" s="201">
        <v>9.4</v>
      </c>
    </row>
    <row r="11" ht="15.95" customHeight="1" spans="1:5">
      <c r="A11" s="198" t="s">
        <v>468</v>
      </c>
      <c r="B11" s="200">
        <v>140.2579</v>
      </c>
      <c r="C11" s="201">
        <v>10.2</v>
      </c>
    </row>
    <row r="12" ht="15.95" customHeight="1" spans="1:5">
      <c r="A12" s="198" t="s">
        <v>469</v>
      </c>
      <c r="B12" s="200">
        <v>90.6793</v>
      </c>
      <c r="C12" s="201">
        <v>8</v>
      </c>
    </row>
    <row r="13" ht="15.95" customHeight="1" spans="1:5">
      <c r="A13" s="198" t="s">
        <v>470</v>
      </c>
      <c r="B13" s="200">
        <v>161.2715</v>
      </c>
      <c r="C13" s="201">
        <v>9</v>
      </c>
    </row>
    <row r="14" ht="15.95" customHeight="1" spans="1:5">
      <c r="A14" s="198" t="s">
        <v>471</v>
      </c>
      <c r="B14" s="200">
        <v>123.6714</v>
      </c>
      <c r="C14" s="201">
        <v>9.9</v>
      </c>
    </row>
    <row r="15" ht="15.95" customHeight="1" spans="1:5">
      <c r="A15" s="198" t="s">
        <v>472</v>
      </c>
      <c r="B15" s="200">
        <v>206.9036</v>
      </c>
      <c r="C15" s="201">
        <v>9.7</v>
      </c>
    </row>
    <row r="16" ht="15.95" customHeight="1" spans="1:5">
      <c r="A16" s="196" t="s">
        <v>17</v>
      </c>
      <c r="B16" s="197"/>
      <c r="C16" s="198"/>
    </row>
    <row r="17" ht="15.95" customHeight="1" spans="1:3">
      <c r="A17" s="199" t="s">
        <v>461</v>
      </c>
      <c r="B17" s="203">
        <v>113.9902</v>
      </c>
      <c r="C17" s="204">
        <v>5.7</v>
      </c>
    </row>
    <row r="18" ht="15.95" customHeight="1" spans="1:3">
      <c r="A18" s="199" t="s">
        <v>462</v>
      </c>
      <c r="B18" s="203">
        <v>3.3256</v>
      </c>
      <c r="C18" s="204">
        <v>2.7</v>
      </c>
    </row>
    <row r="19" ht="15.95" customHeight="1" spans="1:3">
      <c r="A19" s="198" t="s">
        <v>463</v>
      </c>
      <c r="B19" s="203">
        <v>6.2628</v>
      </c>
      <c r="C19" s="204">
        <v>-16</v>
      </c>
    </row>
    <row r="20" ht="15.95" customHeight="1" spans="1:3">
      <c r="A20" s="202" t="s">
        <v>464</v>
      </c>
      <c r="B20" s="203">
        <v>4.4955</v>
      </c>
      <c r="C20" s="204">
        <v>73.7</v>
      </c>
    </row>
    <row r="21" ht="15.95" customHeight="1" spans="1:3">
      <c r="A21" s="198" t="s">
        <v>480</v>
      </c>
      <c r="B21" s="203">
        <v>5.2542</v>
      </c>
      <c r="C21" s="204">
        <v>9.4</v>
      </c>
    </row>
    <row r="22" ht="15.95" customHeight="1" spans="1:3">
      <c r="A22" s="198" t="s">
        <v>467</v>
      </c>
      <c r="B22" s="203">
        <v>13.1781</v>
      </c>
      <c r="C22" s="204">
        <v>15.4</v>
      </c>
    </row>
    <row r="23" ht="15.95" customHeight="1" spans="1:3">
      <c r="A23" s="198" t="s">
        <v>468</v>
      </c>
      <c r="B23" s="203">
        <v>8.2932</v>
      </c>
      <c r="C23" s="204">
        <v>9.4</v>
      </c>
    </row>
    <row r="24" ht="15.95" customHeight="1" spans="1:3">
      <c r="A24" s="198" t="s">
        <v>469</v>
      </c>
      <c r="B24" s="203">
        <v>4.5063</v>
      </c>
      <c r="C24" s="204">
        <v>2.7</v>
      </c>
    </row>
    <row r="25" ht="15.95" customHeight="1" spans="1:3">
      <c r="A25" s="198" t="s">
        <v>470</v>
      </c>
      <c r="B25" s="203">
        <v>4.8757</v>
      </c>
      <c r="C25" s="204">
        <v>-0.1</v>
      </c>
    </row>
    <row r="26" ht="15.95" customHeight="1" spans="1:3">
      <c r="A26" s="198" t="s">
        <v>471</v>
      </c>
      <c r="B26" s="203">
        <v>6.2896</v>
      </c>
      <c r="C26" s="204">
        <v>5.5</v>
      </c>
    </row>
    <row r="27" ht="15.95" customHeight="1" spans="1:3">
      <c r="A27" s="205" t="s">
        <v>472</v>
      </c>
      <c r="B27" s="206">
        <v>10.1639</v>
      </c>
      <c r="C27" s="207">
        <v>6.4</v>
      </c>
    </row>
    <row r="28" spans="1:3">
      <c r="A28" s="208"/>
      <c r="B28" s="208"/>
      <c r="C28" s="208"/>
    </row>
  </sheetData>
  <mergeCells count="3">
    <mergeCell ref="A1:C1"/>
    <mergeCell ref="B2:C2"/>
    <mergeCell ref="A2:A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zoomScale="90" zoomScaleNormal="90" zoomScaleSheetLayoutView="70" workbookViewId="0">
      <selection activeCell="I17" sqref="I17"/>
    </sheetView>
  </sheetViews>
  <sheetFormatPr defaultColWidth="9" defaultRowHeight="14.25" outlineLevelCol="5"/>
  <cols>
    <col min="1" max="1" width="28" customWidth="1"/>
    <col min="2" max="2" width="9.125" customWidth="1"/>
  </cols>
  <sheetData>
    <row r="1" ht="28.5" customHeight="1" spans="1:6">
      <c r="A1" s="644" t="s">
        <v>44</v>
      </c>
      <c r="B1" s="644"/>
      <c r="C1" s="644"/>
      <c r="D1" s="644"/>
      <c r="E1" s="644"/>
      <c r="F1" s="644"/>
    </row>
    <row r="2" ht="20" customHeight="1" spans="1:6">
      <c r="A2" s="645" t="s">
        <v>1</v>
      </c>
      <c r="B2" s="646" t="s">
        <v>2</v>
      </c>
      <c r="C2" s="647" t="s">
        <v>45</v>
      </c>
      <c r="D2" s="656"/>
      <c r="E2" s="647" t="s">
        <v>46</v>
      </c>
      <c r="F2" s="648"/>
    </row>
    <row r="3" ht="20" customHeight="1" spans="1:6">
      <c r="A3" s="649"/>
      <c r="B3" s="650"/>
      <c r="C3" s="649" t="s">
        <v>5</v>
      </c>
      <c r="D3" s="649" t="s">
        <v>6</v>
      </c>
      <c r="E3" s="649" t="s">
        <v>5</v>
      </c>
      <c r="F3" s="651" t="s">
        <v>6</v>
      </c>
    </row>
    <row r="4" ht="25.9" customHeight="1" spans="1:6">
      <c r="A4" s="652" t="s">
        <v>7</v>
      </c>
      <c r="B4" s="473" t="s">
        <v>8</v>
      </c>
      <c r="C4" s="657" t="s">
        <v>9</v>
      </c>
      <c r="D4" s="658" t="s">
        <v>9</v>
      </c>
      <c r="E4" s="654">
        <v>670.483</v>
      </c>
      <c r="F4" s="383">
        <v>6.79998425115946</v>
      </c>
    </row>
    <row r="5" ht="25.9" customHeight="1" spans="1:6">
      <c r="A5" s="652" t="s">
        <v>10</v>
      </c>
      <c r="B5" s="473" t="s">
        <v>8</v>
      </c>
      <c r="C5" s="654">
        <v>743.46</v>
      </c>
      <c r="D5" s="383">
        <v>3.2</v>
      </c>
      <c r="E5" s="653">
        <v>569.02</v>
      </c>
      <c r="F5" s="383">
        <v>7.2</v>
      </c>
    </row>
    <row r="6" ht="25.9" customHeight="1" spans="1:6">
      <c r="A6" s="652" t="s">
        <v>11</v>
      </c>
      <c r="B6" s="473" t="s">
        <v>8</v>
      </c>
      <c r="C6" s="654">
        <v>236.48</v>
      </c>
      <c r="D6" s="383">
        <v>2.7</v>
      </c>
      <c r="E6" s="653">
        <v>179.84</v>
      </c>
      <c r="F6" s="383">
        <v>7</v>
      </c>
    </row>
    <row r="7" ht="25.9" customHeight="1" spans="1:6">
      <c r="A7" s="652" t="s">
        <v>12</v>
      </c>
      <c r="B7" s="473" t="s">
        <v>8</v>
      </c>
      <c r="C7" s="653"/>
      <c r="D7" s="383">
        <v>16.7</v>
      </c>
      <c r="E7" s="653"/>
      <c r="F7" s="383">
        <v>17.6</v>
      </c>
    </row>
    <row r="8" ht="25.9" customHeight="1" spans="1:6">
      <c r="A8" s="652" t="s">
        <v>13</v>
      </c>
      <c r="B8" s="473" t="s">
        <v>8</v>
      </c>
      <c r="C8" s="654"/>
      <c r="D8" s="383">
        <v>22.1</v>
      </c>
      <c r="E8" s="653"/>
      <c r="F8" s="383">
        <v>26.9</v>
      </c>
    </row>
    <row r="9" ht="25.9" customHeight="1" spans="1:6">
      <c r="A9" s="652" t="s">
        <v>14</v>
      </c>
      <c r="B9" s="473" t="s">
        <v>15</v>
      </c>
      <c r="C9" s="654">
        <v>169.67</v>
      </c>
      <c r="D9" s="383">
        <v>-1.5</v>
      </c>
      <c r="E9" s="654">
        <v>131.15</v>
      </c>
      <c r="F9" s="383">
        <v>-0.9</v>
      </c>
    </row>
    <row r="10" ht="25.9" customHeight="1" spans="1:6">
      <c r="A10" s="652" t="s">
        <v>16</v>
      </c>
      <c r="B10" s="473" t="s">
        <v>8</v>
      </c>
      <c r="C10" s="654">
        <v>590.73</v>
      </c>
      <c r="D10" s="383">
        <v>8.1</v>
      </c>
      <c r="E10" s="654">
        <v>445.46</v>
      </c>
      <c r="F10" s="383">
        <v>8.1</v>
      </c>
    </row>
    <row r="11" ht="25.9" customHeight="1" spans="1:6">
      <c r="A11" s="652" t="s">
        <v>17</v>
      </c>
      <c r="B11" s="473" t="s">
        <v>8</v>
      </c>
      <c r="C11" s="654">
        <v>44.97</v>
      </c>
      <c r="D11" s="383">
        <v>11.4</v>
      </c>
      <c r="E11" s="653">
        <v>34.01</v>
      </c>
      <c r="F11" s="383">
        <v>12.4</v>
      </c>
    </row>
    <row r="12" ht="25.9" customHeight="1" spans="1:6">
      <c r="A12" s="652" t="s">
        <v>18</v>
      </c>
      <c r="B12" s="473" t="s">
        <v>8</v>
      </c>
      <c r="C12" s="654">
        <v>157.29</v>
      </c>
      <c r="D12" s="383">
        <v>11.7</v>
      </c>
      <c r="E12" s="653">
        <v>127.07</v>
      </c>
      <c r="F12" s="383">
        <v>15.5</v>
      </c>
    </row>
    <row r="13" ht="25.9" customHeight="1" spans="1:6">
      <c r="A13" s="652" t="s">
        <v>19</v>
      </c>
      <c r="B13" s="473" t="s">
        <v>8</v>
      </c>
      <c r="C13" s="654">
        <v>226.7242</v>
      </c>
      <c r="D13" s="383">
        <v>22.3</v>
      </c>
      <c r="E13" s="653">
        <v>171.95</v>
      </c>
      <c r="F13" s="383">
        <v>25</v>
      </c>
    </row>
    <row r="14" ht="25.9" customHeight="1" spans="1:6">
      <c r="A14" s="652" t="s">
        <v>20</v>
      </c>
      <c r="B14" s="473" t="s">
        <v>8</v>
      </c>
      <c r="C14" s="659">
        <v>115.13</v>
      </c>
      <c r="D14" s="383">
        <v>18.4</v>
      </c>
      <c r="E14" s="654">
        <v>77.67</v>
      </c>
      <c r="F14" s="383">
        <v>7.6</v>
      </c>
    </row>
    <row r="15" ht="25.9" customHeight="1" spans="1:6">
      <c r="A15" s="652" t="s">
        <v>21</v>
      </c>
      <c r="B15" s="473" t="s">
        <v>8</v>
      </c>
      <c r="C15" s="659">
        <v>59.97</v>
      </c>
      <c r="D15" s="383">
        <v>20.2</v>
      </c>
      <c r="E15" s="654">
        <v>38.1</v>
      </c>
      <c r="F15" s="383">
        <v>3.2</v>
      </c>
    </row>
    <row r="16" ht="25.9" customHeight="1" spans="1:6">
      <c r="A16" s="652" t="s">
        <v>22</v>
      </c>
      <c r="B16" s="473" t="s">
        <v>8</v>
      </c>
      <c r="C16" s="654">
        <v>55.16</v>
      </c>
      <c r="D16" s="383">
        <v>16.5</v>
      </c>
      <c r="E16" s="654">
        <v>39.57</v>
      </c>
      <c r="F16" s="383">
        <v>12.1</v>
      </c>
    </row>
    <row r="17" ht="25.9" customHeight="1" spans="1:6">
      <c r="A17" s="652" t="s">
        <v>23</v>
      </c>
      <c r="B17" s="473" t="s">
        <v>24</v>
      </c>
      <c r="C17" s="660">
        <v>7165</v>
      </c>
      <c r="D17" s="383">
        <v>173.3</v>
      </c>
      <c r="E17" s="653">
        <v>7165</v>
      </c>
      <c r="F17" s="383">
        <v>173.3</v>
      </c>
    </row>
    <row r="18" ht="25.9" customHeight="1" spans="1:6">
      <c r="A18" s="652" t="s">
        <v>25</v>
      </c>
      <c r="B18" s="473" t="s">
        <v>8</v>
      </c>
      <c r="C18" s="654">
        <v>3559.77</v>
      </c>
      <c r="D18" s="383">
        <v>8.5</v>
      </c>
      <c r="E18" s="653">
        <v>3493.47</v>
      </c>
      <c r="F18" s="383">
        <v>5.6</v>
      </c>
    </row>
    <row r="19" ht="25.9" customHeight="1" spans="1:6">
      <c r="A19" s="652" t="s">
        <v>26</v>
      </c>
      <c r="B19" s="473" t="s">
        <v>8</v>
      </c>
      <c r="C19" s="654">
        <v>2290.33</v>
      </c>
      <c r="D19" s="383">
        <v>10.7</v>
      </c>
      <c r="E19" s="653">
        <v>2275.63</v>
      </c>
      <c r="F19" s="383">
        <v>10</v>
      </c>
    </row>
    <row r="20" ht="25.9" customHeight="1" spans="1:6">
      <c r="A20" s="652" t="s">
        <v>27</v>
      </c>
      <c r="B20" s="473" t="s">
        <v>8</v>
      </c>
      <c r="C20" s="654">
        <v>2284.04</v>
      </c>
      <c r="D20" s="383">
        <v>15.8</v>
      </c>
      <c r="E20" s="653">
        <v>2267.84</v>
      </c>
      <c r="F20" s="383">
        <v>15.4</v>
      </c>
    </row>
    <row r="21" ht="25.9" customHeight="1" spans="1:6">
      <c r="A21" s="652" t="s">
        <v>28</v>
      </c>
      <c r="B21" s="473" t="s">
        <v>29</v>
      </c>
      <c r="C21" s="383">
        <v>101.7</v>
      </c>
      <c r="D21" s="383">
        <v>1.7</v>
      </c>
      <c r="E21" s="653">
        <v>101.6</v>
      </c>
      <c r="F21" s="383">
        <v>1.6</v>
      </c>
    </row>
    <row r="22" ht="25.9" customHeight="1" spans="1:6">
      <c r="A22" s="652" t="s">
        <v>30</v>
      </c>
      <c r="B22" s="473" t="s">
        <v>29</v>
      </c>
      <c r="C22" s="383">
        <v>100.6</v>
      </c>
      <c r="D22" s="383">
        <v>0.6</v>
      </c>
      <c r="E22" s="653">
        <v>100.4</v>
      </c>
      <c r="F22" s="383">
        <v>0.4</v>
      </c>
    </row>
    <row r="23" ht="25.9" customHeight="1" spans="1:6">
      <c r="A23" s="652" t="s">
        <v>31</v>
      </c>
      <c r="B23" s="473" t="s">
        <v>32</v>
      </c>
      <c r="C23" s="654">
        <v>62.4688</v>
      </c>
      <c r="D23" s="383">
        <v>7.89</v>
      </c>
      <c r="E23" s="654">
        <v>45.4145</v>
      </c>
      <c r="F23" s="383">
        <v>7.18</v>
      </c>
    </row>
    <row r="24" ht="25.9" customHeight="1" spans="1:6">
      <c r="A24" s="652" t="s">
        <v>33</v>
      </c>
      <c r="B24" s="473" t="s">
        <v>32</v>
      </c>
      <c r="C24" s="458">
        <v>38.7045</v>
      </c>
      <c r="D24" s="661">
        <v>4.86</v>
      </c>
      <c r="E24" s="654">
        <v>28.281</v>
      </c>
      <c r="F24" s="383">
        <v>5.59</v>
      </c>
    </row>
    <row r="25" ht="18" customHeight="1" spans="1:6">
      <c r="A25" s="395" t="s">
        <v>34</v>
      </c>
      <c r="B25" s="395"/>
      <c r="C25" s="395"/>
      <c r="D25" s="395"/>
      <c r="E25" s="395"/>
      <c r="F25" s="395"/>
    </row>
  </sheetData>
  <mergeCells count="6">
    <mergeCell ref="A1:F1"/>
    <mergeCell ref="C2:D2"/>
    <mergeCell ref="E2:F2"/>
    <mergeCell ref="A25:F25"/>
    <mergeCell ref="A2:A3"/>
    <mergeCell ref="B2:B3"/>
  </mergeCells>
  <pageMargins left="0.75" right="0.75" top="1" bottom="1" header="0.5" footer="0.5"/>
  <pageSetup paperSize="9" orientation="portrait"/>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O27"/>
  <sheetViews>
    <sheetView workbookViewId="0">
      <selection activeCell="K11" sqref="K11"/>
    </sheetView>
  </sheetViews>
  <sheetFormatPr defaultColWidth="9" defaultRowHeight="14.25"/>
  <cols>
    <col min="1" max="1" width="16.375" customWidth="1"/>
    <col min="2" max="2" width="13" customWidth="1"/>
    <col min="3" max="3" width="9.375" customWidth="1"/>
    <col min="4" max="4" width="8.625" customWidth="1"/>
    <col min="5" max="5" width="14.625" customWidth="1"/>
    <col min="6" max="6" width="10.5" customWidth="1"/>
    <col min="7" max="7" width="8.625" customWidth="1"/>
  </cols>
  <sheetData>
    <row r="1" ht="24" spans="1:15">
      <c r="A1" t="s">
        <v>546</v>
      </c>
      <c r="G1" s="164"/>
    </row>
    <row r="2" ht="29.1" customHeight="1" spans="1:15">
      <c r="A2" t="s">
        <v>52</v>
      </c>
    </row>
    <row r="3" s="161" customFormat="1" ht="30" customHeight="1" spans="1:15">
      <c r="A3" t="s">
        <v>547</v>
      </c>
      <c r="B3" t="s">
        <v>548</v>
      </c>
      <c r="C3"/>
      <c r="D3"/>
      <c r="E3" t="s">
        <v>549</v>
      </c>
      <c r="F3"/>
      <c r="G3"/>
    </row>
    <row r="4" s="162" customFormat="1" ht="36" customHeight="1" spans="1:15">
      <c r="A4"/>
      <c r="B4" s="165" t="s">
        <v>550</v>
      </c>
      <c r="C4" s="166" t="s">
        <v>551</v>
      </c>
      <c r="D4" s="167" t="s">
        <v>552</v>
      </c>
      <c r="E4" s="165" t="s">
        <v>550</v>
      </c>
      <c r="F4" s="168" t="s">
        <v>551</v>
      </c>
      <c r="G4" s="168" t="s">
        <v>552</v>
      </c>
      <c r="H4" s="169"/>
      <c r="O4" s="170"/>
    </row>
    <row r="5" s="162" customFormat="1" ht="25.5" customHeight="1" spans="1:15">
      <c r="A5" s="171" t="s">
        <v>553</v>
      </c>
      <c r="B5" s="172" t="s">
        <v>9</v>
      </c>
      <c r="C5" s="172" t="s">
        <v>9</v>
      </c>
      <c r="D5" s="172" t="s">
        <v>9</v>
      </c>
      <c r="E5" s="173" t="s">
        <v>9</v>
      </c>
      <c r="F5" s="174" t="s">
        <v>9</v>
      </c>
      <c r="G5" s="172" t="s">
        <v>9</v>
      </c>
      <c r="I5" s="175"/>
      <c r="J5" s="175"/>
      <c r="K5" s="176"/>
      <c r="O5" s="170"/>
    </row>
    <row r="6" s="162" customFormat="1" ht="23.1" customHeight="1" spans="1:15">
      <c r="A6" s="171" t="s">
        <v>554</v>
      </c>
      <c r="B6" s="177">
        <f>ROUND([28]税收总收入!$B$7,2)</f>
        <v>7406.64</v>
      </c>
      <c r="C6" s="11">
        <f>ROUND([28]税收总收入!$C$7,1)</f>
        <v>3.4</v>
      </c>
      <c r="D6" s="172" t="s">
        <v>9</v>
      </c>
      <c r="E6" s="177">
        <f>ROUND([28]税收总收入!$B$6,2)</f>
        <v>0</v>
      </c>
      <c r="F6" s="178">
        <f>ROUND([28]税收总收入!$C$6,1)</f>
        <v>0</v>
      </c>
      <c r="G6" s="172" t="s">
        <v>9</v>
      </c>
      <c r="I6" s="175"/>
      <c r="J6" s="179"/>
      <c r="O6" s="180"/>
    </row>
    <row r="7" ht="23.1" customHeight="1" spans="1:15">
      <c r="A7" s="162" t="s">
        <v>555</v>
      </c>
      <c r="B7" s="177" t="e">
        <f>ROUND(#REF!,2)</f>
        <v>#REF!</v>
      </c>
      <c r="C7" s="11" t="e">
        <f>ROUND(#REF!,1)</f>
        <v>#REF!</v>
      </c>
      <c r="D7" s="181" t="e">
        <f t="shared" ref="D7:D27" si="0">RANK(C7,$C$7:$C$27,0)</f>
        <v>#REF!</v>
      </c>
      <c r="E7" s="177" t="e">
        <f>ROUND(#REF!,2)</f>
        <v>#REF!</v>
      </c>
      <c r="F7" s="178" t="e">
        <f>ROUND(#REF!,1)</f>
        <v>#REF!</v>
      </c>
      <c r="G7" s="172" t="e">
        <f t="shared" ref="G7:G27" si="1">RANK(F7,$F$7:$F$27,0)</f>
        <v>#REF!</v>
      </c>
      <c r="I7" s="182"/>
      <c r="J7" s="183"/>
      <c r="K7" s="184"/>
      <c r="L7" s="185"/>
      <c r="O7" s="186"/>
    </row>
    <row r="8" ht="23.1" customHeight="1" spans="1:15">
      <c r="A8" s="162" t="s">
        <v>556</v>
      </c>
      <c r="B8" s="177" t="e">
        <f>ROUND(#REF!,2)</f>
        <v>#REF!</v>
      </c>
      <c r="C8" s="11" t="e">
        <f>ROUND(#REF!,1)</f>
        <v>#REF!</v>
      </c>
      <c r="D8" s="181" t="e">
        <f t="shared" si="0"/>
        <v>#REF!</v>
      </c>
      <c r="E8" s="177" t="e">
        <f>ROUND(#REF!,2)</f>
        <v>#REF!</v>
      </c>
      <c r="F8" s="178" t="e">
        <f>ROUND(#REF!,1)</f>
        <v>#REF!</v>
      </c>
      <c r="G8" s="172" t="e">
        <f t="shared" si="1"/>
        <v>#REF!</v>
      </c>
      <c r="I8" s="182"/>
      <c r="J8" s="183"/>
      <c r="K8" s="184"/>
      <c r="L8" s="185"/>
      <c r="O8" s="186"/>
    </row>
    <row r="9" ht="23.1" customHeight="1" spans="1:15">
      <c r="A9" s="162" t="s">
        <v>557</v>
      </c>
      <c r="B9" s="177" t="e">
        <f>ROUND(#REF!,2)</f>
        <v>#REF!</v>
      </c>
      <c r="C9" s="11" t="e">
        <f>ROUND(#REF!,1)</f>
        <v>#REF!</v>
      </c>
      <c r="D9" s="181" t="e">
        <f t="shared" si="0"/>
        <v>#REF!</v>
      </c>
      <c r="E9" s="177" t="e">
        <f>ROUND(#REF!,2)</f>
        <v>#REF!</v>
      </c>
      <c r="F9" s="178" t="e">
        <f>ROUND(#REF!,1)</f>
        <v>#REF!</v>
      </c>
      <c r="G9" s="172" t="e">
        <f t="shared" si="1"/>
        <v>#REF!</v>
      </c>
      <c r="I9" s="182"/>
      <c r="J9" s="183"/>
      <c r="K9" s="184"/>
      <c r="L9" s="185"/>
      <c r="O9" s="186"/>
    </row>
    <row r="10" ht="23.1" customHeight="1" spans="1:15">
      <c r="A10" s="162" t="s">
        <v>558</v>
      </c>
      <c r="B10" s="177" t="e">
        <f>ROUND(#REF!,2)</f>
        <v>#REF!</v>
      </c>
      <c r="C10" s="11" t="e">
        <f>ROUND(#REF!,1)</f>
        <v>#REF!</v>
      </c>
      <c r="D10" s="181" t="e">
        <f t="shared" si="0"/>
        <v>#REF!</v>
      </c>
      <c r="E10" s="177" t="e">
        <f>ROUND(#REF!,2)</f>
        <v>#REF!</v>
      </c>
      <c r="F10" s="178" t="e">
        <f>ROUND(#REF!,1)</f>
        <v>#REF!</v>
      </c>
      <c r="G10" s="172" t="e">
        <f t="shared" si="1"/>
        <v>#REF!</v>
      </c>
      <c r="I10" s="182"/>
      <c r="J10" s="183"/>
      <c r="K10" s="184"/>
      <c r="L10" s="185"/>
      <c r="O10" s="186"/>
    </row>
    <row r="11" ht="23.1" customHeight="1" spans="1:15">
      <c r="A11" s="162" t="s">
        <v>559</v>
      </c>
      <c r="B11" s="177" t="e">
        <f>ROUND(#REF!,2)</f>
        <v>#REF!</v>
      </c>
      <c r="C11" s="11" t="e">
        <f>ROUND(#REF!,1)</f>
        <v>#REF!</v>
      </c>
      <c r="D11" s="181" t="e">
        <f t="shared" si="0"/>
        <v>#REF!</v>
      </c>
      <c r="E11" s="177" t="e">
        <f>ROUND(#REF!,2)</f>
        <v>#REF!</v>
      </c>
      <c r="F11" s="178" t="e">
        <f>ROUND(#REF!,1)</f>
        <v>#REF!</v>
      </c>
      <c r="G11" s="172" t="e">
        <f t="shared" si="1"/>
        <v>#REF!</v>
      </c>
      <c r="I11" s="182"/>
      <c r="J11" s="183"/>
      <c r="K11" s="184"/>
      <c r="L11" s="185"/>
      <c r="O11" s="186"/>
    </row>
    <row r="12" ht="23.1" customHeight="1" spans="1:15">
      <c r="A12" s="162" t="s">
        <v>560</v>
      </c>
      <c r="B12" s="177" t="e">
        <f>ROUND(#REF!,2)</f>
        <v>#REF!</v>
      </c>
      <c r="C12" s="11" t="e">
        <f>ROUND(#REF!,1)</f>
        <v>#REF!</v>
      </c>
      <c r="D12" s="181" t="e">
        <f t="shared" si="0"/>
        <v>#REF!</v>
      </c>
      <c r="E12" s="177" t="e">
        <f>ROUND(#REF!,2)</f>
        <v>#REF!</v>
      </c>
      <c r="F12" s="178" t="e">
        <f>ROUND(#REF!,1)</f>
        <v>#REF!</v>
      </c>
      <c r="G12" s="172" t="e">
        <f t="shared" si="1"/>
        <v>#REF!</v>
      </c>
      <c r="I12" s="182"/>
      <c r="J12" s="183"/>
      <c r="K12" s="184"/>
      <c r="L12" s="185"/>
      <c r="O12" s="186"/>
    </row>
    <row r="13" ht="23.1" customHeight="1" spans="1:15">
      <c r="A13" s="162" t="s">
        <v>561</v>
      </c>
      <c r="B13" s="177" t="e">
        <f>ROUND(#REF!,2)</f>
        <v>#REF!</v>
      </c>
      <c r="C13" s="11" t="e">
        <f>ROUND(#REF!,1)</f>
        <v>#REF!</v>
      </c>
      <c r="D13" s="181" t="e">
        <f t="shared" si="0"/>
        <v>#REF!</v>
      </c>
      <c r="E13" s="177" t="e">
        <f>ROUND(#REF!,2)</f>
        <v>#REF!</v>
      </c>
      <c r="F13" s="178" t="e">
        <f>ROUND(#REF!,1)</f>
        <v>#REF!</v>
      </c>
      <c r="G13" s="172" t="e">
        <f t="shared" si="1"/>
        <v>#REF!</v>
      </c>
      <c r="I13" s="182"/>
      <c r="J13" s="183"/>
      <c r="K13" s="184"/>
      <c r="L13" s="185"/>
      <c r="O13" s="186"/>
    </row>
    <row r="14" ht="23.1" customHeight="1" spans="1:15">
      <c r="A14" s="162" t="s">
        <v>562</v>
      </c>
      <c r="B14" s="177" t="e">
        <f>ROUND(#REF!,2)</f>
        <v>#REF!</v>
      </c>
      <c r="C14" s="11" t="e">
        <f>ROUND(#REF!,1)</f>
        <v>#REF!</v>
      </c>
      <c r="D14" s="181" t="e">
        <f t="shared" si="0"/>
        <v>#REF!</v>
      </c>
      <c r="E14" s="177" t="e">
        <f>ROUND(#REF!,2)</f>
        <v>#REF!</v>
      </c>
      <c r="F14" s="178" t="e">
        <f>ROUND(#REF!,1)</f>
        <v>#REF!</v>
      </c>
      <c r="G14" s="172" t="e">
        <f t="shared" si="1"/>
        <v>#REF!</v>
      </c>
      <c r="I14" s="182"/>
      <c r="J14" s="183"/>
      <c r="K14" s="184"/>
      <c r="L14" s="185"/>
      <c r="O14" s="186"/>
    </row>
    <row r="15" ht="23.1" customHeight="1" spans="1:15">
      <c r="A15" s="162" t="s">
        <v>563</v>
      </c>
      <c r="B15" s="177" t="e">
        <f>ROUND(#REF!,2)</f>
        <v>#REF!</v>
      </c>
      <c r="C15" s="11">
        <f>ROUND([28]各市出口!C13,1)</f>
        <v>-15.6</v>
      </c>
      <c r="D15" s="181" t="e">
        <f t="shared" si="0"/>
        <v>#REF!</v>
      </c>
      <c r="E15" s="177" t="e">
        <f>ROUND(#REF!,2)</f>
        <v>#REF!</v>
      </c>
      <c r="F15" s="178" t="e">
        <f>ROUND(#REF!,1)</f>
        <v>#REF!</v>
      </c>
      <c r="G15" s="172" t="e">
        <f t="shared" si="1"/>
        <v>#REF!</v>
      </c>
      <c r="I15" s="182"/>
      <c r="J15" s="183"/>
      <c r="K15" s="184"/>
      <c r="L15" s="185"/>
      <c r="O15" s="186"/>
    </row>
    <row r="16" ht="23.1" customHeight="1" spans="1:15">
      <c r="A16" s="162" t="s">
        <v>564</v>
      </c>
      <c r="B16" s="177" t="e">
        <f>ROUND(#REF!,2)</f>
        <v>#REF!</v>
      </c>
      <c r="C16" s="11" t="e">
        <f>ROUND(#REF!,1)</f>
        <v>#REF!</v>
      </c>
      <c r="D16" s="181" t="e">
        <f t="shared" si="0"/>
        <v>#REF!</v>
      </c>
      <c r="E16" s="177" t="e">
        <f>ROUND(#REF!,2)</f>
        <v>#REF!</v>
      </c>
      <c r="F16" s="178" t="e">
        <f>ROUND(#REF!,1)</f>
        <v>#REF!</v>
      </c>
      <c r="G16" s="172" t="e">
        <f t="shared" si="1"/>
        <v>#REF!</v>
      </c>
      <c r="I16" s="182"/>
      <c r="J16" s="183"/>
      <c r="K16" s="184"/>
      <c r="L16" s="185"/>
      <c r="O16" s="186"/>
    </row>
    <row r="17" ht="23.1" customHeight="1" spans="1:15">
      <c r="A17" s="162" t="s">
        <v>565</v>
      </c>
      <c r="B17" s="177" t="e">
        <f>ROUND(#REF!,2)</f>
        <v>#REF!</v>
      </c>
      <c r="C17" s="11" t="e">
        <f>ROUND(#REF!,1)</f>
        <v>#REF!</v>
      </c>
      <c r="D17" s="181" t="e">
        <f t="shared" si="0"/>
        <v>#REF!</v>
      </c>
      <c r="E17" s="177" t="e">
        <f>ROUND(#REF!,2)</f>
        <v>#REF!</v>
      </c>
      <c r="F17" s="178" t="e">
        <f>ROUND(#REF!,1)</f>
        <v>#REF!</v>
      </c>
      <c r="G17" s="172" t="e">
        <f t="shared" si="1"/>
        <v>#REF!</v>
      </c>
      <c r="I17" s="182"/>
      <c r="J17" s="183"/>
      <c r="K17" s="184"/>
      <c r="L17" s="185"/>
      <c r="O17" s="186"/>
    </row>
    <row r="18" ht="23.1" customHeight="1" spans="1:15">
      <c r="A18" s="162" t="s">
        <v>566</v>
      </c>
      <c r="B18" s="177" t="e">
        <f>ROUND(#REF!,2)</f>
        <v>#REF!</v>
      </c>
      <c r="C18" s="11" t="e">
        <f>ROUND(#REF!,1)</f>
        <v>#REF!</v>
      </c>
      <c r="D18" s="181" t="e">
        <f t="shared" si="0"/>
        <v>#REF!</v>
      </c>
      <c r="E18" s="177" t="e">
        <f>ROUND(#REF!,2)</f>
        <v>#REF!</v>
      </c>
      <c r="F18" s="178" t="e">
        <f>ROUND(#REF!,1)</f>
        <v>#REF!</v>
      </c>
      <c r="G18" s="172" t="e">
        <f t="shared" si="1"/>
        <v>#REF!</v>
      </c>
      <c r="I18" s="182"/>
      <c r="J18" s="183"/>
      <c r="K18" s="184"/>
      <c r="L18" s="185"/>
      <c r="O18" s="186"/>
    </row>
    <row r="19" ht="23.1" customHeight="1" spans="1:15">
      <c r="A19" s="162" t="s">
        <v>567</v>
      </c>
      <c r="B19" s="177" t="e">
        <f>ROUND(#REF!,2)</f>
        <v>#REF!</v>
      </c>
      <c r="C19" s="11" t="e">
        <f>ROUND(#REF!,1)</f>
        <v>#REF!</v>
      </c>
      <c r="D19" s="181" t="e">
        <f t="shared" si="0"/>
        <v>#REF!</v>
      </c>
      <c r="E19" s="177" t="e">
        <f>ROUND(#REF!,2)</f>
        <v>#REF!</v>
      </c>
      <c r="F19" s="178" t="e">
        <f>ROUND(#REF!,1)</f>
        <v>#REF!</v>
      </c>
      <c r="G19" s="172" t="e">
        <f t="shared" si="1"/>
        <v>#REF!</v>
      </c>
      <c r="I19" s="182"/>
      <c r="J19" s="183"/>
      <c r="K19" s="184"/>
      <c r="L19" s="185"/>
      <c r="O19" s="186"/>
    </row>
    <row r="20" ht="23.1" customHeight="1" spans="1:15">
      <c r="A20" s="162" t="s">
        <v>568</v>
      </c>
      <c r="B20" s="177" t="e">
        <f>ROUND(#REF!,2)</f>
        <v>#REF!</v>
      </c>
      <c r="C20" s="11" t="e">
        <f>ROUND(#REF!,1)</f>
        <v>#REF!</v>
      </c>
      <c r="D20" s="181" t="e">
        <f t="shared" si="0"/>
        <v>#REF!</v>
      </c>
      <c r="E20" s="177" t="e">
        <f>ROUND(#REF!,2)</f>
        <v>#REF!</v>
      </c>
      <c r="F20" s="178" t="e">
        <f>ROUND(#REF!,1)</f>
        <v>#REF!</v>
      </c>
      <c r="G20" s="172" t="e">
        <f t="shared" si="1"/>
        <v>#REF!</v>
      </c>
      <c r="I20" s="182"/>
      <c r="J20" s="183"/>
      <c r="K20" s="184"/>
      <c r="L20" s="185"/>
      <c r="O20" s="186"/>
    </row>
    <row r="21" ht="23.1" customHeight="1" spans="1:15">
      <c r="A21" s="162" t="s">
        <v>569</v>
      </c>
      <c r="B21" s="177" t="e">
        <f>ROUND(#REF!,2)</f>
        <v>#REF!</v>
      </c>
      <c r="C21" s="11" t="e">
        <f>ROUND(#REF!,1)</f>
        <v>#REF!</v>
      </c>
      <c r="D21" s="181" t="e">
        <f t="shared" si="0"/>
        <v>#REF!</v>
      </c>
      <c r="E21" s="177" t="e">
        <f>ROUND(#REF!,2)</f>
        <v>#REF!</v>
      </c>
      <c r="F21" s="178" t="e">
        <f>ROUND(#REF!,1)</f>
        <v>#REF!</v>
      </c>
      <c r="G21" s="172" t="e">
        <f t="shared" si="1"/>
        <v>#REF!</v>
      </c>
      <c r="I21" s="182"/>
      <c r="J21" s="183"/>
      <c r="K21" s="184"/>
      <c r="L21" s="185"/>
      <c r="O21" s="186"/>
    </row>
    <row r="22" ht="23.1" customHeight="1" spans="1:15">
      <c r="A22" s="162" t="s">
        <v>570</v>
      </c>
      <c r="B22" s="177" t="e">
        <f>ROUND(#REF!,2)</f>
        <v>#REF!</v>
      </c>
      <c r="C22" s="11" t="e">
        <f>ROUND(#REF!,1)</f>
        <v>#REF!</v>
      </c>
      <c r="D22" s="181" t="e">
        <f t="shared" si="0"/>
        <v>#REF!</v>
      </c>
      <c r="E22" s="177" t="e">
        <f>ROUND(#REF!,2)</f>
        <v>#REF!</v>
      </c>
      <c r="F22" s="178" t="e">
        <f>ROUND(#REF!,1)</f>
        <v>#REF!</v>
      </c>
      <c r="G22" s="172" t="e">
        <f t="shared" si="1"/>
        <v>#REF!</v>
      </c>
      <c r="I22" s="182"/>
      <c r="J22" s="183"/>
      <c r="K22" s="184"/>
      <c r="L22" s="185"/>
      <c r="O22" s="186"/>
    </row>
    <row r="23" ht="23.1" customHeight="1" spans="1:15">
      <c r="A23" s="162" t="s">
        <v>571</v>
      </c>
      <c r="B23" s="177" t="e">
        <f>ROUND(#REF!,2)</f>
        <v>#REF!</v>
      </c>
      <c r="C23" s="11" t="e">
        <f>ROUND(#REF!,1)</f>
        <v>#REF!</v>
      </c>
      <c r="D23" s="181" t="e">
        <f t="shared" si="0"/>
        <v>#REF!</v>
      </c>
      <c r="E23" s="177" t="e">
        <f>ROUND(#REF!,2)</f>
        <v>#REF!</v>
      </c>
      <c r="F23" s="178" t="e">
        <f>ROUND(#REF!,1)</f>
        <v>#REF!</v>
      </c>
      <c r="G23" s="172" t="e">
        <f t="shared" si="1"/>
        <v>#REF!</v>
      </c>
      <c r="I23" s="182"/>
      <c r="J23" s="183"/>
      <c r="K23" s="184"/>
      <c r="L23" s="185"/>
      <c r="O23" s="186"/>
    </row>
    <row r="24" ht="23.1" customHeight="1" spans="1:15">
      <c r="A24" s="162" t="s">
        <v>572</v>
      </c>
      <c r="B24" s="177" t="e">
        <f>ROUND(#REF!,2)</f>
        <v>#REF!</v>
      </c>
      <c r="C24" s="11" t="e">
        <f>ROUND(#REF!,1)</f>
        <v>#REF!</v>
      </c>
      <c r="D24" s="181" t="e">
        <f t="shared" si="0"/>
        <v>#REF!</v>
      </c>
      <c r="E24" s="177" t="e">
        <f>ROUND(#REF!,2)</f>
        <v>#REF!</v>
      </c>
      <c r="F24" s="178" t="e">
        <f>ROUND(#REF!,1)</f>
        <v>#REF!</v>
      </c>
      <c r="G24" s="172" t="e">
        <f t="shared" si="1"/>
        <v>#REF!</v>
      </c>
      <c r="I24" s="182"/>
      <c r="J24" s="183"/>
      <c r="K24" s="184"/>
      <c r="L24" s="185"/>
      <c r="O24" s="186"/>
    </row>
    <row r="25" ht="23.1" customHeight="1" spans="1:15">
      <c r="A25" s="162" t="s">
        <v>573</v>
      </c>
      <c r="B25" s="177" t="e">
        <f>ROUND(#REF!,2)</f>
        <v>#REF!</v>
      </c>
      <c r="C25" s="11" t="e">
        <f>ROUND(#REF!,1)</f>
        <v>#REF!</v>
      </c>
      <c r="D25" s="181" t="e">
        <f t="shared" si="0"/>
        <v>#REF!</v>
      </c>
      <c r="E25" s="177" t="e">
        <f>ROUND(#REF!,2)</f>
        <v>#REF!</v>
      </c>
      <c r="F25" s="178" t="e">
        <f>ROUND(#REF!,1)</f>
        <v>#REF!</v>
      </c>
      <c r="G25" s="172" t="e">
        <f t="shared" si="1"/>
        <v>#REF!</v>
      </c>
      <c r="I25" s="182"/>
      <c r="J25" s="183"/>
      <c r="K25" s="184"/>
      <c r="L25" s="185"/>
      <c r="O25" s="186"/>
    </row>
    <row r="26" ht="23.1" customHeight="1" spans="1:15">
      <c r="A26" s="162" t="s">
        <v>574</v>
      </c>
      <c r="B26" s="177" t="e">
        <f>ROUND(#REF!,2)</f>
        <v>#REF!</v>
      </c>
      <c r="C26" s="11" t="e">
        <f>ROUND(#REF!,1)</f>
        <v>#REF!</v>
      </c>
      <c r="D26" s="181" t="e">
        <f t="shared" si="0"/>
        <v>#REF!</v>
      </c>
      <c r="E26" s="177" t="e">
        <f>ROUND(#REF!,2)</f>
        <v>#REF!</v>
      </c>
      <c r="F26" s="178" t="e">
        <f>ROUND(#REF!,1)</f>
        <v>#REF!</v>
      </c>
      <c r="G26" s="172" t="e">
        <f t="shared" si="1"/>
        <v>#REF!</v>
      </c>
      <c r="I26" s="182"/>
      <c r="J26" s="183"/>
      <c r="K26" s="184"/>
      <c r="L26" s="185"/>
      <c r="O26" s="186"/>
    </row>
    <row r="27" s="163" customFormat="1" ht="23.1" customHeight="1" spans="1:15">
      <c r="A27" s="187" t="s">
        <v>575</v>
      </c>
      <c r="B27" s="188" t="e">
        <f>ROUND(#REF!,2)</f>
        <v>#REF!</v>
      </c>
      <c r="C27" s="189" t="e">
        <f>ROUND(#REF!,1)</f>
        <v>#REF!</v>
      </c>
      <c r="D27" s="190" t="e">
        <f t="shared" si="0"/>
        <v>#REF!</v>
      </c>
      <c r="E27" s="188" t="e">
        <f>ROUND(#REF!,2)</f>
        <v>#REF!</v>
      </c>
      <c r="F27" s="191" t="e">
        <f>ROUND(#REF!,1)</f>
        <v>#REF!</v>
      </c>
      <c r="G27" s="192" t="e">
        <f t="shared" si="1"/>
        <v>#REF!</v>
      </c>
      <c r="H27" s="193"/>
      <c r="I27" s="182"/>
      <c r="J27" s="183"/>
      <c r="K27" s="184"/>
      <c r="L27" s="193"/>
      <c r="M27" s="193"/>
      <c r="N27" s="193"/>
      <c r="O27" s="180"/>
    </row>
  </sheetData>
  <mergeCells count="5">
    <mergeCell ref="A1:F1"/>
    <mergeCell ref="A2:G2"/>
    <mergeCell ref="B3:D3"/>
    <mergeCell ref="E3:G3"/>
    <mergeCell ref="A3:A4"/>
  </mergeCells>
  <pageMargins left="0.75" right="0.75" top="1" bottom="1" header="0.51" footer="0.51"/>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IV31"/>
  <sheetViews>
    <sheetView topLeftCell="A4" workbookViewId="0">
      <selection activeCell="G31" sqref="G31"/>
    </sheetView>
  </sheetViews>
  <sheetFormatPr defaultColWidth="9" defaultRowHeight="14.25"/>
  <cols>
    <col min="1" max="1" width="14.375" style="44" customWidth="1"/>
    <col min="2" max="2" width="26.875" customWidth="1"/>
    <col min="3" max="3" width="18.875" customWidth="1"/>
    <col min="4" max="4" width="0.5" hidden="1" customWidth="1"/>
    <col min="5" max="6" width="9" hidden="1" customWidth="1"/>
  </cols>
  <sheetData>
    <row r="1" ht="33.75" customHeight="1" spans="1:7">
      <c r="A1" s="3" t="s">
        <v>576</v>
      </c>
      <c r="B1" s="3"/>
      <c r="C1" s="3"/>
      <c r="D1" s="3"/>
      <c r="E1" s="3"/>
      <c r="F1" s="3"/>
      <c r="G1" s="45"/>
    </row>
    <row r="2" ht="20.25" customHeight="1" spans="1:7">
      <c r="A2" s="145"/>
      <c r="B2" s="145"/>
      <c r="C2" t="s">
        <v>577</v>
      </c>
      <c r="G2" s="45"/>
    </row>
    <row r="3" s="43" customFormat="1" ht="31.5" customHeight="1" spans="1:7">
      <c r="A3" t="s">
        <v>578</v>
      </c>
      <c r="B3" t="s">
        <v>11</v>
      </c>
      <c r="C3"/>
      <c r="D3" s="146"/>
      <c r="E3" s="147"/>
      <c r="F3" s="148"/>
      <c r="G3" s="51"/>
    </row>
    <row r="4" s="43" customFormat="1" ht="31.5" customHeight="1" spans="1:7">
      <c r="A4"/>
      <c r="B4" s="7" t="s">
        <v>579</v>
      </c>
      <c r="C4" s="8" t="s">
        <v>580</v>
      </c>
      <c r="D4" s="149"/>
      <c r="E4" s="150"/>
      <c r="F4" s="151"/>
      <c r="G4" s="51"/>
    </row>
    <row r="5" ht="18" customHeight="1" spans="1:7">
      <c r="A5" s="152">
        <v>2016</v>
      </c>
      <c r="B5" s="153"/>
      <c r="C5" s="80"/>
      <c r="D5" s="154"/>
      <c r="E5" s="154"/>
      <c r="F5" s="154"/>
    </row>
    <row r="6" ht="18" customHeight="1" spans="1:7">
      <c r="A6" s="152">
        <v>6</v>
      </c>
      <c r="B6" s="153">
        <f>ROUND(3143799,0)</f>
        <v>3143799</v>
      </c>
      <c r="C6" s="155">
        <f>ROUND(10.5,1)</f>
        <v>10.5</v>
      </c>
      <c r="D6" s="154"/>
      <c r="E6" s="154"/>
      <c r="F6" s="154"/>
    </row>
    <row r="7" ht="18" customHeight="1" spans="1:7">
      <c r="A7" s="152">
        <v>7</v>
      </c>
      <c r="B7" s="153">
        <f>ROUND(3788981,0)</f>
        <v>3788981</v>
      </c>
      <c r="C7" s="156">
        <f>ROUND(10.6,1)</f>
        <v>10.6</v>
      </c>
      <c r="D7" s="154"/>
      <c r="E7" s="154"/>
      <c r="F7" s="154"/>
    </row>
    <row r="8" ht="18" customHeight="1" spans="1:7">
      <c r="A8" s="152">
        <v>8</v>
      </c>
      <c r="B8" s="153">
        <f>ROUND(4431853,0)</f>
        <v>4431853</v>
      </c>
      <c r="C8" s="156">
        <f>ROUND(10.6,1)</f>
        <v>10.6</v>
      </c>
      <c r="D8" s="154"/>
      <c r="E8" s="154"/>
      <c r="F8" s="154"/>
    </row>
    <row r="9" ht="18" customHeight="1" spans="1:7">
      <c r="A9" s="152">
        <v>9</v>
      </c>
      <c r="B9" s="153">
        <f>ROUND(5129609,0)</f>
        <v>5129609</v>
      </c>
      <c r="C9" s="156">
        <f>ROUND(11,1)</f>
        <v>11</v>
      </c>
      <c r="D9" s="154"/>
      <c r="E9" s="154"/>
      <c r="F9" s="154"/>
    </row>
    <row r="10" ht="18" customHeight="1" spans="1:7">
      <c r="A10" s="152">
        <v>10</v>
      </c>
      <c r="B10" s="153">
        <f>ROUND(5824115,0)</f>
        <v>5824115</v>
      </c>
      <c r="C10" s="156">
        <f>ROUND(11.5,1)</f>
        <v>11.5</v>
      </c>
      <c r="D10" s="154"/>
      <c r="E10" s="154"/>
      <c r="F10" s="154"/>
    </row>
    <row r="11" spans="1:7">
      <c r="A11" s="152">
        <v>11</v>
      </c>
      <c r="B11" s="153">
        <f>ROUND(6614788,0)</f>
        <v>6614788</v>
      </c>
      <c r="C11" s="156">
        <f>ROUND(11.7,1)</f>
        <v>11.7</v>
      </c>
    </row>
    <row r="12" spans="1:7">
      <c r="A12" s="157">
        <v>12</v>
      </c>
      <c r="B12" s="41">
        <f>ROUND(7665202,0)</f>
        <v>7665202</v>
      </c>
      <c r="C12" s="21">
        <f>ROUND(11.5,1)</f>
        <v>11.5</v>
      </c>
    </row>
    <row r="13" ht="18" customHeight="1" spans="1:7">
      <c r="A13" s="152">
        <v>2017</v>
      </c>
      <c r="B13" s="153"/>
      <c r="C13" s="155"/>
      <c r="D13" s="154"/>
      <c r="E13" s="154"/>
      <c r="F13" s="154"/>
    </row>
    <row r="14" spans="1:7">
      <c r="A14" s="152">
        <v>2</v>
      </c>
      <c r="B14" s="16">
        <f>ROUND(1142507,0)</f>
        <v>1142507</v>
      </c>
      <c r="C14" s="158">
        <f>ROUND(7.5,1)</f>
        <v>7.5</v>
      </c>
    </row>
    <row r="15" spans="1:7">
      <c r="A15" s="15">
        <v>3</v>
      </c>
      <c r="B15" s="16">
        <f>ROUND(1799926,0)</f>
        <v>1799926</v>
      </c>
      <c r="C15" s="21">
        <f>ROUND(7.7,1)</f>
        <v>7.7</v>
      </c>
    </row>
    <row r="16" spans="1:7">
      <c r="A16" s="15">
        <v>4</v>
      </c>
      <c r="B16" s="16">
        <f>ROUND(2404934,0)</f>
        <v>2404934</v>
      </c>
      <c r="C16" s="21">
        <f>ROUND(8.1,1)</f>
        <v>8.1</v>
      </c>
    </row>
    <row r="17" spans="1:256">
      <c r="A17" s="15">
        <v>5</v>
      </c>
      <c r="B17" s="16">
        <f>ROUND(3144236,0)</f>
        <v>3144236</v>
      </c>
      <c r="C17" s="21">
        <f>ROUND(7.5,1)</f>
        <v>7.5</v>
      </c>
    </row>
    <row r="18" spans="1:256">
      <c r="A18" s="15">
        <v>6</v>
      </c>
      <c r="B18" s="16">
        <f>ROUND(4030867,0)</f>
        <v>4030867</v>
      </c>
      <c r="C18" s="21">
        <f>ROUND(8.5,)</f>
        <v>9</v>
      </c>
    </row>
    <row r="19" spans="1:256">
      <c r="A19" s="15">
        <v>7</v>
      </c>
      <c r="B19" s="153">
        <f>ROUND(4819573,0)</f>
        <v>4819573</v>
      </c>
      <c r="C19" s="155">
        <f>ROUND(8.8,1)</f>
        <v>8.8</v>
      </c>
    </row>
    <row r="20" spans="1:256">
      <c r="A20" s="159">
        <v>8</v>
      </c>
      <c r="B20" s="41">
        <f>ROUND(5627416,0)</f>
        <v>5627416</v>
      </c>
      <c r="C20" s="21">
        <f>ROUND(9.1,1)</f>
        <v>9.1</v>
      </c>
    </row>
    <row r="21" spans="1:256">
      <c r="A21" s="159">
        <v>9</v>
      </c>
      <c r="B21" s="41">
        <f>ROUND(6503597,0)</f>
        <v>6503597</v>
      </c>
      <c r="C21" s="155">
        <f>ROUND(9.6,1)</f>
        <v>9.6</v>
      </c>
    </row>
    <row r="22" spans="1:256">
      <c r="A22" s="159">
        <v>10</v>
      </c>
      <c r="B22" s="41">
        <f>ROUND(7316245,0)</f>
        <v>7316245</v>
      </c>
      <c r="C22" s="21">
        <f>ROUND(9.3,1)</f>
        <v>9.3</v>
      </c>
    </row>
    <row r="23" spans="1:256">
      <c r="A23" s="160">
        <v>11</v>
      </c>
      <c r="B23" s="16">
        <f>ROUND(8208997,0)</f>
        <v>8208997</v>
      </c>
      <c r="C23" s="21">
        <f>ROUND(9.1,1)</f>
        <v>9.1</v>
      </c>
    </row>
    <row r="24" spans="1:256">
      <c r="A24" s="160">
        <v>12</v>
      </c>
      <c r="B24" s="16">
        <f>ROUND(8357945,0)</f>
        <v>8357945</v>
      </c>
      <c r="C24" s="21">
        <f>ROUND(8.5,1)</f>
        <v>8.5</v>
      </c>
    </row>
    <row r="25" spans="1:256">
      <c r="A25" s="15">
        <v>2018</v>
      </c>
      <c r="B25" s="16"/>
      <c r="C25" s="21"/>
    </row>
    <row r="26" spans="1:256">
      <c r="A26" s="15">
        <v>2</v>
      </c>
      <c r="B26" s="16">
        <f>ROUND(1129112,0)</f>
        <v>1129112</v>
      </c>
      <c r="C26" s="21">
        <f>ROUND(0.2,1)</f>
        <v>0.2</v>
      </c>
    </row>
    <row r="27" spans="1:256">
      <c r="A27" s="15">
        <v>3</v>
      </c>
      <c r="B27" s="16">
        <f>ROUND(1788963,0)</f>
        <v>1788963</v>
      </c>
      <c r="C27" s="21">
        <f>ROUND(2.9,1)</f>
        <v>2.9</v>
      </c>
    </row>
    <row r="28" spans="1:256">
      <c r="A28" s="15">
        <v>4</v>
      </c>
      <c r="B28" s="41">
        <f>ROUND(2439875,0)</f>
        <v>2439875</v>
      </c>
      <c r="C28" s="21">
        <f>ROUND(3.8,1)</f>
        <v>3.8</v>
      </c>
    </row>
    <row r="29" spans="1:256">
      <c r="A29" s="15">
        <v>5</v>
      </c>
      <c r="B29" s="41">
        <v>3086749</v>
      </c>
      <c r="C29" s="21">
        <v>4.1</v>
      </c>
    </row>
    <row r="30" spans="1:256">
      <c r="A30" s="22">
        <v>6</v>
      </c>
      <c r="B30" s="42">
        <v>3845140</v>
      </c>
      <c r="C30" s="24">
        <v>4.7</v>
      </c>
    </row>
    <row r="31" spans="1:256">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159"/>
      <c r="BG31" s="159"/>
      <c r="BH31" s="159"/>
      <c r="BI31" s="159"/>
      <c r="BJ31" s="159"/>
      <c r="BK31" s="159"/>
      <c r="BL31" s="159"/>
      <c r="BM31" s="159"/>
      <c r="BN31" s="159"/>
      <c r="BO31" s="159"/>
      <c r="BP31" s="159"/>
      <c r="BQ31" s="159"/>
      <c r="BR31" s="159"/>
      <c r="BS31" s="159"/>
      <c r="BT31" s="159"/>
      <c r="BU31" s="159"/>
      <c r="BV31" s="159"/>
      <c r="BW31" s="159"/>
      <c r="BX31" s="159"/>
      <c r="BY31" s="159"/>
      <c r="BZ31" s="159"/>
      <c r="CA31" s="159"/>
      <c r="CB31" s="159"/>
      <c r="CC31" s="159"/>
      <c r="CD31" s="159"/>
      <c r="CE31" s="159"/>
      <c r="CF31" s="159"/>
      <c r="CG31" s="159"/>
      <c r="CH31" s="159"/>
      <c r="CI31" s="159"/>
      <c r="CJ31" s="159"/>
      <c r="CK31" s="159"/>
      <c r="CL31" s="159"/>
      <c r="CM31" s="159"/>
      <c r="CN31" s="159"/>
      <c r="CO31" s="159"/>
      <c r="CP31" s="159"/>
      <c r="CQ31" s="159"/>
      <c r="CR31" s="159"/>
      <c r="CS31" s="159"/>
      <c r="CT31" s="159"/>
      <c r="CU31" s="159"/>
      <c r="CV31" s="159"/>
      <c r="CW31" s="159"/>
      <c r="CX31" s="159"/>
      <c r="CY31" s="159"/>
      <c r="CZ31" s="159"/>
      <c r="DA31" s="159"/>
      <c r="DB31" s="159"/>
      <c r="DC31" s="159"/>
      <c r="DD31" s="159"/>
      <c r="DE31" s="159"/>
      <c r="DF31" s="159"/>
      <c r="DG31" s="159"/>
      <c r="DH31" s="159"/>
      <c r="DI31" s="159"/>
      <c r="DJ31" s="159"/>
      <c r="DK31" s="159"/>
      <c r="DL31" s="159"/>
      <c r="DM31" s="159"/>
      <c r="DN31" s="159"/>
      <c r="DO31" s="159"/>
      <c r="DP31" s="159"/>
      <c r="DQ31" s="159"/>
      <c r="DR31" s="159"/>
      <c r="DS31" s="159"/>
      <c r="DT31" s="159"/>
      <c r="DU31" s="159"/>
      <c r="DV31" s="159"/>
      <c r="DW31" s="159"/>
      <c r="DX31" s="159"/>
      <c r="DY31" s="159"/>
      <c r="DZ31" s="159"/>
      <c r="EA31" s="159"/>
      <c r="EB31" s="159"/>
      <c r="EC31" s="159"/>
      <c r="ED31" s="159"/>
      <c r="EE31" s="159"/>
      <c r="EF31" s="159"/>
      <c r="EG31" s="159"/>
      <c r="EH31" s="159"/>
      <c r="EI31" s="159"/>
      <c r="EJ31" s="159"/>
      <c r="EK31" s="159"/>
      <c r="EL31" s="159"/>
      <c r="EM31" s="159"/>
      <c r="EN31" s="159"/>
      <c r="EO31" s="159"/>
      <c r="EP31" s="159"/>
      <c r="EQ31" s="159"/>
      <c r="ER31" s="159"/>
      <c r="ES31" s="159"/>
      <c r="ET31" s="159"/>
      <c r="EU31" s="159"/>
      <c r="EV31" s="159"/>
      <c r="EW31" s="159"/>
      <c r="EX31" s="159"/>
      <c r="EY31" s="159"/>
      <c r="EZ31" s="159"/>
      <c r="FA31" s="159"/>
      <c r="FB31" s="159"/>
      <c r="FC31" s="159"/>
      <c r="FD31" s="159"/>
      <c r="FE31" s="159"/>
      <c r="FF31" s="159"/>
      <c r="FG31" s="159"/>
      <c r="FH31" s="159"/>
      <c r="FI31" s="159"/>
      <c r="FJ31" s="159"/>
      <c r="FK31" s="159"/>
      <c r="FL31" s="159"/>
      <c r="FM31" s="159"/>
      <c r="FN31" s="159"/>
      <c r="FO31" s="159"/>
      <c r="FP31" s="159"/>
      <c r="FQ31" s="159"/>
      <c r="FR31" s="159"/>
      <c r="FS31" s="159"/>
      <c r="FT31" s="159"/>
      <c r="FU31" s="159"/>
      <c r="FV31" s="159"/>
      <c r="FW31" s="159"/>
      <c r="FX31" s="159"/>
      <c r="FY31" s="159"/>
      <c r="FZ31" s="159"/>
      <c r="GA31" s="159"/>
      <c r="GB31" s="159"/>
      <c r="GC31" s="159"/>
      <c r="GD31" s="159"/>
      <c r="GE31" s="159"/>
      <c r="GF31" s="159"/>
      <c r="GG31" s="159"/>
      <c r="GH31" s="159"/>
      <c r="GI31" s="159"/>
      <c r="GJ31" s="159"/>
      <c r="GK31" s="159"/>
      <c r="GL31" s="159"/>
      <c r="GM31" s="159"/>
      <c r="GN31" s="159"/>
      <c r="GO31" s="159"/>
      <c r="GP31" s="159"/>
      <c r="GQ31" s="159"/>
      <c r="GR31" s="159"/>
      <c r="GS31" s="159"/>
      <c r="GT31" s="159"/>
      <c r="GU31" s="159"/>
      <c r="GV31" s="159"/>
      <c r="GW31" s="159"/>
      <c r="GX31" s="159"/>
      <c r="GY31" s="159"/>
      <c r="GZ31" s="159"/>
      <c r="HA31" s="159"/>
      <c r="HB31" s="159"/>
      <c r="HC31" s="159"/>
      <c r="HD31" s="159"/>
      <c r="HE31" s="159"/>
      <c r="HF31" s="159"/>
      <c r="HG31" s="159"/>
      <c r="HH31" s="159"/>
      <c r="HI31" s="159"/>
      <c r="HJ31" s="159"/>
      <c r="HK31" s="159"/>
      <c r="HL31" s="159"/>
      <c r="HM31" s="159"/>
      <c r="HN31" s="159"/>
      <c r="HO31" s="159"/>
      <c r="HP31" s="159"/>
      <c r="HQ31" s="159"/>
      <c r="HR31" s="159"/>
      <c r="HS31" s="159"/>
      <c r="HT31" s="159"/>
      <c r="HU31" s="159"/>
      <c r="HV31" s="159"/>
      <c r="HW31" s="159"/>
      <c r="HX31" s="159"/>
      <c r="HY31" s="159"/>
      <c r="HZ31" s="159"/>
      <c r="IA31" s="159"/>
      <c r="IB31" s="159"/>
      <c r="IC31" s="159"/>
      <c r="ID31" s="159"/>
      <c r="IE31" s="159"/>
      <c r="IF31" s="159"/>
      <c r="IG31" s="159"/>
      <c r="IH31" s="159"/>
      <c r="II31" s="159"/>
      <c r="IJ31" s="159"/>
      <c r="IK31" s="159"/>
      <c r="IL31" s="159"/>
      <c r="IM31" s="159"/>
      <c r="IN31" s="159"/>
      <c r="IO31" s="159"/>
      <c r="IP31" s="159"/>
      <c r="IQ31" s="159"/>
      <c r="IR31" s="159"/>
      <c r="IS31" s="159"/>
      <c r="IT31" s="159"/>
      <c r="IU31" s="159"/>
      <c r="IV31" s="159"/>
    </row>
  </sheetData>
  <mergeCells count="4">
    <mergeCell ref="A1:F1"/>
    <mergeCell ref="C2:F2"/>
    <mergeCell ref="B3:C3"/>
    <mergeCell ref="A3:A4"/>
  </mergeCells>
  <pageMargins left="0.75" right="0.75" top="1" bottom="1" header="0.5" footer="0.5"/>
  <pageSetup paperSize="9" orientation="portrait"/>
  <headerFooter alignWithMargins="0" scaleWithDoc="0"/>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G22" sqref="G22"/>
    </sheetView>
  </sheetViews>
  <sheetFormatPr defaultColWidth="9" defaultRowHeight="14.25" outlineLevelCol="4"/>
  <cols>
    <col min="2" max="2" width="12.375" customWidth="1"/>
    <col min="3" max="3" width="10.375" customWidth="1"/>
    <col min="4" max="4" width="14.125" customWidth="1"/>
    <col min="5" max="5" width="10.125" customWidth="1"/>
  </cols>
  <sheetData>
    <row r="1" ht="28.5" customHeight="1" spans="1:5">
      <c r="A1" s="84" t="s">
        <v>11</v>
      </c>
      <c r="B1" s="84"/>
      <c r="C1" s="84"/>
      <c r="D1" s="84"/>
      <c r="E1" s="84"/>
    </row>
    <row r="2" ht="15" spans="1:5">
      <c r="A2" s="86"/>
      <c r="B2" s="86"/>
      <c r="C2" s="86"/>
      <c r="D2" s="86"/>
      <c r="E2" s="88" t="s">
        <v>52</v>
      </c>
    </row>
    <row r="3" ht="18" customHeight="1" spans="1:5">
      <c r="A3" s="89" t="s">
        <v>581</v>
      </c>
      <c r="B3" s="90" t="s">
        <v>582</v>
      </c>
      <c r="C3" s="90"/>
      <c r="D3" s="90" t="s">
        <v>583</v>
      </c>
      <c r="E3" s="138"/>
    </row>
    <row r="4" ht="18" customHeight="1" spans="1:5">
      <c r="A4" s="93"/>
      <c r="B4" s="94" t="s">
        <v>584</v>
      </c>
      <c r="C4" s="94" t="s">
        <v>585</v>
      </c>
      <c r="D4" s="94" t="s">
        <v>584</v>
      </c>
      <c r="E4" s="139" t="s">
        <v>585</v>
      </c>
    </row>
    <row r="5" spans="1:5">
      <c r="A5" s="97" t="s">
        <v>586</v>
      </c>
      <c r="B5" s="98"/>
      <c r="C5" s="98"/>
      <c r="D5" s="98"/>
      <c r="E5" s="140"/>
    </row>
    <row r="6" spans="1:5">
      <c r="A6" s="97" t="s">
        <v>587</v>
      </c>
      <c r="B6" s="101">
        <v>88.0656</v>
      </c>
      <c r="C6" s="141">
        <v>5.8</v>
      </c>
      <c r="D6" s="101">
        <f>(ROUND(1142507,0))/10000</f>
        <v>114.2507</v>
      </c>
      <c r="E6" s="142">
        <f>ROUND(7.5,1)</f>
        <v>7.5</v>
      </c>
    </row>
    <row r="7" spans="1:5">
      <c r="A7" s="97" t="s">
        <v>588</v>
      </c>
      <c r="B7" s="101">
        <v>139.582</v>
      </c>
      <c r="C7" s="141">
        <v>8.8</v>
      </c>
      <c r="D7" s="101">
        <f>(ROUND(1799926,0))/10000</f>
        <v>179.9926</v>
      </c>
      <c r="E7" s="142">
        <f>ROUND(7.7,1)</f>
        <v>7.7</v>
      </c>
    </row>
    <row r="8" spans="1:5">
      <c r="A8" s="97" t="s">
        <v>589</v>
      </c>
      <c r="B8" s="101">
        <v>185.228</v>
      </c>
      <c r="C8" s="141">
        <v>9.4</v>
      </c>
      <c r="D8" s="101">
        <f>(ROUND(2404934,0))/10000</f>
        <v>240.4934</v>
      </c>
      <c r="E8" s="142">
        <f>ROUND(8.1,1)</f>
        <v>8.1</v>
      </c>
    </row>
    <row r="9" spans="1:5">
      <c r="A9" s="97" t="s">
        <v>590</v>
      </c>
      <c r="B9" s="101">
        <v>242.3485</v>
      </c>
      <c r="C9" s="141">
        <v>10.2</v>
      </c>
      <c r="D9" s="101">
        <f>(ROUND(3144236,0))/10000</f>
        <v>314.4236</v>
      </c>
      <c r="E9" s="142">
        <f>ROUND(7.5,1)</f>
        <v>7.5</v>
      </c>
    </row>
    <row r="10" spans="1:5">
      <c r="A10" s="97" t="s">
        <v>591</v>
      </c>
      <c r="B10" s="104">
        <v>314.3799</v>
      </c>
      <c r="C10" s="141">
        <v>10.5</v>
      </c>
      <c r="D10" s="105">
        <f>(ROUND(4030867,0))/10000</f>
        <v>403.0867</v>
      </c>
      <c r="E10" s="106">
        <f>ROUND(8.5,)</f>
        <v>9</v>
      </c>
    </row>
    <row r="11" spans="1:5">
      <c r="A11" s="97" t="s">
        <v>592</v>
      </c>
      <c r="B11" s="104">
        <v>378.8981</v>
      </c>
      <c r="C11" s="141">
        <v>10.6</v>
      </c>
      <c r="D11" s="105">
        <f>(ROUND(4819573,0))/10000</f>
        <v>481.9573</v>
      </c>
      <c r="E11" s="142">
        <f>ROUND(8.8,1)</f>
        <v>8.8</v>
      </c>
    </row>
    <row r="12" spans="1:5">
      <c r="A12" s="97" t="s">
        <v>593</v>
      </c>
      <c r="B12" s="104">
        <v>443.1853</v>
      </c>
      <c r="C12" s="141">
        <v>10.6</v>
      </c>
      <c r="D12" s="105">
        <f>(ROUND(5627416,0))/10000</f>
        <v>562.7416</v>
      </c>
      <c r="E12" s="142">
        <f>ROUND(9.1,1)</f>
        <v>9.1</v>
      </c>
    </row>
    <row r="13" spans="1:5">
      <c r="A13" s="97" t="s">
        <v>594</v>
      </c>
      <c r="B13" s="104">
        <v>512.9609</v>
      </c>
      <c r="C13" s="107">
        <v>11</v>
      </c>
      <c r="D13" s="105">
        <f>(ROUND(6503597,0))/10000</f>
        <v>650.3597</v>
      </c>
      <c r="E13" s="142">
        <f>ROUND(9.6,1)</f>
        <v>9.6</v>
      </c>
    </row>
    <row r="14" spans="1:5">
      <c r="A14" s="97" t="s">
        <v>595</v>
      </c>
      <c r="B14" s="101">
        <v>582.4115</v>
      </c>
      <c r="C14" s="141">
        <v>11.5</v>
      </c>
      <c r="D14" s="101">
        <f>(ROUND(7316245,0))/10000</f>
        <v>731.6245</v>
      </c>
      <c r="E14" s="142">
        <f>ROUND(9.3,1)</f>
        <v>9.3</v>
      </c>
    </row>
    <row r="15" spans="1:5">
      <c r="A15" s="97" t="s">
        <v>596</v>
      </c>
      <c r="B15" s="101">
        <v>661.4788</v>
      </c>
      <c r="C15" s="141">
        <v>11.7</v>
      </c>
      <c r="D15" s="101">
        <f>(ROUND(8208997,0))/10000</f>
        <v>820.8997</v>
      </c>
      <c r="E15" s="142">
        <f>ROUND(9.1,1)</f>
        <v>9.1</v>
      </c>
    </row>
    <row r="16" spans="1:5">
      <c r="A16" s="97" t="s">
        <v>93</v>
      </c>
      <c r="B16" s="101">
        <v>766.5202</v>
      </c>
      <c r="C16" s="141">
        <v>11.5</v>
      </c>
      <c r="D16" s="101">
        <f>(ROUND(8357945,0))/10000</f>
        <v>835.7945</v>
      </c>
      <c r="E16" s="142">
        <f>ROUND(8.5,1)</f>
        <v>8.5</v>
      </c>
    </row>
    <row r="17" ht="18" customHeight="1" spans="1:5">
      <c r="A17" s="93" t="s">
        <v>581</v>
      </c>
      <c r="B17" s="94" t="s">
        <v>50</v>
      </c>
      <c r="C17" s="94"/>
      <c r="D17" s="94" t="s">
        <v>597</v>
      </c>
      <c r="E17" s="139"/>
    </row>
    <row r="18" ht="18" customHeight="1" spans="1:5">
      <c r="A18" s="93"/>
      <c r="B18" s="94" t="s">
        <v>584</v>
      </c>
      <c r="C18" s="94" t="s">
        <v>585</v>
      </c>
      <c r="D18" s="94" t="s">
        <v>584</v>
      </c>
      <c r="E18" s="139" t="s">
        <v>585</v>
      </c>
    </row>
    <row r="19" spans="1:5">
      <c r="A19" s="110" t="s">
        <v>586</v>
      </c>
      <c r="B19" s="134"/>
      <c r="C19" s="134"/>
      <c r="D19" s="134"/>
      <c r="E19" s="143"/>
    </row>
    <row r="20" spans="1:5">
      <c r="A20" s="110" t="s">
        <v>587</v>
      </c>
      <c r="B20" s="114">
        <f>(ROUND(1129112,0))/10000</f>
        <v>112.9112</v>
      </c>
      <c r="C20" s="115">
        <f>ROUND(0.2,1)</f>
        <v>0.2</v>
      </c>
      <c r="D20" s="114">
        <v>108.21</v>
      </c>
      <c r="E20" s="130">
        <v>3.7</v>
      </c>
    </row>
    <row r="21" spans="1:5">
      <c r="A21" s="110" t="s">
        <v>588</v>
      </c>
      <c r="B21" s="114">
        <f>(ROUND(1788963,0))/10000</f>
        <v>178.8963</v>
      </c>
      <c r="C21" s="115">
        <f>ROUND(2.9,1)</f>
        <v>2.9</v>
      </c>
      <c r="D21" s="114">
        <v>179.84</v>
      </c>
      <c r="E21" s="130">
        <v>7</v>
      </c>
    </row>
    <row r="22" spans="1:5">
      <c r="A22" s="110" t="s">
        <v>589</v>
      </c>
      <c r="B22" s="114">
        <f>(ROUND(2439875,0))/10000</f>
        <v>243.9875</v>
      </c>
      <c r="C22" s="115">
        <f>ROUND(3.8,1)</f>
        <v>3.8</v>
      </c>
      <c r="D22" s="114">
        <v>236.48</v>
      </c>
      <c r="E22" s="130">
        <v>2.7</v>
      </c>
    </row>
    <row r="23" spans="1:5">
      <c r="A23" s="110" t="s">
        <v>590</v>
      </c>
      <c r="B23" s="114">
        <v>308.6749</v>
      </c>
      <c r="C23" s="115">
        <v>4.1</v>
      </c>
      <c r="D23" s="114">
        <v>295.38</v>
      </c>
      <c r="E23" s="130">
        <v>0.9</v>
      </c>
    </row>
    <row r="24" spans="1:5">
      <c r="A24" s="110" t="s">
        <v>591</v>
      </c>
      <c r="B24" s="114">
        <v>384.514</v>
      </c>
      <c r="C24" s="115">
        <v>4.7</v>
      </c>
      <c r="D24" s="114">
        <v>360.84</v>
      </c>
      <c r="E24" s="130">
        <v>0.2</v>
      </c>
    </row>
    <row r="25" spans="1:5">
      <c r="A25" s="110" t="s">
        <v>592</v>
      </c>
      <c r="B25" s="114">
        <v>452.674</v>
      </c>
      <c r="C25" s="115">
        <v>3.7</v>
      </c>
      <c r="D25" s="114">
        <v>414.54</v>
      </c>
      <c r="E25" s="130">
        <v>-2.5</v>
      </c>
    </row>
    <row r="26" spans="1:5">
      <c r="A26" s="110" t="s">
        <v>593</v>
      </c>
      <c r="B26" s="114">
        <v>518.2177</v>
      </c>
      <c r="C26" s="115">
        <v>2.2</v>
      </c>
      <c r="D26" s="114">
        <v>466.56</v>
      </c>
      <c r="E26" s="130">
        <v>-4.5</v>
      </c>
    </row>
    <row r="27" spans="1:5">
      <c r="A27" s="110" t="s">
        <v>594</v>
      </c>
      <c r="B27" s="114">
        <v>593.4615</v>
      </c>
      <c r="C27" s="115">
        <v>4.1</v>
      </c>
      <c r="D27" s="114">
        <v>535.03</v>
      </c>
      <c r="E27" s="113">
        <v>-2.4</v>
      </c>
    </row>
    <row r="28" spans="1:5">
      <c r="A28" s="110" t="s">
        <v>595</v>
      </c>
      <c r="B28" s="114">
        <v>635.9812</v>
      </c>
      <c r="C28" s="115">
        <v>4.3</v>
      </c>
      <c r="D28" s="114">
        <v>585.78</v>
      </c>
      <c r="E28" s="113">
        <v>-2</v>
      </c>
    </row>
    <row r="29" spans="1:5">
      <c r="A29" s="110" t="s">
        <v>596</v>
      </c>
      <c r="B29" s="114">
        <v>705.7427</v>
      </c>
      <c r="C29" s="115">
        <v>4.8</v>
      </c>
      <c r="D29" s="114">
        <v>651.72</v>
      </c>
      <c r="E29" s="113">
        <v>-1.2</v>
      </c>
    </row>
    <row r="30" ht="15" spans="1:5">
      <c r="A30" s="117" t="s">
        <v>93</v>
      </c>
      <c r="B30" s="118">
        <v>769.97</v>
      </c>
      <c r="C30" s="119">
        <v>5</v>
      </c>
      <c r="D30" s="118">
        <v>727.6593</v>
      </c>
      <c r="E30" s="121">
        <v>-0.3</v>
      </c>
    </row>
    <row r="31" spans="1:5">
      <c r="A31" s="144"/>
      <c r="B31" s="144"/>
      <c r="C31" s="144"/>
      <c r="D31" s="144"/>
      <c r="E31" s="144"/>
    </row>
  </sheetData>
  <mergeCells count="7">
    <mergeCell ref="A1:E1"/>
    <mergeCell ref="B3:C3"/>
    <mergeCell ref="D3:E3"/>
    <mergeCell ref="B17:C17"/>
    <mergeCell ref="D17:E17"/>
    <mergeCell ref="A3:A4"/>
    <mergeCell ref="A17:A18"/>
  </mergeCells>
  <pageMargins left="0.75" right="0.75" top="1" bottom="1" header="0.51" footer="0.51"/>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I23" sqref="I23"/>
    </sheetView>
  </sheetViews>
  <sheetFormatPr defaultColWidth="9" defaultRowHeight="14.25" outlineLevelCol="4"/>
  <cols>
    <col min="2" max="2" width="12.375" customWidth="1"/>
    <col min="3" max="3" width="10.375" customWidth="1"/>
    <col min="4" max="4" width="14.125" customWidth="1"/>
    <col min="5" max="5" width="10.125" customWidth="1"/>
  </cols>
  <sheetData>
    <row r="1" ht="28.5" customHeight="1" spans="1:5">
      <c r="A1" s="84" t="s">
        <v>12</v>
      </c>
      <c r="B1" s="84"/>
      <c r="C1" s="85"/>
      <c r="D1" s="84"/>
      <c r="E1" s="85"/>
    </row>
    <row r="2" ht="15" spans="1:5">
      <c r="A2" s="86"/>
      <c r="B2" s="86"/>
      <c r="C2" s="87"/>
      <c r="D2" s="86"/>
      <c r="E2" s="131" t="s">
        <v>52</v>
      </c>
    </row>
    <row r="3" ht="18" customHeight="1" spans="1:5">
      <c r="A3" s="89" t="s">
        <v>581</v>
      </c>
      <c r="B3" s="90" t="s">
        <v>582</v>
      </c>
      <c r="C3" s="91"/>
      <c r="D3" s="90" t="s">
        <v>583</v>
      </c>
      <c r="E3" s="92"/>
    </row>
    <row r="4" ht="18" customHeight="1" spans="1:5">
      <c r="A4" s="93"/>
      <c r="B4" s="94" t="s">
        <v>584</v>
      </c>
      <c r="C4" s="108" t="s">
        <v>585</v>
      </c>
      <c r="D4" s="94" t="s">
        <v>584</v>
      </c>
      <c r="E4" s="109" t="s">
        <v>585</v>
      </c>
    </row>
    <row r="5" spans="1:5">
      <c r="A5" s="97" t="s">
        <v>586</v>
      </c>
      <c r="B5" s="98"/>
      <c r="C5" s="99"/>
      <c r="D5" s="98"/>
      <c r="E5" s="100"/>
    </row>
    <row r="6" spans="1:5">
      <c r="A6" s="97" t="s">
        <v>587</v>
      </c>
      <c r="B6" s="101">
        <v>75.6403</v>
      </c>
      <c r="C6" s="102">
        <v>11.1</v>
      </c>
      <c r="D6" s="101">
        <f>(ROUND(796488,0))/10000</f>
        <v>79.6488</v>
      </c>
      <c r="E6" s="103">
        <f>ROUND(5.3,1)</f>
        <v>5.3</v>
      </c>
    </row>
    <row r="7" spans="1:5">
      <c r="A7" s="97" t="s">
        <v>588</v>
      </c>
      <c r="B7" s="101">
        <v>146.0309</v>
      </c>
      <c r="C7" s="102">
        <v>6</v>
      </c>
      <c r="D7" s="101">
        <f>(ROUND(1575746,0))/10000</f>
        <v>157.5746</v>
      </c>
      <c r="E7" s="103">
        <f>ROUND(7.9,1)</f>
        <v>7.9</v>
      </c>
    </row>
    <row r="8" spans="1:5">
      <c r="A8" s="97" t="s">
        <v>589</v>
      </c>
      <c r="B8" s="101">
        <v>207.1341</v>
      </c>
      <c r="C8" s="102">
        <v>5</v>
      </c>
      <c r="D8" s="101">
        <f>(ROUND(2056743,0))/10000</f>
        <v>205.6743</v>
      </c>
      <c r="E8" s="103">
        <f>ROUND(-0.7,1)</f>
        <v>-0.7</v>
      </c>
    </row>
    <row r="9" spans="1:5">
      <c r="A9" s="97" t="s">
        <v>590</v>
      </c>
      <c r="B9" s="101">
        <v>307.9283</v>
      </c>
      <c r="C9" s="102">
        <v>7.2</v>
      </c>
      <c r="D9" s="101">
        <f>(ROUND(2889968,0))/10000</f>
        <v>288.9968</v>
      </c>
      <c r="E9" s="103">
        <f>ROUND(-6.1,1)</f>
        <v>-6.1</v>
      </c>
    </row>
    <row r="10" spans="1:5">
      <c r="A10" s="97" t="s">
        <v>591</v>
      </c>
      <c r="B10" s="104">
        <v>509.6563</v>
      </c>
      <c r="C10" s="102">
        <v>15.1</v>
      </c>
      <c r="D10" s="105">
        <f>(ROUND(5604382,0))/10000</f>
        <v>560.4382</v>
      </c>
      <c r="E10" s="106">
        <f>ROUND(10,1)</f>
        <v>10</v>
      </c>
    </row>
    <row r="11" spans="1:5">
      <c r="A11" s="97" t="s">
        <v>592</v>
      </c>
      <c r="B11" s="104">
        <v>626.3505</v>
      </c>
      <c r="C11" s="102">
        <v>16.3</v>
      </c>
      <c r="D11" s="105">
        <f>(ROUND(6864511,0))/10000</f>
        <v>686.4511</v>
      </c>
      <c r="E11" s="103">
        <f>ROUND(9.6,1)</f>
        <v>9.6</v>
      </c>
    </row>
    <row r="12" spans="1:5">
      <c r="A12" s="97" t="s">
        <v>593</v>
      </c>
      <c r="B12" s="104">
        <v>737.2203</v>
      </c>
      <c r="C12" s="102">
        <v>24.8</v>
      </c>
      <c r="D12" s="105">
        <f>(ROUND(8096944,0))/10000</f>
        <v>809.6944</v>
      </c>
      <c r="E12" s="103">
        <f>ROUND(9.8,1)</f>
        <v>9.8</v>
      </c>
    </row>
    <row r="13" spans="1:5">
      <c r="A13" s="97" t="s">
        <v>594</v>
      </c>
      <c r="B13" s="104">
        <v>871.7492</v>
      </c>
      <c r="C13" s="107">
        <v>23.5</v>
      </c>
      <c r="D13" s="105">
        <f>(ROUND(9772404,0))/10000</f>
        <v>977.2404</v>
      </c>
      <c r="E13" s="103">
        <f>ROUND(12.1010951314896,1)</f>
        <v>12.1</v>
      </c>
    </row>
    <row r="14" spans="1:5">
      <c r="A14" s="97" t="s">
        <v>595</v>
      </c>
      <c r="B14" s="101">
        <v>1021.5452</v>
      </c>
      <c r="C14" s="102">
        <v>22.6</v>
      </c>
      <c r="D14" s="101">
        <f>(ROUND(11367531,0))/10000</f>
        <v>1136.7531</v>
      </c>
      <c r="E14" s="103">
        <f>ROUND(11.3,1)</f>
        <v>11.3</v>
      </c>
    </row>
    <row r="15" spans="1:5">
      <c r="A15" s="97" t="s">
        <v>596</v>
      </c>
      <c r="B15" s="101">
        <v>1200.0485</v>
      </c>
      <c r="C15" s="102">
        <v>23.9</v>
      </c>
      <c r="D15" s="101">
        <f>(ROUND(13376063,0))/10000</f>
        <v>1337.6063</v>
      </c>
      <c r="E15" s="103">
        <f>ROUND(11.5,1)</f>
        <v>11.5</v>
      </c>
    </row>
    <row r="16" spans="1:5">
      <c r="A16" s="97" t="s">
        <v>93</v>
      </c>
      <c r="B16" s="101">
        <v>1531.5995</v>
      </c>
      <c r="C16" s="102">
        <v>16.6</v>
      </c>
      <c r="D16" s="101">
        <f>(ROUND(16415341,0))/10000</f>
        <v>1641.5341</v>
      </c>
      <c r="E16" s="103">
        <f>ROUND(7.2,1)</f>
        <v>7.2</v>
      </c>
    </row>
    <row r="17" ht="18" customHeight="1" spans="1:5">
      <c r="A17" s="93" t="s">
        <v>581</v>
      </c>
      <c r="B17" s="94" t="s">
        <v>50</v>
      </c>
      <c r="C17" s="108"/>
      <c r="D17" s="94" t="s">
        <v>597</v>
      </c>
      <c r="E17" s="109"/>
    </row>
    <row r="18" ht="18" customHeight="1" spans="1:5">
      <c r="A18" s="93"/>
      <c r="B18" s="94" t="s">
        <v>584</v>
      </c>
      <c r="C18" s="108" t="s">
        <v>585</v>
      </c>
      <c r="D18" s="94" t="s">
        <v>584</v>
      </c>
      <c r="E18" s="109" t="s">
        <v>585</v>
      </c>
    </row>
    <row r="19" spans="1:5">
      <c r="A19" s="110" t="s">
        <v>586</v>
      </c>
      <c r="B19" s="134"/>
      <c r="C19" s="135"/>
      <c r="D19" s="134"/>
      <c r="E19" s="136"/>
    </row>
    <row r="20" spans="1:5">
      <c r="A20" s="110" t="s">
        <v>587</v>
      </c>
      <c r="B20" s="114">
        <v>84.4761</v>
      </c>
      <c r="C20" s="115">
        <v>8.8</v>
      </c>
      <c r="D20" s="114"/>
      <c r="E20" s="130">
        <v>16.1</v>
      </c>
    </row>
    <row r="21" spans="1:5">
      <c r="A21" s="110" t="s">
        <v>588</v>
      </c>
      <c r="B21" s="114">
        <v>202.0022</v>
      </c>
      <c r="C21" s="115">
        <v>31.6</v>
      </c>
      <c r="D21" s="114"/>
      <c r="E21" s="130">
        <v>17.6</v>
      </c>
    </row>
    <row r="22" spans="1:5">
      <c r="A22" s="110" t="s">
        <v>589</v>
      </c>
      <c r="B22" s="114">
        <v>263.9275</v>
      </c>
      <c r="C22" s="115">
        <v>31</v>
      </c>
      <c r="D22" s="114"/>
      <c r="E22" s="130">
        <v>16.7</v>
      </c>
    </row>
    <row r="23" spans="1:5">
      <c r="A23" s="110" t="s">
        <v>590</v>
      </c>
      <c r="B23" s="114">
        <v>339.1968</v>
      </c>
      <c r="C23" s="115">
        <v>19.6</v>
      </c>
      <c r="D23" s="114"/>
      <c r="E23" s="130">
        <v>16</v>
      </c>
    </row>
    <row r="24" spans="1:5">
      <c r="A24" s="110" t="s">
        <v>591</v>
      </c>
      <c r="B24" s="114">
        <v>551.5829</v>
      </c>
      <c r="C24" s="115">
        <v>13.6</v>
      </c>
      <c r="D24" s="114"/>
      <c r="E24" s="130">
        <v>1.9</v>
      </c>
    </row>
    <row r="25" spans="1:5">
      <c r="A25" s="110" t="s">
        <v>592</v>
      </c>
      <c r="B25" s="114">
        <v>617.6436</v>
      </c>
      <c r="C25" s="115">
        <v>8.1</v>
      </c>
      <c r="D25" s="114"/>
      <c r="E25" s="130">
        <v>4.1</v>
      </c>
    </row>
    <row r="26" spans="1:5">
      <c r="A26" s="110" t="s">
        <v>593</v>
      </c>
      <c r="B26" s="114">
        <v>691.7895</v>
      </c>
      <c r="C26" s="115">
        <v>6.8</v>
      </c>
      <c r="D26" s="114"/>
      <c r="E26" s="130">
        <v>3.1</v>
      </c>
    </row>
    <row r="27" spans="1:5">
      <c r="A27" s="110" t="s">
        <v>594</v>
      </c>
      <c r="B27" s="114">
        <v>822.5954</v>
      </c>
      <c r="C27" s="115">
        <v>10.3</v>
      </c>
      <c r="D27" s="114"/>
      <c r="E27" s="113">
        <v>4.9</v>
      </c>
    </row>
    <row r="28" spans="1:5">
      <c r="A28" s="110" t="s">
        <v>595</v>
      </c>
      <c r="B28" s="114">
        <v>934.2435</v>
      </c>
      <c r="C28" s="115">
        <v>11.3</v>
      </c>
      <c r="D28" s="114"/>
      <c r="E28" s="113">
        <v>4.4</v>
      </c>
    </row>
    <row r="29" spans="1:5">
      <c r="A29" s="110" t="s">
        <v>596</v>
      </c>
      <c r="B29" s="114">
        <v>1085.1949</v>
      </c>
      <c r="C29" s="115">
        <v>13.7</v>
      </c>
      <c r="D29" s="114"/>
      <c r="E29" s="113">
        <v>2.5</v>
      </c>
    </row>
    <row r="30" ht="15" spans="1:5">
      <c r="A30" s="117" t="s">
        <v>93</v>
      </c>
      <c r="B30" s="118">
        <v>1260.1176</v>
      </c>
      <c r="C30" s="119">
        <v>12.8</v>
      </c>
      <c r="D30" s="118"/>
      <c r="E30" s="121">
        <v>-2.3</v>
      </c>
    </row>
    <row r="31" spans="1:5">
      <c r="A31" s="137"/>
      <c r="B31" s="137"/>
      <c r="C31" s="137"/>
      <c r="D31" s="137"/>
      <c r="E31" s="137"/>
    </row>
  </sheetData>
  <mergeCells count="7">
    <mergeCell ref="A1:E1"/>
    <mergeCell ref="B3:C3"/>
    <mergeCell ref="D3:E3"/>
    <mergeCell ref="B17:C17"/>
    <mergeCell ref="D17:E17"/>
    <mergeCell ref="A3:A4"/>
    <mergeCell ref="A17:A18"/>
  </mergeCells>
  <pageMargins left="0.75" right="0.75" top="1" bottom="1" header="0.51" footer="0.51"/>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workbookViewId="0">
      <selection activeCell="G10" sqref="G10"/>
    </sheetView>
  </sheetViews>
  <sheetFormatPr defaultColWidth="9" defaultRowHeight="14.25" outlineLevelCol="4"/>
  <cols>
    <col min="2" max="2" width="12.375" customWidth="1"/>
    <col min="3" max="3" width="10.375" customWidth="1"/>
    <col min="4" max="4" width="14.125" customWidth="1"/>
    <col min="5" max="5" width="10.125" customWidth="1"/>
  </cols>
  <sheetData>
    <row r="1" ht="28.5" customHeight="1" spans="1:5">
      <c r="A1" s="84" t="s">
        <v>16</v>
      </c>
      <c r="B1" s="84"/>
      <c r="C1" s="85"/>
      <c r="D1" s="84"/>
      <c r="E1" s="85"/>
    </row>
    <row r="2" ht="15" spans="1:5">
      <c r="A2" s="86"/>
      <c r="B2" s="86"/>
      <c r="C2" s="87"/>
      <c r="D2" s="86"/>
      <c r="E2" s="131" t="s">
        <v>52</v>
      </c>
    </row>
    <row r="3" ht="18" customHeight="1" spans="1:5">
      <c r="A3" s="89" t="s">
        <v>581</v>
      </c>
      <c r="B3" s="90" t="s">
        <v>582</v>
      </c>
      <c r="C3" s="91"/>
      <c r="D3" s="90" t="s">
        <v>583</v>
      </c>
      <c r="E3" s="92"/>
    </row>
    <row r="4" ht="18" customHeight="1" spans="1:5">
      <c r="A4" s="93"/>
      <c r="B4" s="94" t="s">
        <v>584</v>
      </c>
      <c r="C4" s="108" t="s">
        <v>585</v>
      </c>
      <c r="D4" s="94" t="s">
        <v>584</v>
      </c>
      <c r="E4" s="109" t="s">
        <v>585</v>
      </c>
    </row>
    <row r="5" spans="1:5">
      <c r="A5" s="97" t="s">
        <v>586</v>
      </c>
      <c r="B5" s="98"/>
      <c r="C5" s="99"/>
      <c r="D5" s="98"/>
      <c r="E5" s="100"/>
    </row>
    <row r="6" spans="1:5">
      <c r="A6" s="97" t="s">
        <v>587</v>
      </c>
      <c r="B6" s="101">
        <v>223.3322</v>
      </c>
      <c r="C6" s="102">
        <v>9</v>
      </c>
      <c r="D6" s="101">
        <v>252.0522</v>
      </c>
      <c r="E6" s="103">
        <v>12</v>
      </c>
    </row>
    <row r="7" spans="1:5">
      <c r="A7" s="97" t="s">
        <v>588</v>
      </c>
      <c r="B7" s="101">
        <v>331.636</v>
      </c>
      <c r="C7" s="102">
        <v>9</v>
      </c>
      <c r="D7" s="101">
        <v>375.5066</v>
      </c>
      <c r="E7" s="103">
        <v>12.1</v>
      </c>
    </row>
    <row r="8" spans="1:5">
      <c r="A8" s="97" t="s">
        <v>589</v>
      </c>
      <c r="B8" s="101">
        <v>440.1999</v>
      </c>
      <c r="C8" s="102">
        <v>8.9</v>
      </c>
      <c r="D8" s="101">
        <v>496.8495</v>
      </c>
      <c r="E8" s="103">
        <v>11.8</v>
      </c>
    </row>
    <row r="9" spans="1:5">
      <c r="A9" s="97" t="s">
        <v>590</v>
      </c>
      <c r="B9" s="101">
        <v>557.7986</v>
      </c>
      <c r="C9" s="102">
        <v>8.9</v>
      </c>
      <c r="D9" s="101">
        <v>624.7711</v>
      </c>
      <c r="E9" s="103">
        <v>11.5</v>
      </c>
    </row>
    <row r="10" spans="1:5">
      <c r="A10" s="97" t="s">
        <v>591</v>
      </c>
      <c r="B10" s="104">
        <v>676.0206</v>
      </c>
      <c r="C10" s="102">
        <v>8.8</v>
      </c>
      <c r="D10" s="105">
        <v>754.3984</v>
      </c>
      <c r="E10" s="106">
        <v>11.1</v>
      </c>
    </row>
    <row r="11" spans="1:5">
      <c r="A11" s="97" t="s">
        <v>592</v>
      </c>
      <c r="B11" s="104">
        <v>797.589</v>
      </c>
      <c r="C11" s="102">
        <v>9</v>
      </c>
      <c r="D11" s="105">
        <v>886.5132</v>
      </c>
      <c r="E11" s="103">
        <v>10.8</v>
      </c>
    </row>
    <row r="12" spans="1:5">
      <c r="A12" s="97" t="s">
        <v>593</v>
      </c>
      <c r="B12" s="104">
        <v>919.3703</v>
      </c>
      <c r="C12" s="102">
        <v>8.9</v>
      </c>
      <c r="D12" s="105">
        <v>1016.5674</v>
      </c>
      <c r="E12" s="103">
        <v>10.2</v>
      </c>
    </row>
    <row r="13" spans="1:5">
      <c r="A13" s="97" t="s">
        <v>594</v>
      </c>
      <c r="B13" s="104">
        <v>1045.7008</v>
      </c>
      <c r="C13" s="107">
        <v>9.3</v>
      </c>
      <c r="D13" s="105">
        <v>1155.8877</v>
      </c>
      <c r="E13" s="103">
        <v>10.2</v>
      </c>
    </row>
    <row r="14" spans="1:5">
      <c r="A14" s="97" t="s">
        <v>595</v>
      </c>
      <c r="B14" s="101">
        <v>1178.216</v>
      </c>
      <c r="C14" s="102">
        <v>9.5</v>
      </c>
      <c r="D14" s="101">
        <v>1296.2204</v>
      </c>
      <c r="E14" s="103">
        <v>10.2</v>
      </c>
    </row>
    <row r="15" spans="1:5">
      <c r="A15" s="97" t="s">
        <v>596</v>
      </c>
      <c r="B15" s="101">
        <v>1302.5842</v>
      </c>
      <c r="C15" s="102">
        <v>9.4</v>
      </c>
      <c r="D15" s="101">
        <v>1433.9245</v>
      </c>
      <c r="E15" s="103">
        <v>10.2</v>
      </c>
    </row>
    <row r="16" spans="1:5">
      <c r="A16" s="97" t="s">
        <v>93</v>
      </c>
      <c r="B16" s="101">
        <v>1432.957</v>
      </c>
      <c r="C16" s="102">
        <v>9.5</v>
      </c>
      <c r="D16" s="101">
        <v>1578.0802</v>
      </c>
      <c r="E16" s="103">
        <v>10.1</v>
      </c>
    </row>
    <row r="17" ht="18" customHeight="1" spans="1:5">
      <c r="A17" s="93" t="s">
        <v>581</v>
      </c>
      <c r="B17" s="94" t="s">
        <v>50</v>
      </c>
      <c r="C17" s="108"/>
      <c r="D17" s="94" t="s">
        <v>597</v>
      </c>
      <c r="E17" s="109"/>
    </row>
    <row r="18" ht="18" customHeight="1" spans="1:5">
      <c r="A18" s="93"/>
      <c r="B18" s="94" t="s">
        <v>584</v>
      </c>
      <c r="C18" s="108" t="s">
        <v>585</v>
      </c>
      <c r="D18" s="94" t="s">
        <v>584</v>
      </c>
      <c r="E18" s="109" t="s">
        <v>585</v>
      </c>
    </row>
    <row r="19" spans="1:5">
      <c r="A19" s="110" t="s">
        <v>586</v>
      </c>
      <c r="B19" s="134"/>
      <c r="C19" s="135"/>
      <c r="D19" s="134"/>
      <c r="E19" s="136"/>
    </row>
    <row r="20" spans="1:5">
      <c r="A20" s="110" t="s">
        <v>587</v>
      </c>
      <c r="B20" s="114">
        <v>276.1961</v>
      </c>
      <c r="C20" s="115">
        <v>10.1</v>
      </c>
      <c r="D20" s="114">
        <v>298.7</v>
      </c>
      <c r="E20" s="130">
        <v>8.1</v>
      </c>
    </row>
    <row r="21" spans="1:5">
      <c r="A21" s="110" t="s">
        <v>588</v>
      </c>
      <c r="B21" s="114">
        <v>412.0563</v>
      </c>
      <c r="C21" s="115">
        <v>10.1</v>
      </c>
      <c r="D21" s="114">
        <v>445.4616</v>
      </c>
      <c r="E21" s="130">
        <v>8.1</v>
      </c>
    </row>
    <row r="22" spans="1:5">
      <c r="A22" s="110" t="s">
        <v>589</v>
      </c>
      <c r="B22" s="114">
        <v>546.284</v>
      </c>
      <c r="C22" s="115">
        <v>10.1</v>
      </c>
      <c r="D22" s="114">
        <v>590.73</v>
      </c>
      <c r="E22" s="130">
        <v>8.1</v>
      </c>
    </row>
    <row r="23" spans="1:5">
      <c r="A23" s="110" t="s">
        <v>590</v>
      </c>
      <c r="B23" s="114">
        <v>682.9174</v>
      </c>
      <c r="C23" s="115">
        <v>10</v>
      </c>
      <c r="D23" s="114">
        <v>739.76</v>
      </c>
      <c r="E23" s="130">
        <v>8.3</v>
      </c>
    </row>
    <row r="24" spans="1:5">
      <c r="A24" s="110" t="s">
        <v>591</v>
      </c>
      <c r="B24" s="114">
        <v>821.4416</v>
      </c>
      <c r="C24" s="115">
        <v>10</v>
      </c>
      <c r="D24" s="114">
        <v>892.2501</v>
      </c>
      <c r="E24" s="130">
        <v>8.6</v>
      </c>
    </row>
    <row r="25" spans="1:5">
      <c r="A25" s="110" t="s">
        <v>592</v>
      </c>
      <c r="B25" s="114">
        <v>965.6007</v>
      </c>
      <c r="C25" s="115">
        <v>10.2</v>
      </c>
      <c r="D25" s="114">
        <v>1047.7336</v>
      </c>
      <c r="E25" s="130">
        <v>8.5</v>
      </c>
    </row>
    <row r="26" spans="1:5">
      <c r="A26" s="110" t="s">
        <v>593</v>
      </c>
      <c r="B26" s="114">
        <v>1106.5086</v>
      </c>
      <c r="C26" s="115">
        <v>10.3</v>
      </c>
      <c r="D26" s="114">
        <v>1199.99</v>
      </c>
      <c r="E26" s="130">
        <v>8.4</v>
      </c>
    </row>
    <row r="27" spans="1:5">
      <c r="A27" s="110" t="s">
        <v>594</v>
      </c>
      <c r="B27" s="114">
        <v>1255.6134</v>
      </c>
      <c r="C27" s="115">
        <v>10.4</v>
      </c>
      <c r="D27" s="114">
        <v>1392.96</v>
      </c>
      <c r="E27" s="113">
        <v>8.5</v>
      </c>
    </row>
    <row r="28" spans="1:5">
      <c r="A28" s="110" t="s">
        <v>595</v>
      </c>
      <c r="B28" s="114">
        <v>1404.109</v>
      </c>
      <c r="C28" s="115">
        <v>10.3</v>
      </c>
      <c r="D28" s="114">
        <v>1522.21</v>
      </c>
      <c r="E28" s="113">
        <v>8.4</v>
      </c>
    </row>
    <row r="29" spans="1:5">
      <c r="A29" s="110" t="s">
        <v>596</v>
      </c>
      <c r="B29" s="114">
        <v>1549.0711</v>
      </c>
      <c r="C29" s="115">
        <v>10.3</v>
      </c>
      <c r="D29" s="114">
        <v>1680.16</v>
      </c>
      <c r="E29" s="113">
        <v>8.5</v>
      </c>
    </row>
    <row r="30" ht="15" spans="1:5">
      <c r="A30" s="117" t="s">
        <v>93</v>
      </c>
      <c r="B30" s="118">
        <v>1697.3</v>
      </c>
      <c r="C30" s="119">
        <v>10.3</v>
      </c>
      <c r="D30" s="118">
        <v>1839.4995</v>
      </c>
      <c r="E30" s="121">
        <v>8.4</v>
      </c>
    </row>
  </sheetData>
  <mergeCells count="7">
    <mergeCell ref="A1:E1"/>
    <mergeCell ref="B3:C3"/>
    <mergeCell ref="D3:E3"/>
    <mergeCell ref="B17:C17"/>
    <mergeCell ref="D17:E17"/>
    <mergeCell ref="A3:A4"/>
    <mergeCell ref="A17:A18"/>
  </mergeCells>
  <pageMargins left="0.75" right="0.75" top="1" bottom="1" header="0.51" footer="0.51"/>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C29" sqref="C29"/>
    </sheetView>
  </sheetViews>
  <sheetFormatPr defaultColWidth="9" defaultRowHeight="14.25" outlineLevelCol="4"/>
  <cols>
    <col min="2" max="2" width="12.375" customWidth="1"/>
    <col min="3" max="3" width="10.375" customWidth="1"/>
    <col min="4" max="4" width="14.125" customWidth="1"/>
    <col min="5" max="5" width="10.125" customWidth="1"/>
  </cols>
  <sheetData>
    <row r="1" ht="28.5" customHeight="1" spans="1:5">
      <c r="A1" s="84" t="s">
        <v>20</v>
      </c>
      <c r="B1" s="84"/>
      <c r="C1" s="85"/>
      <c r="D1" s="84"/>
      <c r="E1" s="85"/>
    </row>
    <row r="2" ht="15" spans="1:5">
      <c r="A2" s="86"/>
      <c r="B2" s="86"/>
      <c r="C2" s="87"/>
      <c r="D2" s="86"/>
      <c r="E2" s="131" t="s">
        <v>598</v>
      </c>
    </row>
    <row r="3" ht="18" customHeight="1" spans="1:5">
      <c r="A3" s="89" t="s">
        <v>581</v>
      </c>
      <c r="B3" s="90" t="s">
        <v>582</v>
      </c>
      <c r="C3" s="91"/>
      <c r="D3" s="90" t="s">
        <v>583</v>
      </c>
      <c r="E3" s="92"/>
    </row>
    <row r="4" ht="18" customHeight="1" spans="1:5">
      <c r="A4" s="93"/>
      <c r="B4" s="94" t="s">
        <v>584</v>
      </c>
      <c r="C4" s="108" t="s">
        <v>585</v>
      </c>
      <c r="D4" s="94" t="s">
        <v>584</v>
      </c>
      <c r="E4" s="109" t="s">
        <v>585</v>
      </c>
    </row>
    <row r="5" spans="1:5">
      <c r="A5" s="97" t="s">
        <v>586</v>
      </c>
      <c r="B5" s="98"/>
      <c r="C5" s="99"/>
      <c r="D5" s="98"/>
      <c r="E5" s="100"/>
    </row>
    <row r="6" spans="1:5">
      <c r="A6" s="97" t="s">
        <v>587</v>
      </c>
      <c r="B6" s="101">
        <v>38.2733</v>
      </c>
      <c r="C6" s="102">
        <v>-12.3</v>
      </c>
      <c r="D6" s="101">
        <v>41.5396</v>
      </c>
      <c r="E6" s="103">
        <v>14</v>
      </c>
    </row>
    <row r="7" spans="1:5">
      <c r="A7" s="97" t="s">
        <v>588</v>
      </c>
      <c r="B7" s="101">
        <v>58.0649</v>
      </c>
      <c r="C7" s="102">
        <v>-7.6</v>
      </c>
      <c r="D7" s="101">
        <v>72.8464</v>
      </c>
      <c r="E7" s="103">
        <v>29.6</v>
      </c>
    </row>
    <row r="8" spans="1:5">
      <c r="A8" s="97" t="s">
        <v>589</v>
      </c>
      <c r="B8" s="101">
        <v>74.7649</v>
      </c>
      <c r="C8" s="102">
        <v>-13.4</v>
      </c>
      <c r="D8" s="101">
        <v>100.1592</v>
      </c>
      <c r="E8" s="103">
        <v>37.3</v>
      </c>
    </row>
    <row r="9" spans="1:5">
      <c r="A9" s="97" t="s">
        <v>590</v>
      </c>
      <c r="B9" s="101">
        <v>97.3433</v>
      </c>
      <c r="C9" s="102">
        <v>-16.3</v>
      </c>
      <c r="D9" s="101">
        <v>134.1854</v>
      </c>
      <c r="E9" s="103">
        <v>40.5</v>
      </c>
    </row>
    <row r="10" spans="1:5">
      <c r="A10" s="97" t="s">
        <v>591</v>
      </c>
      <c r="B10" s="104">
        <v>120.4325</v>
      </c>
      <c r="C10" s="102">
        <v>-20.8</v>
      </c>
      <c r="D10" s="105">
        <v>163.9816</v>
      </c>
      <c r="E10" s="106">
        <v>38.3</v>
      </c>
    </row>
    <row r="11" spans="1:5">
      <c r="A11" s="97" t="s">
        <v>592</v>
      </c>
      <c r="B11" s="104">
        <v>147.2935</v>
      </c>
      <c r="C11" s="102">
        <v>-19.6</v>
      </c>
      <c r="D11" s="105">
        <v>196.4922</v>
      </c>
      <c r="E11" s="103">
        <v>35.1</v>
      </c>
    </row>
    <row r="12" spans="1:5">
      <c r="A12" s="97" t="s">
        <v>593</v>
      </c>
      <c r="B12" s="104">
        <v>177.3237</v>
      </c>
      <c r="C12" s="102">
        <v>-18.1</v>
      </c>
      <c r="D12" s="105">
        <v>225.0708</v>
      </c>
      <c r="E12" s="103">
        <v>28.2</v>
      </c>
    </row>
    <row r="13" spans="1:5">
      <c r="A13" s="97" t="s">
        <v>594</v>
      </c>
      <c r="B13" s="104">
        <v>213.1449</v>
      </c>
      <c r="C13" s="107">
        <v>-11.9</v>
      </c>
      <c r="D13" s="105">
        <v>249.3223</v>
      </c>
      <c r="E13" s="103">
        <v>18</v>
      </c>
    </row>
    <row r="14" spans="1:5">
      <c r="A14" s="97" t="s">
        <v>595</v>
      </c>
      <c r="B14" s="101">
        <v>240.9083</v>
      </c>
      <c r="C14" s="102">
        <v>-8.6</v>
      </c>
      <c r="D14" s="101">
        <v>271.8035</v>
      </c>
      <c r="E14" s="103">
        <v>13.7</v>
      </c>
    </row>
    <row r="15" spans="1:5">
      <c r="A15" s="97" t="s">
        <v>596</v>
      </c>
      <c r="B15" s="101">
        <v>271.3898</v>
      </c>
      <c r="C15" s="102">
        <v>-5.2</v>
      </c>
      <c r="D15" s="101">
        <v>302.6274</v>
      </c>
      <c r="E15" s="103">
        <v>11.5</v>
      </c>
    </row>
    <row r="16" spans="1:5">
      <c r="A16" s="97" t="s">
        <v>93</v>
      </c>
      <c r="B16" s="101">
        <v>304.4443</v>
      </c>
      <c r="C16" s="102">
        <v>-4.6</v>
      </c>
      <c r="D16" s="101">
        <v>345.6404</v>
      </c>
      <c r="E16" s="103">
        <v>13.5</v>
      </c>
    </row>
    <row r="17" ht="18" customHeight="1" spans="1:5">
      <c r="A17" s="93" t="s">
        <v>581</v>
      </c>
      <c r="B17" s="94" t="s">
        <v>50</v>
      </c>
      <c r="C17" s="108"/>
      <c r="D17" s="94" t="s">
        <v>597</v>
      </c>
      <c r="E17" s="109"/>
    </row>
    <row r="18" ht="18" customHeight="1" spans="1:5">
      <c r="A18" s="93"/>
      <c r="B18" s="94" t="s">
        <v>584</v>
      </c>
      <c r="C18" s="108" t="s">
        <v>585</v>
      </c>
      <c r="D18" s="94" t="s">
        <v>584</v>
      </c>
      <c r="E18" s="109" t="s">
        <v>585</v>
      </c>
    </row>
    <row r="19" spans="1:5">
      <c r="A19" s="110" t="s">
        <v>586</v>
      </c>
      <c r="B19" s="134"/>
      <c r="C19" s="135"/>
      <c r="D19" s="132">
        <v>36.8</v>
      </c>
      <c r="E19" s="113">
        <v>44.4</v>
      </c>
    </row>
    <row r="20" spans="1:5">
      <c r="A20" s="110" t="s">
        <v>587</v>
      </c>
      <c r="B20" s="114">
        <v>44.6469</v>
      </c>
      <c r="C20" s="115">
        <v>7.4167</v>
      </c>
      <c r="D20" s="114">
        <v>53.5536</v>
      </c>
      <c r="E20" s="130">
        <v>14.7</v>
      </c>
    </row>
    <row r="21" spans="1:5">
      <c r="A21" s="110" t="s">
        <v>588</v>
      </c>
      <c r="B21" s="114">
        <v>69.3423</v>
      </c>
      <c r="C21" s="115">
        <v>-4.9</v>
      </c>
      <c r="D21" s="114">
        <v>77.67</v>
      </c>
      <c r="E21" s="130">
        <v>7.6</v>
      </c>
    </row>
    <row r="22" spans="1:5">
      <c r="A22" s="110" t="s">
        <v>589</v>
      </c>
      <c r="B22" s="114">
        <v>94.2513</v>
      </c>
      <c r="C22" s="115">
        <v>-6</v>
      </c>
      <c r="D22" s="114">
        <v>115.13</v>
      </c>
      <c r="E22" s="130">
        <v>18.4</v>
      </c>
    </row>
    <row r="23" spans="1:5">
      <c r="A23" s="110" t="s">
        <v>590</v>
      </c>
      <c r="B23" s="114">
        <v>128.9132</v>
      </c>
      <c r="C23" s="115">
        <v>-4</v>
      </c>
      <c r="D23" s="114">
        <v>151.5147</v>
      </c>
      <c r="E23" s="130">
        <v>17.4</v>
      </c>
    </row>
    <row r="24" spans="1:5">
      <c r="A24" s="110" t="s">
        <v>591</v>
      </c>
      <c r="B24" s="114">
        <v>165.2306</v>
      </c>
      <c r="C24" s="115">
        <v>0.7</v>
      </c>
      <c r="D24" s="114">
        <v>184.7151</v>
      </c>
      <c r="E24" s="130">
        <v>12.7</v>
      </c>
    </row>
    <row r="25" spans="1:5">
      <c r="A25" s="110" t="s">
        <v>592</v>
      </c>
      <c r="B25" s="114">
        <v>202.0126</v>
      </c>
      <c r="C25" s="115">
        <v>2.8</v>
      </c>
      <c r="D25" s="114">
        <v>221.73</v>
      </c>
      <c r="E25" s="130">
        <v>10.2</v>
      </c>
    </row>
    <row r="26" spans="1:5">
      <c r="A26" s="110" t="s">
        <v>593</v>
      </c>
      <c r="B26" s="114">
        <v>238.4131</v>
      </c>
      <c r="C26" s="115">
        <v>5.9</v>
      </c>
      <c r="D26" s="114">
        <v>250.48</v>
      </c>
      <c r="E26" s="130">
        <v>5.4</v>
      </c>
    </row>
    <row r="27" spans="1:5">
      <c r="A27" s="110" t="s">
        <v>594</v>
      </c>
      <c r="B27" s="114">
        <v>270.612</v>
      </c>
      <c r="C27" s="115">
        <v>8.5</v>
      </c>
      <c r="D27" s="114">
        <v>291.38</v>
      </c>
      <c r="E27" s="113">
        <v>7.8</v>
      </c>
    </row>
    <row r="28" spans="1:5">
      <c r="A28" s="110" t="s">
        <v>595</v>
      </c>
      <c r="B28" s="114">
        <v>304.2856</v>
      </c>
      <c r="C28" s="115">
        <v>11.9</v>
      </c>
      <c r="D28" s="114">
        <v>327.6519</v>
      </c>
      <c r="E28" s="113">
        <v>7.8</v>
      </c>
    </row>
    <row r="29" spans="1:5">
      <c r="A29" s="110" t="s">
        <v>596</v>
      </c>
      <c r="B29" s="114">
        <v>341.42</v>
      </c>
      <c r="C29" s="115">
        <v>12.8</v>
      </c>
      <c r="D29" s="114">
        <v>373.1906</v>
      </c>
      <c r="E29" s="113">
        <v>10.1</v>
      </c>
    </row>
    <row r="30" ht="15" spans="1:5">
      <c r="A30" s="117" t="s">
        <v>93</v>
      </c>
      <c r="B30" s="118">
        <v>377.03</v>
      </c>
      <c r="C30" s="119">
        <v>9</v>
      </c>
      <c r="D30" s="118"/>
      <c r="E30" s="121"/>
    </row>
    <row r="31" spans="1:5">
      <c r="A31" s="133" t="s">
        <v>599</v>
      </c>
      <c r="B31" s="133"/>
      <c r="C31" s="133"/>
      <c r="D31" s="133"/>
      <c r="E31" s="133"/>
    </row>
  </sheetData>
  <mergeCells count="8">
    <mergeCell ref="A1:E1"/>
    <mergeCell ref="B3:C3"/>
    <mergeCell ref="D3:E3"/>
    <mergeCell ref="B17:C17"/>
    <mergeCell ref="D17:E17"/>
    <mergeCell ref="A31:E31"/>
    <mergeCell ref="A3:A4"/>
    <mergeCell ref="A17:A18"/>
  </mergeCells>
  <pageMargins left="0.75" right="0.75" top="1" bottom="1" header="0.51" footer="0.51"/>
  <pageSetup paperSize="9" orientation="portrait"/>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G24" sqref="G24"/>
    </sheetView>
  </sheetViews>
  <sheetFormatPr defaultColWidth="9" defaultRowHeight="14.25" outlineLevelCol="4"/>
  <cols>
    <col min="2" max="2" width="12.375" customWidth="1"/>
    <col min="3" max="3" width="10.375" customWidth="1"/>
    <col min="4" max="4" width="14.125" customWidth="1"/>
    <col min="5" max="5" width="10.125" customWidth="1"/>
    <col min="10" max="10" width="12.625" customWidth="1"/>
  </cols>
  <sheetData>
    <row r="1" ht="28.5" customHeight="1" spans="1:5">
      <c r="A1" s="84" t="s">
        <v>600</v>
      </c>
      <c r="B1" s="84"/>
      <c r="C1" s="85"/>
      <c r="D1" s="84"/>
      <c r="E1" s="85"/>
    </row>
    <row r="2" ht="15" spans="1:5">
      <c r="A2" s="86"/>
      <c r="B2" s="86"/>
      <c r="C2" s="87"/>
      <c r="D2" s="86"/>
      <c r="E2" s="131" t="s">
        <v>52</v>
      </c>
    </row>
    <row r="3" ht="18" customHeight="1" spans="1:5">
      <c r="A3" s="89" t="s">
        <v>581</v>
      </c>
      <c r="B3" s="90" t="s">
        <v>582</v>
      </c>
      <c r="C3" s="91"/>
      <c r="D3" s="90" t="s">
        <v>583</v>
      </c>
      <c r="E3" s="92"/>
    </row>
    <row r="4" ht="18" customHeight="1" spans="1:5">
      <c r="A4" s="93"/>
      <c r="B4" s="94" t="s">
        <v>584</v>
      </c>
      <c r="C4" s="108" t="s">
        <v>585</v>
      </c>
      <c r="D4" s="94" t="s">
        <v>584</v>
      </c>
      <c r="E4" s="109" t="s">
        <v>585</v>
      </c>
    </row>
    <row r="5" spans="1:5">
      <c r="A5" s="97" t="s">
        <v>586</v>
      </c>
      <c r="B5" s="98"/>
      <c r="C5" s="99"/>
      <c r="D5" s="98"/>
      <c r="E5" s="100"/>
    </row>
    <row r="6" spans="1:5">
      <c r="A6" s="97" t="s">
        <v>587</v>
      </c>
      <c r="B6" s="101">
        <v>14.3618</v>
      </c>
      <c r="C6" s="102">
        <v>13.1</v>
      </c>
      <c r="D6" s="101">
        <v>16.8865</v>
      </c>
      <c r="E6" s="103">
        <v>21.3</v>
      </c>
    </row>
    <row r="7" spans="1:5">
      <c r="A7" s="97" t="s">
        <v>588</v>
      </c>
      <c r="B7" s="101">
        <v>22.2812</v>
      </c>
      <c r="C7" s="102">
        <v>9.6</v>
      </c>
      <c r="D7" s="101">
        <v>24.8142</v>
      </c>
      <c r="E7" s="103">
        <v>15.8</v>
      </c>
    </row>
    <row r="8" spans="1:5">
      <c r="A8" s="97" t="s">
        <v>589</v>
      </c>
      <c r="B8" s="101">
        <v>31.7363</v>
      </c>
      <c r="C8" s="102">
        <v>14</v>
      </c>
      <c r="D8" s="101">
        <v>32.5815</v>
      </c>
      <c r="E8" s="103">
        <v>7.38333558548909</v>
      </c>
    </row>
    <row r="9" spans="1:5">
      <c r="A9" s="97" t="s">
        <v>590</v>
      </c>
      <c r="B9" s="101">
        <v>41.3127</v>
      </c>
      <c r="C9" s="102">
        <v>8.7</v>
      </c>
      <c r="D9" s="101">
        <v>40.1635</v>
      </c>
      <c r="E9" s="103">
        <v>2.1</v>
      </c>
    </row>
    <row r="10" spans="1:5">
      <c r="A10" s="97" t="s">
        <v>591</v>
      </c>
      <c r="B10" s="104">
        <v>56.6175</v>
      </c>
      <c r="C10" s="102">
        <v>5</v>
      </c>
      <c r="D10" s="105">
        <v>58.3819</v>
      </c>
      <c r="E10" s="106">
        <v>6.8</v>
      </c>
    </row>
    <row r="11" spans="1:5">
      <c r="A11" s="97" t="s">
        <v>592</v>
      </c>
      <c r="B11" s="104">
        <v>66.3904</v>
      </c>
      <c r="C11" s="102">
        <v>7.7</v>
      </c>
      <c r="D11" s="105">
        <v>67.2492</v>
      </c>
      <c r="E11" s="103">
        <v>4.4</v>
      </c>
    </row>
    <row r="12" spans="1:5">
      <c r="A12" s="97" t="s">
        <v>593</v>
      </c>
      <c r="B12" s="104">
        <v>73.539</v>
      </c>
      <c r="C12" s="102">
        <v>7.7</v>
      </c>
      <c r="D12" s="105">
        <v>74.5911</v>
      </c>
      <c r="E12" s="103">
        <v>4.2</v>
      </c>
    </row>
    <row r="13" spans="1:5">
      <c r="A13" s="97" t="s">
        <v>594</v>
      </c>
      <c r="B13" s="104">
        <v>81.5736</v>
      </c>
      <c r="C13" s="107">
        <v>7.2</v>
      </c>
      <c r="D13" s="105">
        <v>86.9421</v>
      </c>
      <c r="E13" s="103">
        <v>9.2</v>
      </c>
    </row>
    <row r="14" spans="1:5">
      <c r="A14" s="97" t="s">
        <v>595</v>
      </c>
      <c r="B14" s="101">
        <v>89.4414</v>
      </c>
      <c r="C14" s="102">
        <v>7.4</v>
      </c>
      <c r="D14" s="101">
        <v>119.6191</v>
      </c>
      <c r="E14" s="103">
        <v>36.8</v>
      </c>
    </row>
    <row r="15" spans="1:5">
      <c r="A15" s="97" t="s">
        <v>596</v>
      </c>
      <c r="B15" s="101">
        <v>96.6337</v>
      </c>
      <c r="C15" s="102">
        <v>3.8</v>
      </c>
      <c r="D15" s="101">
        <v>126.085</v>
      </c>
      <c r="E15" s="103">
        <v>32.4</v>
      </c>
    </row>
    <row r="16" spans="1:5">
      <c r="A16" s="97" t="s">
        <v>93</v>
      </c>
      <c r="B16" s="101">
        <v>112.9713</v>
      </c>
      <c r="C16" s="102">
        <v>-4.8</v>
      </c>
      <c r="D16" s="101">
        <v>134.9958</v>
      </c>
      <c r="E16" s="103">
        <v>21</v>
      </c>
    </row>
    <row r="17" ht="18" customHeight="1" spans="1:5">
      <c r="A17" s="93" t="s">
        <v>581</v>
      </c>
      <c r="B17" s="94" t="s">
        <v>50</v>
      </c>
      <c r="C17" s="108"/>
      <c r="D17" s="94" t="s">
        <v>597</v>
      </c>
      <c r="E17" s="109"/>
    </row>
    <row r="18" ht="18" customHeight="1" spans="1:5">
      <c r="A18" s="93"/>
      <c r="B18" s="94" t="s">
        <v>584</v>
      </c>
      <c r="C18" s="108" t="s">
        <v>585</v>
      </c>
      <c r="D18" s="94" t="s">
        <v>584</v>
      </c>
      <c r="E18" s="109" t="s">
        <v>585</v>
      </c>
    </row>
    <row r="19" spans="1:5">
      <c r="A19" s="110" t="s">
        <v>586</v>
      </c>
      <c r="B19" s="111">
        <v>13.1471</v>
      </c>
      <c r="C19" s="112">
        <v>33.5</v>
      </c>
      <c r="D19" s="132">
        <v>17.38</v>
      </c>
      <c r="E19" s="113">
        <v>32.2</v>
      </c>
    </row>
    <row r="20" spans="1:5">
      <c r="A20" s="110" t="s">
        <v>587</v>
      </c>
      <c r="B20" s="114">
        <v>22.2479</v>
      </c>
      <c r="C20" s="115">
        <v>31.7</v>
      </c>
      <c r="D20" s="114">
        <v>24.8697</v>
      </c>
      <c r="E20" s="130">
        <v>11.8</v>
      </c>
    </row>
    <row r="21" spans="1:5">
      <c r="A21" s="110" t="s">
        <v>588</v>
      </c>
      <c r="B21" s="114">
        <v>30.2572</v>
      </c>
      <c r="C21" s="115">
        <v>21.9</v>
      </c>
      <c r="D21" s="114">
        <v>34.0085</v>
      </c>
      <c r="E21" s="130">
        <v>12.39</v>
      </c>
    </row>
    <row r="22" spans="1:5">
      <c r="A22" s="110" t="s">
        <v>589</v>
      </c>
      <c r="B22" s="114">
        <v>40.3634</v>
      </c>
      <c r="C22" s="115">
        <v>23.9</v>
      </c>
      <c r="D22" s="114">
        <v>44.97</v>
      </c>
      <c r="E22" s="130">
        <v>11.4</v>
      </c>
    </row>
    <row r="23" spans="1:5">
      <c r="A23" s="110" t="s">
        <v>590</v>
      </c>
      <c r="B23" s="114">
        <v>49.9011</v>
      </c>
      <c r="C23" s="115">
        <v>24.2448989754379</v>
      </c>
      <c r="D23" s="114">
        <v>53.08</v>
      </c>
      <c r="E23" s="130">
        <v>6.38</v>
      </c>
    </row>
    <row r="24" spans="1:5">
      <c r="A24" s="110" t="s">
        <v>591</v>
      </c>
      <c r="B24" s="114">
        <v>64.7923</v>
      </c>
      <c r="C24" s="115">
        <v>11</v>
      </c>
      <c r="D24" s="114">
        <v>66.1859</v>
      </c>
      <c r="E24" s="130">
        <v>2.2</v>
      </c>
    </row>
    <row r="25" spans="1:5">
      <c r="A25" s="110" t="s">
        <v>592</v>
      </c>
      <c r="B25" s="114">
        <v>75.1173</v>
      </c>
      <c r="C25" s="115">
        <v>11.7</v>
      </c>
      <c r="D25" s="114">
        <v>77.8809</v>
      </c>
      <c r="E25" s="130">
        <v>3.7</v>
      </c>
    </row>
    <row r="26" spans="1:5">
      <c r="A26" s="110" t="s">
        <v>593</v>
      </c>
      <c r="B26" s="114">
        <v>83.6834</v>
      </c>
      <c r="C26" s="115">
        <v>12.2</v>
      </c>
      <c r="D26" s="114">
        <v>87.1</v>
      </c>
      <c r="E26" s="130">
        <v>4.1</v>
      </c>
    </row>
    <row r="27" spans="1:5">
      <c r="A27" s="110" t="s">
        <v>594</v>
      </c>
      <c r="B27" s="114">
        <v>92.195</v>
      </c>
      <c r="C27" s="115">
        <v>12.7</v>
      </c>
      <c r="D27" s="114">
        <v>97.96</v>
      </c>
      <c r="E27" s="113">
        <v>6.3</v>
      </c>
    </row>
    <row r="28" spans="1:5">
      <c r="A28" s="110" t="s">
        <v>595</v>
      </c>
      <c r="B28" s="114">
        <v>100.4627</v>
      </c>
      <c r="C28" s="115">
        <v>11.4</v>
      </c>
      <c r="D28" s="114">
        <v>105.14</v>
      </c>
      <c r="E28" s="113">
        <v>4.7</v>
      </c>
    </row>
    <row r="29" spans="1:5">
      <c r="A29" s="110" t="s">
        <v>596</v>
      </c>
      <c r="B29" s="114">
        <v>107.827</v>
      </c>
      <c r="C29" s="115">
        <v>11.6</v>
      </c>
      <c r="D29" s="114">
        <v>113.99</v>
      </c>
      <c r="E29" s="113">
        <v>5.7</v>
      </c>
    </row>
    <row r="30" ht="15" spans="1:5">
      <c r="A30" s="117" t="s">
        <v>93</v>
      </c>
      <c r="B30" s="118">
        <v>121.83</v>
      </c>
      <c r="C30" s="119">
        <v>15.4</v>
      </c>
      <c r="D30" s="118">
        <v>131.2581</v>
      </c>
      <c r="E30" s="121">
        <v>7.7</v>
      </c>
    </row>
    <row r="31" spans="1:5">
      <c r="A31" s="133" t="s">
        <v>601</v>
      </c>
      <c r="B31" s="133"/>
      <c r="C31" s="133"/>
      <c r="D31" s="133"/>
      <c r="E31" s="133"/>
    </row>
  </sheetData>
  <mergeCells count="8">
    <mergeCell ref="A1:E1"/>
    <mergeCell ref="B3:C3"/>
    <mergeCell ref="D3:E3"/>
    <mergeCell ref="B17:C17"/>
    <mergeCell ref="D17:E17"/>
    <mergeCell ref="A31:E31"/>
    <mergeCell ref="A3:A4"/>
    <mergeCell ref="A17:A18"/>
  </mergeCells>
  <pageMargins left="0.75" right="0.75" top="1" bottom="1" header="0.51" footer="0.51"/>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G9" sqref="G9"/>
    </sheetView>
  </sheetViews>
  <sheetFormatPr defaultColWidth="9" defaultRowHeight="14.25" outlineLevelCol="4"/>
  <cols>
    <col min="2" max="2" width="12.375" customWidth="1"/>
    <col min="3" max="3" width="10.375" customWidth="1"/>
    <col min="4" max="4" width="14.125" customWidth="1"/>
    <col min="5" max="5" width="10.125" customWidth="1"/>
  </cols>
  <sheetData>
    <row r="1" ht="28.5" customHeight="1" spans="1:5">
      <c r="A1" s="84" t="s">
        <v>28</v>
      </c>
      <c r="B1" s="85"/>
      <c r="C1" s="85"/>
      <c r="D1" s="123"/>
      <c r="E1" s="123"/>
    </row>
    <row r="2" ht="15" spans="1:5">
      <c r="A2" s="86"/>
      <c r="B2" s="87"/>
      <c r="C2" s="87"/>
      <c r="D2" s="124" t="s">
        <v>438</v>
      </c>
      <c r="E2" s="125"/>
    </row>
    <row r="3" ht="18" customHeight="1" spans="1:5">
      <c r="A3" s="89" t="s">
        <v>581</v>
      </c>
      <c r="B3" s="91" t="s">
        <v>582</v>
      </c>
      <c r="C3" s="91"/>
      <c r="D3" s="126" t="s">
        <v>583</v>
      </c>
      <c r="E3" s="127"/>
    </row>
    <row r="4" ht="30" customHeight="1" spans="1:5">
      <c r="A4" s="93"/>
      <c r="B4" s="108" t="s">
        <v>584</v>
      </c>
      <c r="C4" s="95" t="s">
        <v>602</v>
      </c>
      <c r="D4" s="95" t="s">
        <v>603</v>
      </c>
      <c r="E4" s="96" t="s">
        <v>602</v>
      </c>
    </row>
    <row r="5" spans="1:5">
      <c r="A5" s="97" t="s">
        <v>586</v>
      </c>
      <c r="B5" s="99"/>
      <c r="C5" s="99"/>
      <c r="D5" s="99"/>
      <c r="E5" s="100"/>
    </row>
    <row r="6" spans="1:5">
      <c r="A6" s="97" t="s">
        <v>587</v>
      </c>
      <c r="B6" s="128">
        <v>103</v>
      </c>
      <c r="C6" s="102">
        <v>3</v>
      </c>
      <c r="D6" s="128">
        <v>101.1</v>
      </c>
      <c r="E6" s="103">
        <v>1.1</v>
      </c>
    </row>
    <row r="7" spans="1:5">
      <c r="A7" s="97" t="s">
        <v>588</v>
      </c>
      <c r="B7" s="128">
        <v>102.8</v>
      </c>
      <c r="C7" s="102">
        <v>2.8</v>
      </c>
      <c r="D7" s="128">
        <v>101</v>
      </c>
      <c r="E7" s="103">
        <v>1</v>
      </c>
    </row>
    <row r="8" spans="1:5">
      <c r="A8" s="97" t="s">
        <v>589</v>
      </c>
      <c r="B8" s="128">
        <v>102.9</v>
      </c>
      <c r="C8" s="102">
        <v>2.9</v>
      </c>
      <c r="D8" s="128">
        <v>101</v>
      </c>
      <c r="E8" s="103">
        <v>1</v>
      </c>
    </row>
    <row r="9" spans="1:5">
      <c r="A9" s="97" t="s">
        <v>590</v>
      </c>
      <c r="B9" s="128">
        <v>102.8</v>
      </c>
      <c r="C9" s="102">
        <v>2.8</v>
      </c>
      <c r="D9" s="128">
        <v>101.1</v>
      </c>
      <c r="E9" s="103">
        <v>1.1</v>
      </c>
    </row>
    <row r="10" spans="1:5">
      <c r="A10" s="97" t="s">
        <v>591</v>
      </c>
      <c r="B10" s="129">
        <v>102.7</v>
      </c>
      <c r="C10" s="102">
        <v>2.7</v>
      </c>
      <c r="D10" s="107">
        <v>101.1</v>
      </c>
      <c r="E10" s="106">
        <v>1.1</v>
      </c>
    </row>
    <row r="11" spans="1:5">
      <c r="A11" s="97" t="s">
        <v>592</v>
      </c>
      <c r="B11" s="129">
        <v>102.6</v>
      </c>
      <c r="C11" s="102">
        <v>2.6</v>
      </c>
      <c r="D11" s="107">
        <v>101.2</v>
      </c>
      <c r="E11" s="103">
        <v>1.2</v>
      </c>
    </row>
    <row r="12" spans="1:5">
      <c r="A12" s="97" t="s">
        <v>593</v>
      </c>
      <c r="B12" s="129">
        <v>102.5</v>
      </c>
      <c r="C12" s="102">
        <v>2.5</v>
      </c>
      <c r="D12" s="107">
        <v>101.3</v>
      </c>
      <c r="E12" s="103">
        <v>1.3</v>
      </c>
    </row>
    <row r="13" spans="1:5">
      <c r="A13" s="97" t="s">
        <v>594</v>
      </c>
      <c r="B13" s="129">
        <v>102.4</v>
      </c>
      <c r="C13" s="107">
        <v>2.40000000000001</v>
      </c>
      <c r="D13" s="107">
        <v>101.2</v>
      </c>
      <c r="E13" s="103">
        <v>1.2</v>
      </c>
    </row>
    <row r="14" spans="1:5">
      <c r="A14" s="97" t="s">
        <v>595</v>
      </c>
      <c r="B14" s="128">
        <v>102.3</v>
      </c>
      <c r="C14" s="102">
        <v>2.3</v>
      </c>
      <c r="D14" s="128">
        <v>101.3</v>
      </c>
      <c r="E14" s="103">
        <v>1.3</v>
      </c>
    </row>
    <row r="15" spans="1:5">
      <c r="A15" s="97" t="s">
        <v>596</v>
      </c>
      <c r="B15" s="128">
        <v>102.3</v>
      </c>
      <c r="C15" s="102">
        <v>2.3</v>
      </c>
      <c r="D15" s="128">
        <v>101.3</v>
      </c>
      <c r="E15" s="103">
        <v>1.3</v>
      </c>
    </row>
    <row r="16" spans="1:5">
      <c r="A16" s="97" t="s">
        <v>93</v>
      </c>
      <c r="B16" s="128">
        <v>102.2</v>
      </c>
      <c r="C16" s="102">
        <v>2.2</v>
      </c>
      <c r="D16" s="128">
        <v>101.3</v>
      </c>
      <c r="E16" s="103">
        <v>1.3</v>
      </c>
    </row>
    <row r="17" ht="18" customHeight="1" spans="1:5">
      <c r="A17" s="93" t="s">
        <v>581</v>
      </c>
      <c r="B17" s="108" t="s">
        <v>50</v>
      </c>
      <c r="C17" s="108"/>
      <c r="D17" s="95" t="s">
        <v>597</v>
      </c>
      <c r="E17" s="96"/>
    </row>
    <row r="18" ht="30" customHeight="1" spans="1:5">
      <c r="A18" s="93"/>
      <c r="B18" s="108" t="s">
        <v>603</v>
      </c>
      <c r="C18" s="95" t="s">
        <v>602</v>
      </c>
      <c r="D18" s="95" t="s">
        <v>603</v>
      </c>
      <c r="E18" s="96" t="s">
        <v>602</v>
      </c>
    </row>
    <row r="19" spans="1:5">
      <c r="A19" s="110" t="s">
        <v>586</v>
      </c>
      <c r="B19" s="112"/>
      <c r="C19" s="112"/>
      <c r="D19" s="112">
        <v>101.9</v>
      </c>
      <c r="E19" s="113">
        <v>1.9</v>
      </c>
    </row>
    <row r="20" spans="1:5">
      <c r="A20" s="110" t="s">
        <v>587</v>
      </c>
      <c r="B20" s="115">
        <v>101.5</v>
      </c>
      <c r="C20" s="115">
        <v>1.5</v>
      </c>
      <c r="D20" s="115">
        <v>101.6</v>
      </c>
      <c r="E20" s="130">
        <v>1.6</v>
      </c>
    </row>
    <row r="21" spans="1:5">
      <c r="A21" s="110" t="s">
        <v>588</v>
      </c>
      <c r="B21" s="115">
        <v>101.6</v>
      </c>
      <c r="C21" s="115">
        <v>1.59999999999999</v>
      </c>
      <c r="D21" s="115">
        <v>101.6</v>
      </c>
      <c r="E21" s="130">
        <v>1.6</v>
      </c>
    </row>
    <row r="22" spans="1:5">
      <c r="A22" s="110" t="s">
        <v>589</v>
      </c>
      <c r="B22" s="115">
        <v>101.5</v>
      </c>
      <c r="C22" s="115">
        <v>1.5</v>
      </c>
      <c r="D22" s="115">
        <v>101.7</v>
      </c>
      <c r="E22" s="130">
        <v>1.7</v>
      </c>
    </row>
    <row r="23" spans="1:5">
      <c r="A23" s="110" t="s">
        <v>590</v>
      </c>
      <c r="B23" s="115">
        <v>101.3</v>
      </c>
      <c r="C23" s="115">
        <v>1.3</v>
      </c>
      <c r="D23" s="115">
        <v>101.9</v>
      </c>
      <c r="E23" s="130">
        <v>1.9</v>
      </c>
    </row>
    <row r="24" spans="1:5">
      <c r="A24" s="110" t="s">
        <v>591</v>
      </c>
      <c r="B24" s="115">
        <v>101.3</v>
      </c>
      <c r="C24" s="115">
        <v>1.3</v>
      </c>
      <c r="D24" s="115">
        <v>102.1</v>
      </c>
      <c r="E24" s="130">
        <v>2.1</v>
      </c>
    </row>
    <row r="25" spans="1:5">
      <c r="A25" s="110" t="s">
        <v>592</v>
      </c>
      <c r="B25" s="115">
        <v>101.2</v>
      </c>
      <c r="C25" s="115">
        <v>1.2</v>
      </c>
      <c r="D25" s="115">
        <v>102.3</v>
      </c>
      <c r="E25" s="130">
        <v>2.3</v>
      </c>
    </row>
    <row r="26" spans="1:5">
      <c r="A26" s="110" t="s">
        <v>593</v>
      </c>
      <c r="B26" s="115">
        <v>101.3</v>
      </c>
      <c r="C26" s="115">
        <v>1.3</v>
      </c>
      <c r="D26" s="115">
        <v>102.6</v>
      </c>
      <c r="E26" s="130">
        <v>2.6</v>
      </c>
    </row>
    <row r="27" spans="1:5">
      <c r="A27" s="110" t="s">
        <v>594</v>
      </c>
      <c r="B27" s="115">
        <v>101.4</v>
      </c>
      <c r="C27" s="115">
        <v>1.4</v>
      </c>
      <c r="D27" s="115">
        <v>102.8</v>
      </c>
      <c r="E27" s="113">
        <v>2.8</v>
      </c>
    </row>
    <row r="28" spans="1:5">
      <c r="A28" s="110" t="s">
        <v>595</v>
      </c>
      <c r="B28" s="115">
        <v>101.5</v>
      </c>
      <c r="C28" s="115">
        <v>1.5</v>
      </c>
      <c r="D28" s="115">
        <v>103</v>
      </c>
      <c r="E28" s="113">
        <v>3</v>
      </c>
    </row>
    <row r="29" spans="1:5">
      <c r="A29" s="110" t="s">
        <v>596</v>
      </c>
      <c r="B29" s="115">
        <v>101.5</v>
      </c>
      <c r="C29" s="115">
        <v>1.5</v>
      </c>
      <c r="D29" s="115">
        <v>103.2</v>
      </c>
      <c r="E29" s="113">
        <v>3.2</v>
      </c>
    </row>
    <row r="30" ht="15" spans="1:5">
      <c r="A30" s="117" t="s">
        <v>93</v>
      </c>
      <c r="B30" s="119">
        <v>101.6</v>
      </c>
      <c r="C30" s="119">
        <v>1.6</v>
      </c>
      <c r="D30" s="119">
        <v>103.4</v>
      </c>
      <c r="E30" s="121">
        <v>3.4</v>
      </c>
    </row>
    <row r="31" spans="1:5">
      <c r="A31" s="122"/>
      <c r="B31" s="122"/>
      <c r="C31" s="122"/>
      <c r="D31" s="122"/>
      <c r="E31" s="122"/>
    </row>
  </sheetData>
  <mergeCells count="8">
    <mergeCell ref="A1:E1"/>
    <mergeCell ref="D2:E2"/>
    <mergeCell ref="B3:C3"/>
    <mergeCell ref="D3:E3"/>
    <mergeCell ref="B17:C17"/>
    <mergeCell ref="D17:E17"/>
    <mergeCell ref="A3:A4"/>
    <mergeCell ref="A17:A18"/>
  </mergeCells>
  <pageMargins left="0.75" right="0.75" top="1" bottom="1" header="0.51" footer="0.51"/>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selection activeCell="R16" sqref="R16"/>
    </sheetView>
  </sheetViews>
  <sheetFormatPr defaultColWidth="9" defaultRowHeight="14.25" outlineLevelCol="6"/>
  <cols>
    <col min="2" max="2" width="12.375" customWidth="1"/>
    <col min="3" max="3" width="10.375" customWidth="1"/>
    <col min="4" max="4" width="14.125" customWidth="1"/>
    <col min="5" max="5" width="10.125" customWidth="1"/>
    <col min="7" max="7" width="11.5" customWidth="1"/>
  </cols>
  <sheetData>
    <row r="1" ht="28.5" customHeight="1" spans="1:5">
      <c r="A1" s="84" t="s">
        <v>604</v>
      </c>
      <c r="B1" s="84"/>
      <c r="C1" s="85"/>
      <c r="D1" s="84"/>
      <c r="E1" s="85"/>
    </row>
    <row r="2" ht="15" spans="1:5">
      <c r="A2" s="86"/>
      <c r="B2" s="86"/>
      <c r="C2" s="87"/>
      <c r="D2" s="88" t="s">
        <v>605</v>
      </c>
      <c r="E2" s="88"/>
    </row>
    <row r="3" ht="18" customHeight="1" spans="1:5">
      <c r="A3" s="89" t="s">
        <v>581</v>
      </c>
      <c r="B3" s="90" t="s">
        <v>582</v>
      </c>
      <c r="C3" s="91"/>
      <c r="D3" s="90" t="s">
        <v>583</v>
      </c>
      <c r="E3" s="92"/>
    </row>
    <row r="4" ht="18" customHeight="1" spans="1:5">
      <c r="A4" s="93"/>
      <c r="B4" s="94" t="s">
        <v>584</v>
      </c>
      <c r="C4" s="95" t="s">
        <v>585</v>
      </c>
      <c r="D4" s="94" t="s">
        <v>584</v>
      </c>
      <c r="E4" s="96" t="s">
        <v>585</v>
      </c>
    </row>
    <row r="5" spans="1:5">
      <c r="A5" s="97" t="s">
        <v>586</v>
      </c>
      <c r="B5" s="98"/>
      <c r="C5" s="99"/>
      <c r="D5" s="98"/>
      <c r="E5" s="100"/>
    </row>
    <row r="6" spans="1:5">
      <c r="A6" s="97" t="s">
        <v>587</v>
      </c>
      <c r="B6" s="101">
        <v>10.66</v>
      </c>
      <c r="C6" s="102">
        <v>9.4</v>
      </c>
      <c r="D6" s="101">
        <v>19.95</v>
      </c>
      <c r="E6" s="103">
        <v>49.7</v>
      </c>
    </row>
    <row r="7" spans="1:5">
      <c r="A7" s="97" t="s">
        <v>588</v>
      </c>
      <c r="B7" s="101">
        <v>15.01</v>
      </c>
      <c r="C7" s="102">
        <v>7.1</v>
      </c>
      <c r="D7" s="101">
        <v>25.02</v>
      </c>
      <c r="E7" s="103">
        <v>66.7</v>
      </c>
    </row>
    <row r="8" spans="1:5">
      <c r="A8" s="97" t="s">
        <v>589</v>
      </c>
      <c r="B8" s="101">
        <v>20.3</v>
      </c>
      <c r="C8" s="102">
        <v>7.2</v>
      </c>
      <c r="D8" s="101">
        <v>34.86</v>
      </c>
      <c r="E8" s="103">
        <v>55.8</v>
      </c>
    </row>
    <row r="9" spans="1:5">
      <c r="A9" s="97" t="s">
        <v>590</v>
      </c>
      <c r="B9" s="101">
        <v>30.03</v>
      </c>
      <c r="C9" s="102">
        <v>22.4</v>
      </c>
      <c r="D9" s="101">
        <v>44.18</v>
      </c>
      <c r="E9" s="103">
        <v>47.1</v>
      </c>
    </row>
    <row r="10" spans="1:5">
      <c r="A10" s="97" t="s">
        <v>591</v>
      </c>
      <c r="B10" s="104">
        <v>38.78</v>
      </c>
      <c r="C10" s="102">
        <v>31.4</v>
      </c>
      <c r="D10" s="105">
        <v>54.94</v>
      </c>
      <c r="E10" s="106">
        <v>41.7</v>
      </c>
    </row>
    <row r="11" spans="1:5">
      <c r="A11" s="97" t="s">
        <v>592</v>
      </c>
      <c r="B11" s="104">
        <v>49.38</v>
      </c>
      <c r="C11" s="102">
        <v>44.3</v>
      </c>
      <c r="D11" s="105">
        <v>64.67</v>
      </c>
      <c r="E11" s="103">
        <v>35.8</v>
      </c>
    </row>
    <row r="12" spans="1:5">
      <c r="A12" s="97" t="s">
        <v>593</v>
      </c>
      <c r="B12" s="104">
        <v>56</v>
      </c>
      <c r="C12" s="102">
        <v>41.9</v>
      </c>
      <c r="D12" s="105">
        <v>75.46</v>
      </c>
      <c r="E12" s="103">
        <v>34.8</v>
      </c>
    </row>
    <row r="13" spans="1:5">
      <c r="A13" s="97" t="s">
        <v>594</v>
      </c>
      <c r="B13" s="104">
        <v>64.1</v>
      </c>
      <c r="C13" s="107">
        <v>44.1</v>
      </c>
      <c r="D13" s="105">
        <v>85.67</v>
      </c>
      <c r="E13" s="103">
        <v>33.7</v>
      </c>
    </row>
    <row r="14" spans="1:5">
      <c r="A14" s="97" t="s">
        <v>595</v>
      </c>
      <c r="B14" s="101">
        <v>72.32</v>
      </c>
      <c r="C14" s="102">
        <v>47.3</v>
      </c>
      <c r="D14" s="101">
        <v>93.88</v>
      </c>
      <c r="E14" s="103">
        <v>29.8</v>
      </c>
    </row>
    <row r="15" spans="1:5">
      <c r="A15" s="97" t="s">
        <v>596</v>
      </c>
      <c r="B15" s="101">
        <v>80.75</v>
      </c>
      <c r="C15" s="102">
        <v>52</v>
      </c>
      <c r="D15" s="101">
        <v>102.83</v>
      </c>
      <c r="E15" s="103">
        <v>27.4</v>
      </c>
    </row>
    <row r="16" spans="1:5">
      <c r="A16" s="97" t="s">
        <v>93</v>
      </c>
      <c r="B16" s="101">
        <v>89.4</v>
      </c>
      <c r="C16" s="102">
        <v>52.9</v>
      </c>
      <c r="D16" s="101">
        <v>112.45</v>
      </c>
      <c r="E16" s="103">
        <v>25.8</v>
      </c>
    </row>
    <row r="17" ht="18" customHeight="1" spans="1:7">
      <c r="A17" s="93" t="s">
        <v>581</v>
      </c>
      <c r="B17" s="94" t="s">
        <v>50</v>
      </c>
      <c r="C17" s="108"/>
      <c r="D17" s="94" t="s">
        <v>597</v>
      </c>
      <c r="E17" s="109"/>
    </row>
    <row r="18" ht="18" customHeight="1" spans="1:7">
      <c r="A18" s="93"/>
      <c r="B18" s="94" t="s">
        <v>584</v>
      </c>
      <c r="C18" s="95" t="s">
        <v>585</v>
      </c>
      <c r="D18" s="94" t="s">
        <v>584</v>
      </c>
      <c r="E18" s="96" t="s">
        <v>585</v>
      </c>
    </row>
    <row r="19" spans="1:7">
      <c r="A19" s="110" t="s">
        <v>586</v>
      </c>
      <c r="B19" s="111"/>
      <c r="C19" s="112"/>
      <c r="D19" s="111">
        <v>9.5556</v>
      </c>
      <c r="E19" s="113">
        <v>4.79</v>
      </c>
    </row>
    <row r="20" spans="1:7">
      <c r="A20" s="110" t="s">
        <v>587</v>
      </c>
      <c r="B20" s="114">
        <v>17.27</v>
      </c>
      <c r="C20" s="115">
        <v>6.3</v>
      </c>
      <c r="D20" s="111">
        <v>17.8917</v>
      </c>
      <c r="E20" s="113">
        <v>6</v>
      </c>
    </row>
    <row r="21" spans="1:7">
      <c r="A21" s="110" t="s">
        <v>588</v>
      </c>
      <c r="B21" s="114">
        <v>26.96</v>
      </c>
      <c r="C21" s="115">
        <v>6.1</v>
      </c>
      <c r="D21" s="111">
        <v>28.281</v>
      </c>
      <c r="E21" s="113">
        <v>5.59</v>
      </c>
    </row>
    <row r="22" spans="1:7">
      <c r="A22" s="110" t="s">
        <v>589</v>
      </c>
      <c r="B22" s="114">
        <v>37.45</v>
      </c>
      <c r="C22" s="115">
        <v>5.9</v>
      </c>
      <c r="D22" s="111">
        <v>38.7045</v>
      </c>
      <c r="E22" s="113">
        <v>4.86</v>
      </c>
    </row>
    <row r="23" spans="1:7">
      <c r="A23" s="110" t="s">
        <v>590</v>
      </c>
      <c r="B23" s="114">
        <v>48.08</v>
      </c>
      <c r="C23" s="115">
        <v>9.1</v>
      </c>
      <c r="D23" s="111">
        <v>49.2658</v>
      </c>
      <c r="E23" s="113">
        <v>2.06</v>
      </c>
    </row>
    <row r="24" spans="1:7">
      <c r="A24" s="110" t="s">
        <v>591</v>
      </c>
      <c r="B24" s="114">
        <v>58.99</v>
      </c>
      <c r="C24" s="115">
        <v>8.9</v>
      </c>
      <c r="D24" s="111">
        <v>60.1308</v>
      </c>
      <c r="E24" s="113">
        <v>2.6</v>
      </c>
    </row>
    <row r="25" spans="1:7">
      <c r="A25" s="110" t="s">
        <v>592</v>
      </c>
      <c r="B25" s="114">
        <v>69.33</v>
      </c>
      <c r="C25" s="115">
        <v>8</v>
      </c>
      <c r="D25" s="111">
        <v>71.1206</v>
      </c>
      <c r="E25" s="113">
        <v>3.23</v>
      </c>
    </row>
    <row r="26" spans="1:7">
      <c r="A26" s="110" t="s">
        <v>593</v>
      </c>
      <c r="B26" s="114">
        <v>79.65</v>
      </c>
      <c r="C26" s="115">
        <v>6.9</v>
      </c>
      <c r="D26" s="111">
        <v>81.9</v>
      </c>
      <c r="E26" s="113">
        <v>3</v>
      </c>
    </row>
    <row r="27" spans="1:7">
      <c r="A27" s="110" t="s">
        <v>594</v>
      </c>
      <c r="B27" s="114">
        <v>89.42</v>
      </c>
      <c r="C27" s="115">
        <v>5.6</v>
      </c>
      <c r="D27" s="111">
        <v>92.8654</v>
      </c>
      <c r="E27" s="113">
        <v>3.88</v>
      </c>
    </row>
    <row r="28" spans="1:7">
      <c r="A28" s="110" t="s">
        <v>595</v>
      </c>
      <c r="B28" s="114">
        <v>99.61</v>
      </c>
      <c r="C28" s="115">
        <v>5.9</v>
      </c>
      <c r="D28" s="111">
        <v>103.21</v>
      </c>
      <c r="E28" s="113">
        <v>3.9</v>
      </c>
    </row>
    <row r="29" spans="1:7">
      <c r="A29" s="110" t="s">
        <v>596</v>
      </c>
      <c r="B29" s="114">
        <v>109.32</v>
      </c>
      <c r="C29" s="115">
        <v>5.76</v>
      </c>
      <c r="D29" s="111">
        <v>113.71</v>
      </c>
      <c r="E29" s="113">
        <v>4</v>
      </c>
      <c r="G29" s="116"/>
    </row>
    <row r="30" ht="15" spans="1:7">
      <c r="A30" s="117" t="s">
        <v>93</v>
      </c>
      <c r="B30" s="118">
        <v>119.75</v>
      </c>
      <c r="C30" s="119">
        <v>6</v>
      </c>
      <c r="D30" s="120">
        <v>124.5773</v>
      </c>
      <c r="E30" s="121">
        <v>4.13</v>
      </c>
    </row>
    <row r="31" spans="1:7">
      <c r="A31" s="122"/>
      <c r="B31" s="122"/>
      <c r="C31" s="122"/>
      <c r="D31" s="122"/>
      <c r="E31" s="122"/>
    </row>
  </sheetData>
  <mergeCells count="8">
    <mergeCell ref="A1:E1"/>
    <mergeCell ref="D2:E2"/>
    <mergeCell ref="B3:C3"/>
    <mergeCell ref="D3:E3"/>
    <mergeCell ref="B17:C17"/>
    <mergeCell ref="D17:E17"/>
    <mergeCell ref="A3:A4"/>
    <mergeCell ref="A17:A18"/>
  </mergeCells>
  <pageMargins left="0.75" right="0.75" top="1" bottom="1" header="0.51" footer="0.51"/>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G31"/>
  <sheetViews>
    <sheetView topLeftCell="A7" workbookViewId="0">
      <selection activeCell="B27" sqref="B27:C31"/>
    </sheetView>
  </sheetViews>
  <sheetFormatPr defaultColWidth="9" defaultRowHeight="14.25" outlineLevelCol="6"/>
  <cols>
    <col min="1" max="1" width="14.375" style="44" customWidth="1"/>
    <col min="2" max="2" width="26.875" customWidth="1"/>
    <col min="3" max="3" width="18.875" customWidth="1"/>
    <col min="4" max="4" width="0.5" hidden="1" customWidth="1"/>
    <col min="5" max="6" width="9" hidden="1" customWidth="1"/>
  </cols>
  <sheetData>
    <row r="1" ht="33.75" customHeight="1" spans="1:7">
      <c r="A1" s="3" t="s">
        <v>606</v>
      </c>
      <c r="B1" s="3"/>
      <c r="C1" s="3"/>
      <c r="D1" s="3"/>
      <c r="E1" s="3"/>
      <c r="F1" s="3"/>
      <c r="G1" s="45"/>
    </row>
    <row r="2" ht="20.25" customHeight="1" spans="1:7">
      <c r="A2" s="46"/>
      <c r="B2" s="46"/>
      <c r="C2" t="s">
        <v>607</v>
      </c>
      <c r="G2" s="45"/>
    </row>
    <row r="3" s="43" customFormat="1" ht="31.5" customHeight="1" spans="1:7">
      <c r="A3" t="s">
        <v>578</v>
      </c>
      <c r="B3" t="s">
        <v>12</v>
      </c>
      <c r="C3"/>
      <c r="D3" s="48"/>
      <c r="E3" s="49"/>
      <c r="F3" s="50"/>
      <c r="G3" s="51"/>
    </row>
    <row r="4" s="43" customFormat="1" ht="31.5" customHeight="1" spans="1:7">
      <c r="A4"/>
      <c r="B4" s="7" t="s">
        <v>579</v>
      </c>
      <c r="C4" s="8" t="s">
        <v>580</v>
      </c>
      <c r="D4" s="52"/>
      <c r="E4" s="53"/>
      <c r="F4" s="54"/>
      <c r="G4" s="51"/>
    </row>
    <row r="5" ht="18" customHeight="1" spans="1:7">
      <c r="A5" s="9">
        <v>2016</v>
      </c>
      <c r="B5" s="77"/>
      <c r="C5" s="11"/>
      <c r="D5" s="55"/>
      <c r="E5" s="55"/>
      <c r="F5" s="55"/>
    </row>
    <row r="6" ht="18" customHeight="1" spans="1:7">
      <c r="A6" s="9">
        <v>5</v>
      </c>
      <c r="B6" s="77">
        <f>ROUND(3079283,0)</f>
        <v>3079283</v>
      </c>
      <c r="C6" s="11">
        <f>ROUND(7.2,1)</f>
        <v>7.2</v>
      </c>
      <c r="D6" s="55"/>
      <c r="E6" s="55"/>
      <c r="F6" s="55"/>
    </row>
    <row r="7" ht="18" customHeight="1" spans="1:7">
      <c r="A7" s="9">
        <v>6</v>
      </c>
      <c r="B7" s="77">
        <f>ROUND(5096563,0)</f>
        <v>5096563</v>
      </c>
      <c r="C7" s="11">
        <f>ROUND(15.1,1)</f>
        <v>15.1</v>
      </c>
      <c r="D7" s="55"/>
      <c r="E7" s="55"/>
      <c r="F7" s="55"/>
    </row>
    <row r="8" ht="18" customHeight="1" spans="1:7">
      <c r="A8" s="9">
        <v>7</v>
      </c>
      <c r="B8" s="77">
        <f>ROUND(6263505,0)</f>
        <v>6263505</v>
      </c>
      <c r="C8" s="78">
        <f>ROUND(16.3,1)</f>
        <v>16.3</v>
      </c>
      <c r="D8" s="55"/>
      <c r="E8" s="55"/>
      <c r="F8" s="55"/>
    </row>
    <row r="9" ht="18" customHeight="1" spans="1:7">
      <c r="A9" s="9">
        <v>8</v>
      </c>
      <c r="B9" s="77">
        <f>ROUND(7372203,0)</f>
        <v>7372203</v>
      </c>
      <c r="C9" s="11">
        <f>ROUND(24.8,1)</f>
        <v>24.8</v>
      </c>
      <c r="D9" s="55"/>
      <c r="E9" s="55"/>
      <c r="F9" s="55"/>
    </row>
    <row r="10" ht="18" customHeight="1" spans="1:7">
      <c r="A10" s="9">
        <v>9</v>
      </c>
      <c r="B10" s="77">
        <f>ROUND(8717492,0)</f>
        <v>8717492</v>
      </c>
      <c r="C10" s="11">
        <f>ROUND(23.5,1)</f>
        <v>23.5</v>
      </c>
      <c r="D10" s="55"/>
      <c r="E10" s="55"/>
      <c r="F10" s="55"/>
    </row>
    <row r="11" ht="18" customHeight="1" spans="1:7">
      <c r="A11" s="9">
        <v>10</v>
      </c>
      <c r="B11" s="77">
        <f>ROUND(10215452,0)</f>
        <v>10215452</v>
      </c>
      <c r="C11" s="11">
        <f>ROUND(22.6,1)</f>
        <v>22.6</v>
      </c>
      <c r="D11" s="55"/>
      <c r="E11" s="55"/>
      <c r="F11" s="55"/>
    </row>
    <row r="12" spans="1:7">
      <c r="A12" s="9">
        <v>11</v>
      </c>
      <c r="B12" s="77">
        <f>ROUND(12000485,0)</f>
        <v>12000485</v>
      </c>
      <c r="C12" s="11">
        <f>ROUND(23.9,1)</f>
        <v>23.9</v>
      </c>
    </row>
    <row r="13" spans="1:7">
      <c r="A13" s="9">
        <v>12</v>
      </c>
      <c r="B13" s="77">
        <f>ROUND(15315995,0)</f>
        <v>15315995</v>
      </c>
      <c r="C13" s="11">
        <f>ROUND(16.6,1)</f>
        <v>16.6</v>
      </c>
    </row>
    <row r="14" spans="1:7">
      <c r="A14" s="9">
        <v>2017</v>
      </c>
      <c r="B14" s="79"/>
      <c r="C14" s="80"/>
    </row>
    <row r="15" spans="1:7">
      <c r="A15" s="9">
        <v>2</v>
      </c>
      <c r="B15" s="77">
        <f>ROUND(796488,0)</f>
        <v>796488</v>
      </c>
      <c r="C15" s="11">
        <f>ROUND(5.3,1)</f>
        <v>5.3</v>
      </c>
    </row>
    <row r="16" spans="1:7">
      <c r="A16" s="9">
        <v>3</v>
      </c>
      <c r="B16" s="79">
        <f>ROUND(1575746,0)</f>
        <v>1575746</v>
      </c>
      <c r="C16" s="11">
        <f>ROUND(7.9,1)</f>
        <v>7.9</v>
      </c>
    </row>
    <row r="17" spans="1:3">
      <c r="A17" s="66">
        <v>4</v>
      </c>
      <c r="B17" s="41">
        <f>ROUND(2056743,0)</f>
        <v>2056743</v>
      </c>
      <c r="C17" s="11">
        <f>ROUND(-0.7,1)</f>
        <v>-0.7</v>
      </c>
    </row>
    <row r="18" spans="1:3">
      <c r="A18" s="66">
        <v>5</v>
      </c>
      <c r="B18" s="16">
        <f>ROUND(2889968,0)</f>
        <v>2889968</v>
      </c>
      <c r="C18" s="11">
        <f>ROUND(-6.1,1)</f>
        <v>-6.1</v>
      </c>
    </row>
    <row r="19" spans="1:3">
      <c r="A19" s="66">
        <v>6</v>
      </c>
      <c r="B19" s="16">
        <f>ROUND(5604382,0)</f>
        <v>5604382</v>
      </c>
      <c r="C19" s="11">
        <f>ROUND(10,1)</f>
        <v>10</v>
      </c>
    </row>
    <row r="20" spans="1:3">
      <c r="A20" s="66">
        <v>7</v>
      </c>
      <c r="B20" s="79">
        <f>ROUND(6864511,0)</f>
        <v>6864511</v>
      </c>
      <c r="C20" s="11">
        <f>ROUND(9.6,1)</f>
        <v>9.6</v>
      </c>
    </row>
    <row r="21" spans="1:3">
      <c r="A21" s="81">
        <v>8</v>
      </c>
      <c r="B21" s="41">
        <f>ROUND(8096944,0)</f>
        <v>8096944</v>
      </c>
      <c r="C21" s="11">
        <f>ROUND(9.8,1)</f>
        <v>9.8</v>
      </c>
    </row>
    <row r="22" spans="1:3">
      <c r="A22" s="81">
        <v>9</v>
      </c>
      <c r="B22" s="41">
        <f>ROUND(9772404,0)</f>
        <v>9772404</v>
      </c>
      <c r="C22" s="11">
        <f>ROUND(12.1010951314896,1)</f>
        <v>12.1</v>
      </c>
    </row>
    <row r="23" spans="1:3">
      <c r="A23" s="81">
        <v>10</v>
      </c>
      <c r="B23" s="41">
        <f>ROUND(11367531,0)</f>
        <v>11367531</v>
      </c>
      <c r="C23" s="11">
        <f>ROUND(11.3,1)</f>
        <v>11.3</v>
      </c>
    </row>
    <row r="24" spans="1:3">
      <c r="A24" s="81">
        <v>11</v>
      </c>
      <c r="B24" s="41">
        <f>ROUND(13376063,0)</f>
        <v>13376063</v>
      </c>
      <c r="C24" s="11">
        <f>ROUND(11.5,1)</f>
        <v>11.5</v>
      </c>
    </row>
    <row r="25" spans="1:3">
      <c r="A25" s="81">
        <v>12</v>
      </c>
      <c r="B25" s="41">
        <f>ROUND(16415341,0)</f>
        <v>16415341</v>
      </c>
      <c r="C25" s="11">
        <f>ROUND(7.2,1)</f>
        <v>7.2</v>
      </c>
    </row>
    <row r="26" spans="1:3">
      <c r="A26" s="15">
        <v>2018</v>
      </c>
      <c r="B26" s="16"/>
      <c r="C26" s="17"/>
    </row>
    <row r="27" spans="1:3">
      <c r="A27" s="15">
        <v>2</v>
      </c>
      <c r="B27" s="16">
        <f>ROUND(844761,0)</f>
        <v>844761</v>
      </c>
      <c r="C27" s="21">
        <f>ROUND(8.8,1)</f>
        <v>8.8</v>
      </c>
    </row>
    <row r="28" spans="1:3">
      <c r="A28" s="15">
        <v>3</v>
      </c>
      <c r="B28" s="16">
        <f>ROUND(2020022,0)</f>
        <v>2020022</v>
      </c>
      <c r="C28" s="21">
        <f>ROUND(31.6,1)</f>
        <v>31.6</v>
      </c>
    </row>
    <row r="29" spans="1:3">
      <c r="A29" s="15">
        <v>4</v>
      </c>
      <c r="B29" s="41">
        <f>ROUND(2639275,0)</f>
        <v>2639275</v>
      </c>
      <c r="C29" s="21">
        <f>ROUND(31,1)</f>
        <v>31</v>
      </c>
    </row>
    <row r="30" spans="1:3">
      <c r="A30" s="15">
        <v>5</v>
      </c>
      <c r="B30" s="41">
        <v>3391968</v>
      </c>
      <c r="C30" s="21">
        <v>19.6</v>
      </c>
    </row>
    <row r="31" spans="1:3">
      <c r="A31" s="22">
        <v>6</v>
      </c>
      <c r="B31" s="82">
        <v>5515829</v>
      </c>
      <c r="C31" s="83">
        <v>13.6</v>
      </c>
    </row>
  </sheetData>
  <mergeCells count="4">
    <mergeCell ref="A1:F1"/>
    <mergeCell ref="C2:F2"/>
    <mergeCell ref="B3:C3"/>
    <mergeCell ref="A3:A4"/>
  </mergeCells>
  <pageMargins left="0.75" right="0.75" top="1" bottom="1" header="0.5" footer="0.5"/>
  <pageSetup paperSize="9" orientation="portrait"/>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zoomScale="90" zoomScaleNormal="90" zoomScaleSheetLayoutView="70" workbookViewId="0">
      <selection activeCell="I22" sqref="I22"/>
    </sheetView>
  </sheetViews>
  <sheetFormatPr defaultColWidth="9" defaultRowHeight="14.25" outlineLevelCol="5"/>
  <cols>
    <col min="1" max="1" width="28" customWidth="1"/>
    <col min="2" max="4" width="9.125" customWidth="1"/>
  </cols>
  <sheetData>
    <row r="1" ht="28.5" customHeight="1" spans="1:6">
      <c r="A1" s="644" t="s">
        <v>47</v>
      </c>
      <c r="B1" s="644"/>
      <c r="C1" s="644"/>
      <c r="D1" s="644"/>
      <c r="E1" s="644"/>
      <c r="F1" s="644"/>
    </row>
    <row r="2" ht="20" customHeight="1" spans="1:6">
      <c r="A2" s="645" t="s">
        <v>1</v>
      </c>
      <c r="B2" s="646" t="s">
        <v>2</v>
      </c>
      <c r="C2" s="647" t="s">
        <v>48</v>
      </c>
      <c r="D2" s="656"/>
      <c r="E2" s="647">
        <v>43466</v>
      </c>
      <c r="F2" s="648"/>
    </row>
    <row r="3" ht="20" customHeight="1" spans="1:6">
      <c r="A3" s="649"/>
      <c r="B3" s="650"/>
      <c r="C3" s="649" t="s">
        <v>5</v>
      </c>
      <c r="D3" s="649" t="s">
        <v>6</v>
      </c>
      <c r="E3" s="649" t="s">
        <v>5</v>
      </c>
      <c r="F3" s="651" t="s">
        <v>6</v>
      </c>
    </row>
    <row r="4" ht="25.9" customHeight="1" spans="1:6">
      <c r="A4" s="652" t="s">
        <v>7</v>
      </c>
      <c r="B4" s="473" t="s">
        <v>8</v>
      </c>
      <c r="C4" s="657" t="s">
        <v>9</v>
      </c>
      <c r="D4" s="658" t="s">
        <v>9</v>
      </c>
      <c r="E4" s="473" t="s">
        <v>9</v>
      </c>
      <c r="F4" s="658" t="s">
        <v>9</v>
      </c>
    </row>
    <row r="5" ht="25.9" customHeight="1" spans="1:6">
      <c r="A5" s="652" t="s">
        <v>10</v>
      </c>
      <c r="B5" s="473" t="s">
        <v>8</v>
      </c>
      <c r="C5" s="654">
        <v>340.39</v>
      </c>
      <c r="D5" s="383">
        <v>4.1</v>
      </c>
      <c r="E5" s="473" t="s">
        <v>9</v>
      </c>
      <c r="F5" s="658" t="s">
        <v>9</v>
      </c>
    </row>
    <row r="6" ht="25.9" customHeight="1" spans="1:6">
      <c r="A6" s="652" t="s">
        <v>11</v>
      </c>
      <c r="B6" s="473" t="s">
        <v>8</v>
      </c>
      <c r="C6" s="654">
        <v>108.21</v>
      </c>
      <c r="D6" s="383">
        <v>3.7</v>
      </c>
      <c r="E6" s="473" t="s">
        <v>9</v>
      </c>
      <c r="F6" s="658" t="s">
        <v>9</v>
      </c>
    </row>
    <row r="7" ht="25.9" customHeight="1" spans="1:6">
      <c r="A7" s="652" t="s">
        <v>12</v>
      </c>
      <c r="B7" s="473" t="s">
        <v>8</v>
      </c>
      <c r="C7" s="653"/>
      <c r="D7" s="383">
        <v>16.1</v>
      </c>
      <c r="E7" s="473" t="s">
        <v>9</v>
      </c>
      <c r="F7" s="658" t="s">
        <v>9</v>
      </c>
    </row>
    <row r="8" ht="25.9" customHeight="1" spans="1:6">
      <c r="A8" s="652" t="s">
        <v>13</v>
      </c>
      <c r="B8" s="473" t="s">
        <v>8</v>
      </c>
      <c r="C8" s="654"/>
      <c r="D8" s="383">
        <v>17.8</v>
      </c>
      <c r="E8" s="473" t="s">
        <v>9</v>
      </c>
      <c r="F8" s="658" t="s">
        <v>9</v>
      </c>
    </row>
    <row r="9" ht="25.9" customHeight="1" spans="1:6">
      <c r="A9" s="652" t="s">
        <v>14</v>
      </c>
      <c r="B9" s="473" t="s">
        <v>15</v>
      </c>
      <c r="C9" s="654">
        <v>68.7213</v>
      </c>
      <c r="D9" s="383">
        <v>-6.9</v>
      </c>
      <c r="E9" s="473" t="s">
        <v>9</v>
      </c>
      <c r="F9" s="658" t="s">
        <v>9</v>
      </c>
    </row>
    <row r="10" ht="25.9" customHeight="1" spans="1:6">
      <c r="A10" s="652" t="s">
        <v>16</v>
      </c>
      <c r="B10" s="473" t="s">
        <v>8</v>
      </c>
      <c r="C10" s="654">
        <v>298.7004</v>
      </c>
      <c r="D10" s="383">
        <v>8.1</v>
      </c>
      <c r="E10" s="657" t="s">
        <v>9</v>
      </c>
      <c r="F10" s="658" t="s">
        <v>9</v>
      </c>
    </row>
    <row r="11" ht="25.9" customHeight="1" spans="1:6">
      <c r="A11" s="652" t="s">
        <v>17</v>
      </c>
      <c r="B11" s="473" t="s">
        <v>8</v>
      </c>
      <c r="C11" s="654">
        <v>24.87</v>
      </c>
      <c r="D11" s="383">
        <v>11.8</v>
      </c>
      <c r="E11" s="653">
        <v>17.38</v>
      </c>
      <c r="F11" s="383">
        <v>32.2</v>
      </c>
    </row>
    <row r="12" ht="25.9" customHeight="1" spans="1:6">
      <c r="A12" s="652" t="s">
        <v>18</v>
      </c>
      <c r="B12" s="473" t="s">
        <v>8</v>
      </c>
      <c r="C12" s="654">
        <v>66.73</v>
      </c>
      <c r="D12" s="383">
        <v>16</v>
      </c>
      <c r="E12" s="653">
        <v>35.69</v>
      </c>
      <c r="F12" s="383">
        <v>68.8</v>
      </c>
    </row>
    <row r="13" ht="25.9" customHeight="1" spans="1:6">
      <c r="A13" s="652" t="s">
        <v>19</v>
      </c>
      <c r="B13" s="473" t="s">
        <v>8</v>
      </c>
      <c r="C13" s="654">
        <v>116.52</v>
      </c>
      <c r="D13" s="383">
        <v>12.8</v>
      </c>
      <c r="E13" s="653">
        <v>68.61</v>
      </c>
      <c r="F13" s="383">
        <v>28.2</v>
      </c>
    </row>
    <row r="14" ht="25.9" customHeight="1" spans="1:6">
      <c r="A14" s="652" t="s">
        <v>20</v>
      </c>
      <c r="B14" s="473" t="s">
        <v>8</v>
      </c>
      <c r="C14" s="659">
        <v>53.55</v>
      </c>
      <c r="D14" s="383">
        <v>14.7</v>
      </c>
      <c r="E14" s="654">
        <v>36.8</v>
      </c>
      <c r="F14" s="383">
        <v>44.4</v>
      </c>
    </row>
    <row r="15" ht="25.9" customHeight="1" spans="1:6">
      <c r="A15" s="652" t="s">
        <v>21</v>
      </c>
      <c r="B15" s="473" t="s">
        <v>8</v>
      </c>
      <c r="C15" s="659">
        <v>26.44</v>
      </c>
      <c r="D15" s="383">
        <v>3.7</v>
      </c>
      <c r="E15" s="653">
        <v>20.59</v>
      </c>
      <c r="F15" s="383">
        <v>29.8</v>
      </c>
    </row>
    <row r="16" ht="25.9" customHeight="1" spans="1:6">
      <c r="A16" s="652" t="s">
        <v>22</v>
      </c>
      <c r="B16" s="473" t="s">
        <v>8</v>
      </c>
      <c r="C16" s="654">
        <v>27.11</v>
      </c>
      <c r="D16" s="383">
        <v>28</v>
      </c>
      <c r="E16" s="654">
        <v>16.22</v>
      </c>
      <c r="F16" s="383">
        <v>68.5</v>
      </c>
    </row>
    <row r="17" ht="25.9" customHeight="1" spans="1:6">
      <c r="A17" s="652" t="s">
        <v>23</v>
      </c>
      <c r="B17" s="473" t="s">
        <v>24</v>
      </c>
      <c r="C17" s="660">
        <v>1197</v>
      </c>
      <c r="D17" s="383">
        <v>5.7</v>
      </c>
      <c r="E17" s="653">
        <v>723</v>
      </c>
      <c r="F17" s="383">
        <v>0.1</v>
      </c>
    </row>
    <row r="18" ht="25.9" customHeight="1" spans="1:6">
      <c r="A18" s="652" t="s">
        <v>25</v>
      </c>
      <c r="B18" s="473" t="s">
        <v>8</v>
      </c>
      <c r="C18" s="654">
        <v>3434.33</v>
      </c>
      <c r="D18" s="383">
        <v>7.1</v>
      </c>
      <c r="E18" s="653">
        <v>3333.67</v>
      </c>
      <c r="F18" s="383">
        <v>7.6</v>
      </c>
    </row>
    <row r="19" ht="25.9" customHeight="1" spans="1:6">
      <c r="A19" s="652" t="s">
        <v>26</v>
      </c>
      <c r="B19" s="473" t="s">
        <v>8</v>
      </c>
      <c r="C19" s="654">
        <v>2252.36</v>
      </c>
      <c r="D19" s="383">
        <v>10.1</v>
      </c>
      <c r="E19" s="653">
        <v>2191.22</v>
      </c>
      <c r="F19" s="383">
        <v>12</v>
      </c>
    </row>
    <row r="20" ht="25.9" customHeight="1" spans="1:6">
      <c r="A20" s="652" t="s">
        <v>27</v>
      </c>
      <c r="B20" s="473" t="s">
        <v>8</v>
      </c>
      <c r="C20" s="654">
        <v>2252.35</v>
      </c>
      <c r="D20" s="383">
        <v>15.9</v>
      </c>
      <c r="E20" s="653">
        <v>2269.78</v>
      </c>
      <c r="F20" s="383">
        <v>19.6</v>
      </c>
    </row>
    <row r="21" ht="25.9" customHeight="1" spans="1:6">
      <c r="A21" s="652" t="s">
        <v>28</v>
      </c>
      <c r="B21" s="473" t="s">
        <v>29</v>
      </c>
      <c r="C21" s="383">
        <v>101.6</v>
      </c>
      <c r="D21" s="383">
        <v>1.6</v>
      </c>
      <c r="E21" s="653">
        <v>101.9</v>
      </c>
      <c r="F21" s="383">
        <v>1.9</v>
      </c>
    </row>
    <row r="22" ht="25.9" customHeight="1" spans="1:6">
      <c r="A22" s="652" t="s">
        <v>30</v>
      </c>
      <c r="B22" s="473" t="s">
        <v>29</v>
      </c>
      <c r="C22" s="383">
        <v>100.4</v>
      </c>
      <c r="D22" s="383">
        <v>0.4</v>
      </c>
      <c r="E22" s="653">
        <v>100.1</v>
      </c>
      <c r="F22" s="383">
        <v>0.1</v>
      </c>
    </row>
    <row r="23" ht="25.9" customHeight="1" spans="1:6">
      <c r="A23" s="652" t="s">
        <v>31</v>
      </c>
      <c r="B23" s="473" t="s">
        <v>32</v>
      </c>
      <c r="C23" s="654">
        <v>29.1554</v>
      </c>
      <c r="D23" s="383">
        <v>7.36</v>
      </c>
      <c r="E23" s="654">
        <v>15.6251</v>
      </c>
      <c r="F23" s="383">
        <v>9.03</v>
      </c>
    </row>
    <row r="24" ht="25.9" customHeight="1" spans="1:6">
      <c r="A24" s="652" t="s">
        <v>33</v>
      </c>
      <c r="B24" s="473" t="s">
        <v>32</v>
      </c>
      <c r="C24" s="458">
        <v>17.8917</v>
      </c>
      <c r="D24" s="661">
        <v>6</v>
      </c>
      <c r="E24" s="654">
        <v>9.5556</v>
      </c>
      <c r="F24" s="383">
        <v>4.79</v>
      </c>
    </row>
    <row r="25" ht="20" customHeight="1" spans="1:6">
      <c r="A25" s="395" t="s">
        <v>34</v>
      </c>
      <c r="B25" s="395"/>
      <c r="C25" s="395"/>
      <c r="D25" s="395"/>
      <c r="E25" s="395"/>
      <c r="F25" s="395"/>
    </row>
  </sheetData>
  <mergeCells count="6">
    <mergeCell ref="A1:F1"/>
    <mergeCell ref="C2:D2"/>
    <mergeCell ref="E2:F2"/>
    <mergeCell ref="A25:F25"/>
    <mergeCell ref="A2:A3"/>
    <mergeCell ref="B2:B3"/>
  </mergeCells>
  <pageMargins left="0.75" right="0.75" top="1" bottom="1" header="0.5" footer="0.5"/>
  <pageSetup paperSize="9" orientation="portrait"/>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G30"/>
  <sheetViews>
    <sheetView topLeftCell="A7" workbookViewId="0">
      <selection activeCell="B26" sqref="B26:C30"/>
    </sheetView>
  </sheetViews>
  <sheetFormatPr defaultColWidth="9" defaultRowHeight="14.25" outlineLevelCol="6"/>
  <cols>
    <col min="1" max="1" width="14.375" style="44" customWidth="1"/>
    <col min="2" max="2" width="26.875" customWidth="1"/>
    <col min="3" max="3" width="18.875" customWidth="1"/>
    <col min="4" max="4" width="0.5" hidden="1" customWidth="1"/>
    <col min="5" max="6" width="9" hidden="1" customWidth="1"/>
  </cols>
  <sheetData>
    <row r="1" ht="33.75" customHeight="1" spans="1:7">
      <c r="A1" s="3" t="s">
        <v>608</v>
      </c>
      <c r="B1" s="3"/>
      <c r="C1" s="3"/>
      <c r="D1" s="3"/>
      <c r="E1" s="3"/>
      <c r="F1" s="3"/>
      <c r="G1" s="45"/>
    </row>
    <row r="2" ht="20.25" customHeight="1" spans="1:7">
      <c r="A2" s="46"/>
      <c r="B2" s="46"/>
      <c r="C2" t="s">
        <v>607</v>
      </c>
      <c r="G2" s="45"/>
    </row>
    <row r="3" s="43" customFormat="1" ht="31.5" customHeight="1" spans="1:7">
      <c r="A3" t="s">
        <v>578</v>
      </c>
      <c r="B3" t="s">
        <v>16</v>
      </c>
      <c r="C3"/>
      <c r="D3" s="48"/>
      <c r="E3" s="49"/>
      <c r="F3" s="50"/>
      <c r="G3" s="51"/>
    </row>
    <row r="4" s="43" customFormat="1" ht="31.5" customHeight="1" spans="1:7">
      <c r="A4"/>
      <c r="B4" s="7" t="s">
        <v>579</v>
      </c>
      <c r="C4" s="8" t="s">
        <v>580</v>
      </c>
      <c r="D4" s="52"/>
      <c r="E4" s="53"/>
      <c r="F4" s="54"/>
      <c r="G4" s="51"/>
    </row>
    <row r="5" ht="18" customHeight="1" spans="1:7">
      <c r="A5" s="9">
        <v>2016</v>
      </c>
      <c r="B5" s="61"/>
      <c r="C5" s="11"/>
      <c r="D5" s="55"/>
      <c r="E5" s="55"/>
      <c r="F5" s="55"/>
    </row>
    <row r="6" ht="18" customHeight="1" spans="1:7">
      <c r="A6" s="9">
        <v>6</v>
      </c>
      <c r="B6" s="62">
        <f>ROUND(6760206,0)</f>
        <v>6760206</v>
      </c>
      <c r="C6" s="63">
        <f>ROUND(8.8,1)</f>
        <v>8.8</v>
      </c>
      <c r="D6" s="55"/>
      <c r="E6" s="55"/>
      <c r="F6" s="55"/>
    </row>
    <row r="7" ht="18" customHeight="1" spans="1:7">
      <c r="A7" s="9">
        <v>7</v>
      </c>
      <c r="B7" s="62">
        <f>ROUND(7975890,0)</f>
        <v>7975890</v>
      </c>
      <c r="C7" s="63">
        <f>ROUND(9,1)</f>
        <v>9</v>
      </c>
      <c r="D7" s="55"/>
      <c r="E7" s="55"/>
      <c r="F7" s="55"/>
    </row>
    <row r="8" ht="18" customHeight="1" spans="1:7">
      <c r="A8" s="9">
        <v>8</v>
      </c>
      <c r="B8" s="62">
        <f>ROUND(9193702.5,0)</f>
        <v>9193703</v>
      </c>
      <c r="C8" s="63">
        <f>ROUND(8.9,1)</f>
        <v>8.9</v>
      </c>
      <c r="D8" s="55"/>
      <c r="E8" s="55"/>
      <c r="F8" s="55"/>
    </row>
    <row r="9" spans="1:7">
      <c r="A9" s="9">
        <v>9</v>
      </c>
      <c r="B9" s="64">
        <f>ROUND(10457008.3,0)</f>
        <v>10457008</v>
      </c>
      <c r="C9" s="63">
        <f>ROUND(9.3,1)</f>
        <v>9.3</v>
      </c>
    </row>
    <row r="10" spans="1:7">
      <c r="A10" s="9">
        <v>10</v>
      </c>
      <c r="B10" s="64">
        <f>ROUND(11782159.5,0)</f>
        <v>11782160</v>
      </c>
      <c r="C10" s="63">
        <f>ROUND(9.5,1)</f>
        <v>9.5</v>
      </c>
    </row>
    <row r="11" spans="1:7">
      <c r="A11" s="9">
        <v>11</v>
      </c>
      <c r="B11" s="65">
        <f>ROUND(13025842,0)</f>
        <v>13025842</v>
      </c>
      <c r="C11" s="63">
        <f>ROUND(9.4,1)</f>
        <v>9.4</v>
      </c>
    </row>
    <row r="12" ht="15.95" customHeight="1" spans="1:7">
      <c r="A12" s="66">
        <v>12</v>
      </c>
      <c r="B12" s="67">
        <f>ROUND(14329570,0)</f>
        <v>14329570</v>
      </c>
      <c r="C12" s="68">
        <f>ROUND(9.5,1)</f>
        <v>9.5</v>
      </c>
    </row>
    <row r="13" ht="15.95" customHeight="1" spans="1:7">
      <c r="A13" s="66">
        <v>2017</v>
      </c>
      <c r="B13" s="67"/>
      <c r="C13" s="68"/>
    </row>
    <row r="14" ht="15.95" customHeight="1" spans="1:7">
      <c r="A14" s="66">
        <v>2</v>
      </c>
      <c r="B14" s="67">
        <f>ROUND(2520522,0)</f>
        <v>2520522</v>
      </c>
      <c r="C14" s="69">
        <f>ROUND(12,1)</f>
        <v>12</v>
      </c>
    </row>
    <row r="15" ht="15.95" customHeight="1" spans="1:7">
      <c r="A15" s="66">
        <v>3</v>
      </c>
      <c r="B15" s="67">
        <f>ROUND(3755066,0)</f>
        <v>3755066</v>
      </c>
      <c r="C15" s="68">
        <f>ROUND(12.1,1)</f>
        <v>12.1</v>
      </c>
    </row>
    <row r="16" ht="15.95" customHeight="1" spans="1:7">
      <c r="A16" s="66">
        <v>4</v>
      </c>
      <c r="B16" s="67">
        <f>ROUND(4968495,0)</f>
        <v>4968495</v>
      </c>
      <c r="C16" s="68">
        <f>ROUND(11.8,1)</f>
        <v>11.8</v>
      </c>
    </row>
    <row r="17" ht="15.95" customHeight="1" spans="1:3">
      <c r="A17" s="66">
        <v>5</v>
      </c>
      <c r="B17" s="67">
        <f>ROUND(6247711,0)</f>
        <v>6247711</v>
      </c>
      <c r="C17" s="68">
        <f>ROUND(11.5,1)</f>
        <v>11.5</v>
      </c>
    </row>
    <row r="18" ht="15.95" customHeight="1" spans="1:3">
      <c r="A18" s="66">
        <v>6</v>
      </c>
      <c r="B18" s="67">
        <f>ROUND(7543984,0)</f>
        <v>7543984</v>
      </c>
      <c r="C18" s="68">
        <f>ROUND(11.1,1)</f>
        <v>11.1</v>
      </c>
    </row>
    <row r="19" ht="15.95" customHeight="1" spans="1:3">
      <c r="A19" s="66">
        <v>7</v>
      </c>
      <c r="B19" s="67">
        <f>ROUND(8865132,0)</f>
        <v>8865132</v>
      </c>
      <c r="C19" s="68">
        <f>ROUND(10.8,1)</f>
        <v>10.8</v>
      </c>
    </row>
    <row r="20" ht="15.95" customHeight="1" spans="1:3">
      <c r="A20" s="70">
        <v>8</v>
      </c>
      <c r="B20" s="71">
        <f>ROUND(10165674.4,0)</f>
        <v>10165674</v>
      </c>
      <c r="C20" s="72">
        <f>ROUND(10.2,1)</f>
        <v>10.2</v>
      </c>
    </row>
    <row r="21" spans="1:3">
      <c r="A21" s="66">
        <v>9</v>
      </c>
      <c r="B21" s="71">
        <f>ROUND(11558876.6,0)</f>
        <v>11558877</v>
      </c>
      <c r="C21" s="72">
        <f>ROUND(10.2,1)</f>
        <v>10.2</v>
      </c>
    </row>
    <row r="22" spans="1:3">
      <c r="A22" s="66">
        <v>10</v>
      </c>
      <c r="B22" s="71">
        <f>ROUND(12962204,0)</f>
        <v>12962204</v>
      </c>
      <c r="C22" s="72">
        <f>ROUND(10.2,1)</f>
        <v>10.2</v>
      </c>
    </row>
    <row r="23" spans="1:3">
      <c r="A23" s="66">
        <v>11</v>
      </c>
      <c r="B23" s="71">
        <f>ROUND(14339244.7,0)</f>
        <v>14339245</v>
      </c>
      <c r="C23" s="73">
        <f>ROUND(10.1873510322444,1)</f>
        <v>10.2</v>
      </c>
    </row>
    <row r="24" spans="1:3">
      <c r="A24" s="66">
        <v>12</v>
      </c>
      <c r="B24" s="71">
        <f>ROUND(15780801.9,0)</f>
        <v>15780802</v>
      </c>
      <c r="C24" s="73">
        <f>ROUND(10.1275297129633,1)</f>
        <v>10.1</v>
      </c>
    </row>
    <row r="25" spans="1:3">
      <c r="A25" s="15">
        <v>2018</v>
      </c>
      <c r="B25" s="16"/>
      <c r="C25" s="17"/>
    </row>
    <row r="26" spans="1:3">
      <c r="A26" s="15">
        <v>2</v>
      </c>
      <c r="B26" s="74">
        <f>ROUND(2761961.2,0)</f>
        <v>2761961</v>
      </c>
      <c r="C26" s="17">
        <f>ROUND(10.1,1)</f>
        <v>10.1</v>
      </c>
    </row>
    <row r="27" spans="1:3">
      <c r="A27" s="15">
        <v>3</v>
      </c>
      <c r="B27" s="74">
        <f>ROUND(4120562.9,0)</f>
        <v>4120563</v>
      </c>
      <c r="C27" s="17">
        <f>ROUND(10.1,1)</f>
        <v>10.1</v>
      </c>
    </row>
    <row r="28" spans="1:3">
      <c r="A28" s="15">
        <v>4</v>
      </c>
      <c r="B28" s="74">
        <f>ROUND(5462840,0)</f>
        <v>5462840</v>
      </c>
      <c r="C28" s="17">
        <f>ROUND(10.1,1)</f>
        <v>10.1</v>
      </c>
    </row>
    <row r="29" spans="1:3">
      <c r="A29" s="15">
        <v>5</v>
      </c>
      <c r="B29" s="74">
        <v>6829174</v>
      </c>
      <c r="C29" s="21">
        <v>10</v>
      </c>
    </row>
    <row r="30" spans="1:3">
      <c r="A30" s="22">
        <v>6</v>
      </c>
      <c r="B30" s="75">
        <v>8214416</v>
      </c>
      <c r="C30" s="76">
        <v>10</v>
      </c>
    </row>
  </sheetData>
  <mergeCells count="4">
    <mergeCell ref="A1:F1"/>
    <mergeCell ref="C2:F2"/>
    <mergeCell ref="B3:C3"/>
    <mergeCell ref="A3:A4"/>
  </mergeCells>
  <pageMargins left="0.75" right="0.75" top="1" bottom="1" header="0.5" footer="0.5"/>
  <pageSetup paperSize="9" orientation="portrait"/>
  <headerFooter alignWithMargins="0" scaleWithDoc="0"/>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H32"/>
  <sheetViews>
    <sheetView workbookViewId="0">
      <selection activeCell="J35" sqref="J35"/>
    </sheetView>
  </sheetViews>
  <sheetFormatPr defaultColWidth="9" defaultRowHeight="14.25" outlineLevelCol="7"/>
  <cols>
    <col min="1" max="1" width="14.375" style="44" customWidth="1"/>
    <col min="2" max="2" width="26.875" customWidth="1"/>
    <col min="3" max="3" width="18.875" customWidth="1"/>
    <col min="4" max="4" width="0.5" hidden="1" customWidth="1"/>
    <col min="5" max="6" width="9" hidden="1" customWidth="1"/>
  </cols>
  <sheetData>
    <row r="1" ht="33.75" customHeight="1" spans="1:8">
      <c r="A1" s="3" t="s">
        <v>609</v>
      </c>
      <c r="B1" s="3"/>
      <c r="C1" s="3"/>
      <c r="D1" s="3"/>
      <c r="E1" s="3"/>
      <c r="F1" s="3"/>
      <c r="G1" s="45"/>
    </row>
    <row r="2" ht="20.25" customHeight="1" spans="1:8">
      <c r="A2" s="46"/>
      <c r="C2" s="47" t="s">
        <v>610</v>
      </c>
      <c r="D2" s="47"/>
      <c r="E2" s="47"/>
      <c r="F2" s="47"/>
      <c r="G2" s="47"/>
      <c r="H2" s="47"/>
    </row>
    <row r="3" s="43" customFormat="1" ht="31.5" customHeight="1" spans="1:8">
      <c r="A3" t="s">
        <v>578</v>
      </c>
      <c r="B3" t="s">
        <v>611</v>
      </c>
      <c r="C3"/>
      <c r="D3" s="48"/>
      <c r="E3" s="49"/>
      <c r="F3" s="50"/>
      <c r="G3" s="51"/>
    </row>
    <row r="4" s="43" customFormat="1" ht="31.5" customHeight="1" spans="1:8">
      <c r="A4"/>
      <c r="B4" s="7" t="s">
        <v>579</v>
      </c>
      <c r="C4" s="8" t="s">
        <v>580</v>
      </c>
      <c r="D4" s="52"/>
      <c r="E4" s="53"/>
      <c r="F4" s="54"/>
      <c r="G4" s="51"/>
    </row>
    <row r="5" ht="18" customHeight="1" spans="1:8">
      <c r="A5" s="9">
        <v>2016</v>
      </c>
      <c r="B5" s="27"/>
      <c r="C5" s="11"/>
      <c r="D5" s="55"/>
      <c r="E5" s="55"/>
      <c r="F5" s="55"/>
      <c r="H5" t="s">
        <v>612</v>
      </c>
    </row>
    <row r="6" ht="18" customHeight="1" spans="1:8">
      <c r="A6" s="9">
        <v>5</v>
      </c>
      <c r="B6" s="27">
        <f>ROUND(651964,0)</f>
        <v>651964</v>
      </c>
      <c r="C6" s="56">
        <f>ROUND(4.3,1)</f>
        <v>4.3</v>
      </c>
      <c r="D6" s="55"/>
      <c r="E6" s="55"/>
      <c r="F6" s="55"/>
    </row>
    <row r="7" ht="18" customHeight="1" spans="1:8">
      <c r="A7" s="9">
        <v>6</v>
      </c>
      <c r="B7" s="27">
        <f>ROUND(780476,0)</f>
        <v>780476</v>
      </c>
      <c r="C7" s="11">
        <f>ROUND(-3.8,1)</f>
        <v>-3.8</v>
      </c>
      <c r="D7" s="55"/>
      <c r="E7" s="55"/>
      <c r="F7" s="55"/>
    </row>
    <row r="8" ht="18" customHeight="1" spans="1:8">
      <c r="A8" s="9">
        <v>7</v>
      </c>
      <c r="B8" s="27">
        <f>ROUND(922333.1019,0)</f>
        <v>922333</v>
      </c>
      <c r="C8" s="11">
        <f>ROUND(-3.98796758100968,1)</f>
        <v>-4</v>
      </c>
      <c r="D8" s="55"/>
      <c r="E8" s="55"/>
      <c r="F8" s="55"/>
    </row>
    <row r="9" spans="1:8">
      <c r="A9" s="9">
        <v>8</v>
      </c>
      <c r="B9" s="27">
        <f>ROUND(1118014,0)</f>
        <v>1118014</v>
      </c>
      <c r="C9" s="11">
        <f>ROUND(2.07,1)</f>
        <v>2.1</v>
      </c>
    </row>
    <row r="10" spans="1:8">
      <c r="A10" s="9">
        <v>9</v>
      </c>
      <c r="B10" s="27">
        <f>ROUND(1355582.6735,0)</f>
        <v>1355583</v>
      </c>
      <c r="C10" s="11">
        <f>ROUND(10.8909650955423,1)</f>
        <v>10.9</v>
      </c>
    </row>
    <row r="11" spans="1:8">
      <c r="A11" s="9">
        <v>10</v>
      </c>
      <c r="B11" s="27">
        <f>ROUND(1530438,0)</f>
        <v>1530438</v>
      </c>
      <c r="C11" s="11">
        <f>ROUND(12,1)</f>
        <v>12</v>
      </c>
    </row>
    <row r="12" spans="1:8">
      <c r="A12" s="57">
        <v>11</v>
      </c>
      <c r="B12" s="27">
        <f>ROUND(1711506,0)</f>
        <v>1711506</v>
      </c>
      <c r="C12" s="11">
        <f>ROUND(14,1)</f>
        <v>14</v>
      </c>
    </row>
    <row r="13" spans="1:8">
      <c r="A13" s="57">
        <v>12</v>
      </c>
      <c r="B13" s="27">
        <f>ROUND(1947922,0)</f>
        <v>1947922</v>
      </c>
      <c r="C13" s="11">
        <f>ROUND(11.8,1)</f>
        <v>11.8</v>
      </c>
    </row>
    <row r="14" spans="1:8">
      <c r="A14" s="57">
        <v>2017</v>
      </c>
      <c r="B14" s="27"/>
      <c r="C14" s="11"/>
    </row>
    <row r="15" spans="1:8">
      <c r="A15" s="57">
        <v>1</v>
      </c>
      <c r="B15" s="27">
        <f>ROUND(181359,0)</f>
        <v>181359</v>
      </c>
      <c r="C15" s="11">
        <f>ROUND(-7.6,1)</f>
        <v>-7.6</v>
      </c>
    </row>
    <row r="16" spans="1:8">
      <c r="A16" s="57">
        <v>2</v>
      </c>
      <c r="B16" s="27">
        <f>ROUND(241658,0)</f>
        <v>241658</v>
      </c>
      <c r="C16" s="11">
        <f>ROUND(-11.38,1)</f>
        <v>-11.4</v>
      </c>
    </row>
    <row r="17" spans="1:3">
      <c r="A17" s="57">
        <v>3</v>
      </c>
      <c r="B17" s="27">
        <f>ROUND(415528,0)</f>
        <v>415528</v>
      </c>
      <c r="C17" s="11">
        <f>ROUND(13.9,1)</f>
        <v>13.9</v>
      </c>
    </row>
    <row r="18" spans="1:3">
      <c r="A18" s="57">
        <v>4</v>
      </c>
      <c r="B18" s="27">
        <f>ROUND(594563,0)</f>
        <v>594563</v>
      </c>
      <c r="C18" s="11">
        <f>ROUND(22.2,1)</f>
        <v>22.2</v>
      </c>
    </row>
    <row r="19" spans="1:3">
      <c r="A19" s="57">
        <v>5</v>
      </c>
      <c r="B19" s="27">
        <f>ROUND(815811,0)</f>
        <v>815811</v>
      </c>
      <c r="C19" s="11">
        <f>ROUND(28.7,1)</f>
        <v>28.7</v>
      </c>
    </row>
    <row r="20" spans="1:3">
      <c r="A20" s="57">
        <v>6</v>
      </c>
      <c r="B20" s="27">
        <f>ROUND(1006074,0)</f>
        <v>1006074</v>
      </c>
      <c r="C20" s="11">
        <f>ROUND(32,1)</f>
        <v>32</v>
      </c>
    </row>
    <row r="21" spans="1:3">
      <c r="A21" s="57">
        <v>7</v>
      </c>
      <c r="B21" s="40">
        <f>ROUND(1228741,0)</f>
        <v>1228741</v>
      </c>
      <c r="C21" s="14">
        <f>ROUND(35.9,1)</f>
        <v>35.9</v>
      </c>
    </row>
    <row r="22" spans="1:3">
      <c r="A22" s="57">
        <v>8</v>
      </c>
      <c r="B22" s="40">
        <v>1411285</v>
      </c>
      <c r="C22" s="14">
        <v>28.3</v>
      </c>
    </row>
    <row r="23" spans="1:3">
      <c r="A23" s="57">
        <v>9</v>
      </c>
      <c r="B23" s="40">
        <f>ROUND(1593063,0)</f>
        <v>1593063</v>
      </c>
      <c r="C23" s="14">
        <f>ROUND(19.1,1)</f>
        <v>19.1</v>
      </c>
    </row>
    <row r="24" spans="1:3">
      <c r="A24" s="57">
        <v>10</v>
      </c>
      <c r="B24" s="40">
        <f>ROUND(1750486,0)</f>
        <v>1750486</v>
      </c>
      <c r="C24" s="14">
        <f>ROUND(15.7303,1)</f>
        <v>15.7</v>
      </c>
    </row>
    <row r="25" spans="1:3">
      <c r="A25" s="57">
        <v>11</v>
      </c>
      <c r="B25" s="40">
        <f>ROUND(1923410,0)</f>
        <v>1923410</v>
      </c>
      <c r="C25" s="14">
        <f>ROUND(12.4106,1)</f>
        <v>12.4</v>
      </c>
    </row>
    <row r="26" spans="1:3">
      <c r="A26" s="57">
        <v>12</v>
      </c>
      <c r="B26" s="40">
        <f>ROUND(2170709.6623,0)</f>
        <v>2170710</v>
      </c>
      <c r="C26" s="14">
        <f>ROUND(11.4496,1)</f>
        <v>11.4</v>
      </c>
    </row>
    <row r="27" spans="1:3">
      <c r="A27" s="15">
        <v>2018</v>
      </c>
      <c r="B27" s="16"/>
      <c r="C27" s="17"/>
    </row>
    <row r="28" spans="1:3">
      <c r="A28" s="15">
        <v>1</v>
      </c>
      <c r="B28" s="40">
        <f>ROUND(245060.5487,0)</f>
        <v>245061</v>
      </c>
      <c r="C28" s="14">
        <f>ROUND(-9.2749,1)</f>
        <v>-9.3</v>
      </c>
    </row>
    <row r="29" spans="1:3">
      <c r="A29" s="15">
        <v>2</v>
      </c>
      <c r="B29" s="40">
        <f>ROUND(254273.584,0)</f>
        <v>254274</v>
      </c>
      <c r="C29" s="14">
        <f>ROUND(5.1148,1)</f>
        <v>5.1</v>
      </c>
    </row>
    <row r="30" spans="1:3">
      <c r="A30" s="15">
        <v>3</v>
      </c>
      <c r="B30" s="40">
        <f>ROUND(368490,0)</f>
        <v>368490</v>
      </c>
      <c r="C30" s="58">
        <f>ROUND(-11.4,1)</f>
        <v>-11.4</v>
      </c>
    </row>
    <row r="31" spans="1:3">
      <c r="A31" s="15">
        <v>4</v>
      </c>
      <c r="B31" s="40">
        <v>498314.2314</v>
      </c>
      <c r="C31" s="58">
        <v>-16.2432</v>
      </c>
    </row>
    <row r="32" spans="1:3">
      <c r="A32" s="22">
        <v>5</v>
      </c>
      <c r="B32" s="59">
        <v>696319</v>
      </c>
      <c r="C32" s="60">
        <v>-14.7</v>
      </c>
    </row>
  </sheetData>
  <mergeCells count="3">
    <mergeCell ref="A1:F1"/>
    <mergeCell ref="B3:C3"/>
    <mergeCell ref="A3:A4"/>
  </mergeCells>
  <pageMargins left="0.75" right="0.75" top="1" bottom="1" header="0.5" footer="0.5"/>
  <pageSetup paperSize="9" orientation="portrait"/>
  <headerFooter alignWithMargins="0" scaleWithDoc="0"/>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C31"/>
  <sheetViews>
    <sheetView topLeftCell="A7" workbookViewId="0">
      <selection activeCell="H36" sqref="H36"/>
    </sheetView>
  </sheetViews>
  <sheetFormatPr defaultColWidth="9" defaultRowHeight="14.25" outlineLevelCol="2"/>
  <cols>
    <col min="1" max="1" width="14.375" customWidth="1"/>
    <col min="2" max="2" width="26.875" customWidth="1"/>
    <col min="3" max="3" width="18.875" customWidth="1"/>
  </cols>
  <sheetData>
    <row r="1" ht="24" spans="1:3">
      <c r="A1" s="39" t="s">
        <v>613</v>
      </c>
      <c r="B1" s="39"/>
      <c r="C1" s="39"/>
    </row>
    <row r="2" ht="24.75" spans="1:3">
      <c r="A2" s="25"/>
      <c r="B2" s="25"/>
      <c r="C2" s="26" t="s">
        <v>607</v>
      </c>
    </row>
    <row r="3" ht="32.1" customHeight="1" spans="1:3">
      <c r="A3" t="s">
        <v>578</v>
      </c>
      <c r="B3" t="s">
        <v>17</v>
      </c>
    </row>
    <row r="4" ht="32.1" customHeight="1" spans="1:3">
      <c r="B4" s="7" t="s">
        <v>579</v>
      </c>
      <c r="C4" s="8" t="s">
        <v>580</v>
      </c>
    </row>
    <row r="5" ht="18" customHeight="1" spans="1:3">
      <c r="A5" s="9">
        <v>2016</v>
      </c>
      <c r="B5" s="27"/>
      <c r="C5" s="11"/>
    </row>
    <row r="6" ht="18" customHeight="1" spans="1:3">
      <c r="A6" s="9">
        <v>6</v>
      </c>
      <c r="B6" s="27">
        <f>ROUND(566175,0)</f>
        <v>566175</v>
      </c>
      <c r="C6" s="11">
        <f>ROUND(5,1)</f>
        <v>5</v>
      </c>
    </row>
    <row r="7" spans="1:3">
      <c r="A7" s="9">
        <v>7</v>
      </c>
      <c r="B7" s="27">
        <f>ROUND(663904,0)</f>
        <v>663904</v>
      </c>
      <c r="C7" s="11">
        <f>ROUND(7.7,1)</f>
        <v>7.7</v>
      </c>
    </row>
    <row r="8" spans="1:3">
      <c r="A8" s="9">
        <v>8</v>
      </c>
      <c r="B8" s="27">
        <f>ROUND(735390,0)</f>
        <v>735390</v>
      </c>
      <c r="C8" s="11">
        <f>ROUND(7.7,1)</f>
        <v>7.7</v>
      </c>
    </row>
    <row r="9" spans="1:3">
      <c r="A9" s="9">
        <v>9</v>
      </c>
      <c r="B9" s="27">
        <f>ROUND(815736,0)</f>
        <v>815736</v>
      </c>
      <c r="C9" s="29">
        <f>ROUND(7.2,1)</f>
        <v>7.2</v>
      </c>
    </row>
    <row r="10" spans="1:3">
      <c r="A10" s="9">
        <v>10</v>
      </c>
      <c r="B10" s="27">
        <f>ROUND(894414,0)</f>
        <v>894414</v>
      </c>
      <c r="C10" s="29">
        <f>ROUND(7.36088408731323,1)</f>
        <v>7.4</v>
      </c>
    </row>
    <row r="11" spans="1:3">
      <c r="A11" s="9">
        <v>11</v>
      </c>
      <c r="B11" s="27">
        <f>ROUND(966337,0)</f>
        <v>966337</v>
      </c>
      <c r="C11" s="30">
        <f>ROUND(3.8,1)</f>
        <v>3.8</v>
      </c>
    </row>
    <row r="12" spans="1:3">
      <c r="A12" s="9">
        <v>12</v>
      </c>
      <c r="B12" s="27">
        <f>ROUND(1129375,0)</f>
        <v>1129375</v>
      </c>
      <c r="C12" s="30">
        <f>ROUND(-4.8,1)</f>
        <v>-4.8</v>
      </c>
    </row>
    <row r="13" spans="1:3">
      <c r="A13" s="9">
        <v>2017</v>
      </c>
      <c r="B13" s="27"/>
      <c r="C13" s="30"/>
    </row>
    <row r="14" spans="1:3">
      <c r="A14" s="9">
        <v>2</v>
      </c>
      <c r="B14" s="27">
        <f>ROUND(168865,0)</f>
        <v>168865</v>
      </c>
      <c r="C14" s="30">
        <f>ROUND(21.3,1)</f>
        <v>21.3</v>
      </c>
    </row>
    <row r="15" spans="1:3">
      <c r="A15" s="9">
        <v>3</v>
      </c>
      <c r="B15" s="27">
        <f>ROUND(248142,0)</f>
        <v>248142</v>
      </c>
      <c r="C15" s="30">
        <f>ROUND(15.8466028595928,1)</f>
        <v>15.8</v>
      </c>
    </row>
    <row r="16" spans="1:3">
      <c r="A16" s="9">
        <v>4</v>
      </c>
      <c r="B16" s="27">
        <f>ROUND(325815,0)</f>
        <v>325815</v>
      </c>
      <c r="C16" s="30">
        <v>7.38333558548909</v>
      </c>
    </row>
    <row r="17" spans="1:3">
      <c r="A17" s="9">
        <v>5</v>
      </c>
      <c r="B17" s="27">
        <f>ROUND(401635,0)</f>
        <v>401635</v>
      </c>
      <c r="C17" s="30">
        <f>ROUND(2.1,1)</f>
        <v>2.1</v>
      </c>
    </row>
    <row r="18" spans="1:3">
      <c r="A18" s="9">
        <v>6</v>
      </c>
      <c r="B18" s="27">
        <f>ROUND(583819,0)</f>
        <v>583819</v>
      </c>
      <c r="C18" s="30">
        <f>ROUND(6.8,1)</f>
        <v>6.8</v>
      </c>
    </row>
    <row r="19" spans="1:3">
      <c r="A19" s="9">
        <v>7</v>
      </c>
      <c r="B19" s="27">
        <f>ROUND(672492,0)</f>
        <v>672492</v>
      </c>
      <c r="C19" s="30">
        <f>ROUND(4.4,1)</f>
        <v>4.4</v>
      </c>
    </row>
    <row r="20" spans="1:3">
      <c r="A20" s="31">
        <v>8</v>
      </c>
      <c r="B20" s="27">
        <f>ROUND(745911,0)</f>
        <v>745911</v>
      </c>
      <c r="C20" s="32">
        <f>ROUND(4.2,1)</f>
        <v>4.2</v>
      </c>
    </row>
    <row r="21" spans="1:3">
      <c r="A21" s="31">
        <v>9</v>
      </c>
      <c r="B21" s="27">
        <f>ROUND(869421,0)</f>
        <v>869421</v>
      </c>
      <c r="C21" s="32">
        <f>ROUND(9.22031343236707,1)</f>
        <v>9.2</v>
      </c>
    </row>
    <row r="22" spans="1:3">
      <c r="A22" s="15">
        <v>10</v>
      </c>
      <c r="B22" s="40">
        <f>ROUND(1196191,0)</f>
        <v>1196191</v>
      </c>
      <c r="C22" s="17">
        <f>ROUND(36.8,1)</f>
        <v>36.8</v>
      </c>
    </row>
    <row r="23" spans="1:3">
      <c r="A23" s="15">
        <v>11</v>
      </c>
      <c r="B23" s="40">
        <f>ROUND(1260850,0)</f>
        <v>1260850</v>
      </c>
      <c r="C23" s="34">
        <f>ROUND(32.3884093336007,1)</f>
        <v>32.4</v>
      </c>
    </row>
    <row r="24" spans="1:3">
      <c r="A24" s="15">
        <v>12</v>
      </c>
      <c r="B24" s="40">
        <f>ROUND(1349958,0)</f>
        <v>1349958</v>
      </c>
      <c r="C24" s="34">
        <f>ROUND(21.0263352533788,1)</f>
        <v>21</v>
      </c>
    </row>
    <row r="25" spans="1:3">
      <c r="A25" s="15">
        <v>2018</v>
      </c>
      <c r="B25" s="16"/>
      <c r="C25" s="17"/>
    </row>
    <row r="26" spans="1:3">
      <c r="A26" s="15">
        <v>1</v>
      </c>
      <c r="B26" s="16">
        <f>ROUND(131471,0)</f>
        <v>131471</v>
      </c>
      <c r="C26" s="34">
        <f>ROUND(33.4500644558807,1)</f>
        <v>33.5</v>
      </c>
    </row>
    <row r="27" spans="1:3">
      <c r="A27" s="15">
        <v>2</v>
      </c>
      <c r="B27" s="16">
        <f>ROUND(222479,0)</f>
        <v>222479</v>
      </c>
      <c r="C27" s="34">
        <f>ROUND(31.7496224794955,1)</f>
        <v>31.7</v>
      </c>
    </row>
    <row r="28" spans="1:3">
      <c r="A28" s="15">
        <v>3</v>
      </c>
      <c r="B28" s="16">
        <f>ROUND(302572,0)</f>
        <v>302572</v>
      </c>
      <c r="C28" s="34">
        <f>ROUND(21.9350210766416,1)</f>
        <v>21.9</v>
      </c>
    </row>
    <row r="29" spans="1:3">
      <c r="A29" s="15">
        <v>4</v>
      </c>
      <c r="B29" s="41">
        <f>ROUND(403634,0)</f>
        <v>403634</v>
      </c>
      <c r="C29" s="21">
        <f>ROUND(23.9,1)</f>
        <v>23.9</v>
      </c>
    </row>
    <row r="30" spans="1:3">
      <c r="A30" s="15">
        <v>5</v>
      </c>
      <c r="B30" s="41">
        <v>499011</v>
      </c>
      <c r="C30" s="21">
        <v>24.2448989754379</v>
      </c>
    </row>
    <row r="31" spans="1:3">
      <c r="A31" s="22">
        <v>6</v>
      </c>
      <c r="B31" s="42">
        <v>647923</v>
      </c>
      <c r="C31" s="24">
        <v>11</v>
      </c>
    </row>
  </sheetData>
  <mergeCells count="3">
    <mergeCell ref="A1:C1"/>
    <mergeCell ref="B3:C3"/>
    <mergeCell ref="A3:A4"/>
  </mergeCells>
  <printOptions horizontalCentered="1"/>
  <pageMargins left="0.75" right="0.75" top="0.98" bottom="0.98" header="0.51" footer="0.51"/>
  <pageSetup paperSize="9" orientation="portrait"/>
  <headerFooter alignWithMargins="0" scaleWithDoc="0"/>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C30"/>
  <sheetViews>
    <sheetView workbookViewId="0">
      <selection activeCell="F12" sqref="F12"/>
    </sheetView>
  </sheetViews>
  <sheetFormatPr defaultColWidth="9" defaultRowHeight="14.25" outlineLevelCol="2"/>
  <cols>
    <col min="1" max="1" width="14.375" customWidth="1"/>
    <col min="2" max="2" width="26.875" customWidth="1"/>
    <col min="3" max="3" width="18.875" customWidth="1"/>
  </cols>
  <sheetData>
    <row r="1" spans="1:3">
      <c r="A1" t="s">
        <v>614</v>
      </c>
    </row>
    <row r="2" ht="24.75" spans="1:3">
      <c r="A2" s="25"/>
      <c r="B2" s="25"/>
      <c r="C2" s="26" t="s">
        <v>615</v>
      </c>
    </row>
    <row r="3" ht="32.1" customHeight="1" spans="1:3">
      <c r="A3" t="s">
        <v>578</v>
      </c>
      <c r="B3" t="s">
        <v>604</v>
      </c>
    </row>
    <row r="4" ht="32.1" customHeight="1" spans="1:3">
      <c r="B4" s="7" t="s">
        <v>579</v>
      </c>
      <c r="C4" s="8" t="s">
        <v>580</v>
      </c>
    </row>
    <row r="5" ht="18" customHeight="1" spans="1:3">
      <c r="A5" s="9">
        <v>2016</v>
      </c>
      <c r="B5" s="27"/>
      <c r="C5" s="11"/>
    </row>
    <row r="6" ht="18" customHeight="1" spans="1:3">
      <c r="A6" s="9">
        <v>6</v>
      </c>
      <c r="B6" s="28">
        <f>ROUND(38.78,2)</f>
        <v>38.78</v>
      </c>
      <c r="C6" s="11">
        <f>ROUND(31.4,1)</f>
        <v>31.4</v>
      </c>
    </row>
    <row r="7" spans="1:3">
      <c r="A7" s="9">
        <v>7</v>
      </c>
      <c r="B7" s="28">
        <f>ROUND(49.38,2)</f>
        <v>49.38</v>
      </c>
      <c r="C7" s="11">
        <f>ROUND(44.3,1)</f>
        <v>44.3</v>
      </c>
    </row>
    <row r="8" spans="1:3">
      <c r="A8" s="9">
        <v>8</v>
      </c>
      <c r="B8" s="28">
        <f>ROUND(56,2)</f>
        <v>56</v>
      </c>
      <c r="C8" s="11">
        <f>ROUND(41.9,1)</f>
        <v>41.9</v>
      </c>
    </row>
    <row r="9" spans="1:3">
      <c r="A9" s="9">
        <v>9</v>
      </c>
      <c r="B9" s="28">
        <f>ROUND(64.1,2)</f>
        <v>64.1</v>
      </c>
      <c r="C9" s="29">
        <f>ROUND(44.1,1)</f>
        <v>44.1</v>
      </c>
    </row>
    <row r="10" spans="1:3">
      <c r="A10" s="9">
        <v>10</v>
      </c>
      <c r="B10" s="28">
        <f>ROUND(72.32,2)</f>
        <v>72.32</v>
      </c>
      <c r="C10" s="29">
        <f>ROUND(47.3,1)</f>
        <v>47.3</v>
      </c>
    </row>
    <row r="11" spans="1:3">
      <c r="A11" s="9">
        <v>11</v>
      </c>
      <c r="B11" s="28">
        <f>ROUND(80.75,2)</f>
        <v>80.75</v>
      </c>
      <c r="C11" s="30">
        <f>ROUND(52,1)</f>
        <v>52</v>
      </c>
    </row>
    <row r="12" spans="1:3">
      <c r="A12" s="9">
        <v>12</v>
      </c>
      <c r="B12" s="28">
        <f>ROUND(89.4,2)</f>
        <v>89.4</v>
      </c>
      <c r="C12" s="30">
        <f>ROUND(52.9,1)</f>
        <v>52.9</v>
      </c>
    </row>
    <row r="13" spans="1:3">
      <c r="A13" s="9">
        <v>2017</v>
      </c>
      <c r="B13" s="28"/>
      <c r="C13" s="30"/>
    </row>
    <row r="14" spans="1:3">
      <c r="A14" s="9">
        <v>2</v>
      </c>
      <c r="B14" s="28">
        <f>ROUND(19.95,2)</f>
        <v>19.95</v>
      </c>
      <c r="C14" s="30">
        <f>ROUND(49.7,1)</f>
        <v>49.7</v>
      </c>
    </row>
    <row r="15" spans="1:3">
      <c r="A15" s="9">
        <v>3</v>
      </c>
      <c r="B15" s="28">
        <f>ROUND(25.02,2)</f>
        <v>25.02</v>
      </c>
      <c r="C15" s="30">
        <f>ROUND(66.7,1)</f>
        <v>66.7</v>
      </c>
    </row>
    <row r="16" spans="1:3">
      <c r="A16" s="9">
        <v>4</v>
      </c>
      <c r="B16" s="28">
        <f>ROUND(34.86,2)</f>
        <v>34.86</v>
      </c>
      <c r="C16" s="30">
        <f>ROUND(55.8,1)</f>
        <v>55.8</v>
      </c>
    </row>
    <row r="17" spans="1:3">
      <c r="A17" s="9">
        <v>5</v>
      </c>
      <c r="B17" s="28">
        <f>ROUND(44.18,2)</f>
        <v>44.18</v>
      </c>
      <c r="C17" s="30">
        <f>ROUND(47.1,1)</f>
        <v>47.1</v>
      </c>
    </row>
    <row r="18" spans="1:3">
      <c r="A18" s="9">
        <v>6</v>
      </c>
      <c r="B18" s="28">
        <f>ROUND(54.94,2)</f>
        <v>54.94</v>
      </c>
      <c r="C18" s="30">
        <f>ROUND(41.7,1)</f>
        <v>41.7</v>
      </c>
    </row>
    <row r="19" spans="1:3">
      <c r="A19" s="9">
        <v>7</v>
      </c>
      <c r="B19" s="28">
        <f>ROUND(64.67,2)</f>
        <v>64.67</v>
      </c>
      <c r="C19" s="30">
        <f>ROUND(35.8,1)</f>
        <v>35.8</v>
      </c>
    </row>
    <row r="20" spans="1:3">
      <c r="A20" s="31">
        <v>8</v>
      </c>
      <c r="B20" s="28">
        <f>ROUND(75.46,2)</f>
        <v>75.46</v>
      </c>
      <c r="C20" s="32">
        <f>ROUND(34.8,1)</f>
        <v>34.8</v>
      </c>
    </row>
    <row r="21" spans="1:3">
      <c r="A21" s="31">
        <v>9</v>
      </c>
      <c r="B21" s="28">
        <f>ROUND(85.67,2)</f>
        <v>85.67</v>
      </c>
      <c r="C21" s="32">
        <f>ROUND(33.7,1)</f>
        <v>33.7</v>
      </c>
    </row>
    <row r="22" spans="1:3">
      <c r="A22" s="15">
        <v>10</v>
      </c>
      <c r="B22" s="33">
        <f>ROUND(93.88,2)</f>
        <v>93.88</v>
      </c>
      <c r="C22" s="17">
        <f>ROUND(29.8,1)</f>
        <v>29.8</v>
      </c>
    </row>
    <row r="23" spans="1:3">
      <c r="A23" s="15">
        <v>11</v>
      </c>
      <c r="B23" s="33">
        <f>ROUND(102.83,2)</f>
        <v>102.83</v>
      </c>
      <c r="C23" s="34">
        <f>ROUND(27.4,1)</f>
        <v>27.4</v>
      </c>
    </row>
    <row r="24" spans="1:3">
      <c r="A24" s="15">
        <v>12</v>
      </c>
      <c r="B24" s="33">
        <f>ROUND(112.45,2)</f>
        <v>112.45</v>
      </c>
      <c r="C24" s="34">
        <f>ROUND(25.8,1)</f>
        <v>25.8</v>
      </c>
    </row>
    <row r="25" spans="1:3">
      <c r="A25" s="15">
        <v>2018</v>
      </c>
      <c r="B25" s="35"/>
      <c r="C25" s="17"/>
    </row>
    <row r="26" spans="1:3">
      <c r="A26" s="15">
        <v>2</v>
      </c>
      <c r="B26" s="35">
        <f>ROUND(17.26707351,2)</f>
        <v>17.27</v>
      </c>
      <c r="C26" s="34">
        <f>ROUND(6.31,1)</f>
        <v>6.3</v>
      </c>
    </row>
    <row r="27" spans="1:3">
      <c r="A27" s="15">
        <v>3</v>
      </c>
      <c r="B27" s="35">
        <f>ROUND(26.96,2)</f>
        <v>26.96</v>
      </c>
      <c r="C27" s="34">
        <f>ROUND(6.1,1)</f>
        <v>6.1</v>
      </c>
    </row>
    <row r="28" spans="1:3">
      <c r="A28" s="15">
        <v>4</v>
      </c>
      <c r="B28" s="28">
        <f>ROUND(374489.7976/10000,2)</f>
        <v>37.45</v>
      </c>
      <c r="C28" s="36">
        <f>ROUND(5.86,1)</f>
        <v>5.9</v>
      </c>
    </row>
    <row r="29" spans="1:3">
      <c r="A29" s="15">
        <v>5</v>
      </c>
      <c r="B29" s="28">
        <v>48.08</v>
      </c>
      <c r="C29" s="36">
        <v>9.1</v>
      </c>
    </row>
    <row r="30" spans="1:3">
      <c r="A30" s="22">
        <v>6</v>
      </c>
      <c r="B30" s="37">
        <v>58.99</v>
      </c>
      <c r="C30" s="38">
        <v>8.9</v>
      </c>
    </row>
  </sheetData>
  <mergeCells count="3">
    <mergeCell ref="A1:C1"/>
    <mergeCell ref="B3:C3"/>
    <mergeCell ref="A3:A4"/>
  </mergeCells>
  <printOptions horizontalCentered="1"/>
  <pageMargins left="0.75" right="0.75" top="0.98" bottom="0.98" header="0.51" footer="0.51"/>
  <pageSetup paperSize="9" orientation="portrait"/>
  <headerFooter alignWithMargins="0" scaleWithDoc="0"/>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IV31"/>
  <sheetViews>
    <sheetView topLeftCell="A10" workbookViewId="0">
      <selection activeCell="J41" sqref="J41"/>
    </sheetView>
  </sheetViews>
  <sheetFormatPr defaultColWidth="9" defaultRowHeight="12.75"/>
  <cols>
    <col min="1" max="1" width="14.125" style="2" customWidth="1"/>
    <col min="2" max="2" width="21.375" style="2" customWidth="1"/>
    <col min="3" max="3" width="17.375" style="2" customWidth="1"/>
    <col min="4" max="16384" width="9" style="2"/>
  </cols>
  <sheetData>
    <row r="1" ht="24" customHeight="1" spans="1:256">
      <c r="A1" s="3" t="s">
        <v>28</v>
      </c>
      <c r="B1" s="3"/>
      <c r="C1" s="3"/>
    </row>
    <row r="2" ht="24" customHeight="1" spans="1:256">
      <c r="A2" s="4"/>
      <c r="B2" s="5"/>
      <c r="C2" s="6" t="s">
        <v>616</v>
      </c>
    </row>
    <row r="3" s="1" customFormat="1" ht="32.25" customHeight="1" spans="1:256">
      <c r="A3" t="s">
        <v>578</v>
      </c>
      <c r="B3" t="s">
        <v>28</v>
      </c>
      <c r="C3"/>
    </row>
    <row r="4" s="1" customFormat="1" ht="32.25" customHeight="1" spans="1:256">
      <c r="A4">
        <v>2009</v>
      </c>
      <c r="B4" s="7" t="s">
        <v>617</v>
      </c>
      <c r="C4" s="8" t="s">
        <v>618</v>
      </c>
    </row>
    <row r="5" s="1" customFormat="1" ht="20.1" customHeight="1" spans="1:256">
      <c r="A5" s="9">
        <v>2016</v>
      </c>
      <c r="B5" s="10"/>
      <c r="C5" s="11"/>
    </row>
    <row r="6" s="1" customFormat="1" ht="20.1" customHeight="1" spans="1:256">
      <c r="A6" s="9">
        <v>6</v>
      </c>
      <c r="B6" s="10">
        <f>ROUND(102.3,1)</f>
        <v>102.3</v>
      </c>
      <c r="C6" s="11">
        <f>ROUND(102.7,1)</f>
        <v>102.7</v>
      </c>
    </row>
    <row r="7" s="1" customFormat="1" ht="20.1" customHeight="1" spans="1:256">
      <c r="A7" s="9">
        <v>7</v>
      </c>
      <c r="B7" s="10">
        <f>ROUND(102.1,1)</f>
        <v>102.1</v>
      </c>
      <c r="C7" s="11">
        <f>ROUND(102.6,1)</f>
        <v>102.6</v>
      </c>
    </row>
    <row r="8" s="1" customFormat="1" ht="20.1" customHeight="1" spans="1:256">
      <c r="A8" s="9">
        <v>8</v>
      </c>
      <c r="B8" s="10">
        <f>ROUND(101.4,1)</f>
        <v>101.4</v>
      </c>
      <c r="C8" s="11">
        <f>ROUND(102.5,1)</f>
        <v>102.5</v>
      </c>
    </row>
    <row r="9" s="1" customFormat="1" ht="14.45" customHeight="1" spans="1:256">
      <c r="A9" s="9">
        <v>9</v>
      </c>
      <c r="B9" s="10">
        <f>ROUND(101.82067344,1)</f>
        <v>101.8</v>
      </c>
      <c r="C9" s="11">
        <f>ROUND(102.40761463,1)</f>
        <v>102.4</v>
      </c>
    </row>
    <row r="10" s="1" customFormat="1" ht="14.45" customHeight="1" spans="1:256">
      <c r="A10" s="9">
        <v>10</v>
      </c>
      <c r="B10" s="10">
        <f>ROUND(101.32746357,1)</f>
        <v>101.3</v>
      </c>
      <c r="C10" s="11">
        <f>ROUND(102.29864677,1)</f>
        <v>102.3</v>
      </c>
    </row>
    <row r="11" s="1" customFormat="1" ht="14.45" customHeight="1" spans="1:256">
      <c r="A11" s="9">
        <v>11</v>
      </c>
      <c r="B11" s="10">
        <f>ROUND(102.2,1)</f>
        <v>102.2</v>
      </c>
      <c r="C11" s="11">
        <f>ROUND(102.29864677,1)</f>
        <v>102.3</v>
      </c>
    </row>
    <row r="12" ht="14.25" spans="1:256">
      <c r="A12" s="12">
        <v>12</v>
      </c>
      <c r="B12" s="10">
        <f>ROUND(101.4,1)</f>
        <v>101.4</v>
      </c>
      <c r="C12" s="11">
        <f>ROUND(102.2,1)</f>
        <v>102.2</v>
      </c>
    </row>
    <row r="13" ht="14.25" spans="1:256">
      <c r="A13" s="12">
        <v>2017</v>
      </c>
      <c r="B13" s="10"/>
      <c r="C13" s="11"/>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ht="14.25" spans="1:256">
      <c r="A14" s="12">
        <v>2</v>
      </c>
      <c r="B14" s="10">
        <f>ROUND(99.8,1)</f>
        <v>99.8</v>
      </c>
      <c r="C14" s="11">
        <f>ROUND(101.1,1)</f>
        <v>101.1</v>
      </c>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ht="14.25" spans="1:256">
      <c r="A15" s="12">
        <v>3</v>
      </c>
      <c r="B15" s="10">
        <f>ROUND(100.57911031,1)</f>
        <v>100.6</v>
      </c>
      <c r="C15" s="11">
        <f>ROUND(100.95612843,1)</f>
        <v>101</v>
      </c>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ht="14.25" spans="1:256">
      <c r="A16" s="12">
        <v>4</v>
      </c>
      <c r="B16" s="10">
        <f>ROUND(101,1)</f>
        <v>101</v>
      </c>
      <c r="C16" s="11">
        <f>ROUND(100.95612843,1)</f>
        <v>101</v>
      </c>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ht="14.25" spans="1:256">
      <c r="A17" s="12">
        <v>5</v>
      </c>
      <c r="B17" s="10">
        <f>ROUND(101.5,1)</f>
        <v>101.5</v>
      </c>
      <c r="C17" s="11">
        <f>ROUND(101.1,1)</f>
        <v>101.1</v>
      </c>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ht="14.25" spans="1:256">
      <c r="A18" s="12">
        <v>6</v>
      </c>
      <c r="B18" s="10">
        <f>ROUND(101.1,1)</f>
        <v>101.1</v>
      </c>
      <c r="C18" s="11">
        <f>ROUND(101.1,1)</f>
        <v>101.1</v>
      </c>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ht="14.25" spans="1:256">
      <c r="A19" s="12">
        <v>7</v>
      </c>
      <c r="B19" s="10">
        <f>ROUND(101.62395255,1)</f>
        <v>101.6</v>
      </c>
      <c r="C19" s="11">
        <f>ROUND(101.16440126,1)</f>
        <v>101.2</v>
      </c>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ht="14.25" spans="1:256">
      <c r="A20" s="13">
        <v>8</v>
      </c>
      <c r="B20" s="10">
        <f>ROUND(101.91687646,1)</f>
        <v>101.9</v>
      </c>
      <c r="C20" s="14">
        <f>ROUND(101.25801138,1)</f>
        <v>101.3</v>
      </c>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ht="14.25" spans="1:256">
      <c r="A21" s="12">
        <v>9</v>
      </c>
      <c r="B21" s="10">
        <f>ROUND(101.03765598,1)</f>
        <v>101</v>
      </c>
      <c r="C21" s="14">
        <f>ROUND(101.23346012,1)</f>
        <v>101.2</v>
      </c>
    </row>
    <row r="22" ht="14.25" spans="1:256">
      <c r="A22" s="12">
        <v>10</v>
      </c>
      <c r="B22" s="10">
        <f>ROUND(101.8,1)</f>
        <v>101.8</v>
      </c>
      <c r="C22" s="14">
        <f>ROUND(101.3,1)</f>
        <v>101.3</v>
      </c>
    </row>
    <row r="23" ht="14.25" spans="1:256">
      <c r="A23" s="12">
        <v>11</v>
      </c>
      <c r="B23" s="10">
        <f>ROUND(101.32934401,1)</f>
        <v>101.3</v>
      </c>
      <c r="C23" s="14">
        <f>ROUND(101.29138171,1)</f>
        <v>101.3</v>
      </c>
    </row>
    <row r="24" ht="14.25" spans="1:256">
      <c r="A24" s="12">
        <v>12</v>
      </c>
      <c r="B24" s="10">
        <f>ROUND(101.93633331,1)</f>
        <v>101.9</v>
      </c>
      <c r="C24" s="14">
        <f>ROUND(101.34501843,1)</f>
        <v>101.3</v>
      </c>
    </row>
    <row r="25" ht="14.25" spans="1:256">
      <c r="A25" s="15">
        <v>2018</v>
      </c>
      <c r="B25" s="16"/>
      <c r="C25" s="17"/>
    </row>
    <row r="26" ht="14.25" spans="1:256">
      <c r="A26" s="15">
        <v>1</v>
      </c>
      <c r="B26" s="10">
        <f>ROUND(100.4833835,1)</f>
        <v>100.5</v>
      </c>
      <c r="C26" s="14">
        <f>ROUND(100.4833835,1)</f>
        <v>100.5</v>
      </c>
    </row>
    <row r="27" ht="14.25" spans="1:256">
      <c r="A27" s="15">
        <v>2</v>
      </c>
      <c r="B27" s="18">
        <f>ROUND(102.58323309,1)</f>
        <v>102.6</v>
      </c>
      <c r="C27" s="19">
        <f>ROUND(101.53370061,1)</f>
        <v>101.5</v>
      </c>
    </row>
    <row r="28" ht="14.25" spans="1:256">
      <c r="A28" s="15">
        <v>3</v>
      </c>
      <c r="B28" s="10">
        <f>ROUND(101.8,1)</f>
        <v>101.8</v>
      </c>
      <c r="C28" s="19">
        <f>ROUND(101.6,1)</f>
        <v>101.6</v>
      </c>
    </row>
    <row r="29" ht="14.25" spans="1:256">
      <c r="A29" s="15">
        <v>4</v>
      </c>
      <c r="B29" s="20">
        <f>ROUND(101,1)</f>
        <v>101</v>
      </c>
      <c r="C29" s="21">
        <f>ROUND(101.45789835,1)</f>
        <v>101.5</v>
      </c>
    </row>
    <row r="30" customFormat="1" ht="14.25" spans="1:256">
      <c r="A30" s="15">
        <v>5</v>
      </c>
      <c r="B30" s="20">
        <v>100.63043043</v>
      </c>
      <c r="C30" s="21">
        <v>101.29245659</v>
      </c>
    </row>
    <row r="31" ht="14.25" spans="1:256">
      <c r="A31" s="22">
        <v>6</v>
      </c>
      <c r="B31" s="23">
        <v>101.2</v>
      </c>
      <c r="C31" s="24">
        <v>101.27416779</v>
      </c>
    </row>
  </sheetData>
  <mergeCells count="3">
    <mergeCell ref="A1:C1"/>
    <mergeCell ref="B3:C3"/>
    <mergeCell ref="A3:A4"/>
  </mergeCells>
  <pageMargins left="0.75" right="0.75" top="1" bottom="1" header="0.5" footer="0.5"/>
  <pageSetup paperSize="9" orientation="portrait"/>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
  <sheetViews>
    <sheetView zoomScale="90" zoomScaleNormal="90" zoomScaleSheetLayoutView="70" workbookViewId="0">
      <selection activeCell="K21" sqref="K21"/>
    </sheetView>
  </sheetViews>
  <sheetFormatPr defaultColWidth="9" defaultRowHeight="14.25" outlineLevelCol="3"/>
  <cols>
    <col min="1" max="1" width="28" customWidth="1"/>
    <col min="2" max="2" width="9.125" customWidth="1"/>
  </cols>
  <sheetData>
    <row r="1" ht="28.5" customHeight="1" spans="1:4">
      <c r="A1" s="644" t="s">
        <v>49</v>
      </c>
      <c r="B1" s="644"/>
      <c r="C1" s="644"/>
      <c r="D1" s="644"/>
    </row>
    <row r="2" ht="20" customHeight="1" spans="1:4">
      <c r="A2" s="645" t="s">
        <v>1</v>
      </c>
      <c r="B2" s="646" t="s">
        <v>2</v>
      </c>
      <c r="C2" s="647" t="s">
        <v>50</v>
      </c>
      <c r="D2" s="648"/>
    </row>
    <row r="3" ht="20" customHeight="1" spans="1:4">
      <c r="A3" s="649"/>
      <c r="B3" s="650"/>
      <c r="C3" s="649" t="s">
        <v>5</v>
      </c>
      <c r="D3" s="651" t="s">
        <v>6</v>
      </c>
    </row>
    <row r="4" ht="25.9" customHeight="1" spans="1:4">
      <c r="A4" s="652" t="s">
        <v>7</v>
      </c>
      <c r="B4" s="473" t="s">
        <v>8</v>
      </c>
      <c r="C4" s="653">
        <v>3008.39</v>
      </c>
      <c r="D4" s="383">
        <v>6</v>
      </c>
    </row>
    <row r="5" ht="25.9" customHeight="1" spans="1:4">
      <c r="A5" s="652" t="s">
        <v>10</v>
      </c>
      <c r="B5" s="473" t="s">
        <v>8</v>
      </c>
      <c r="C5" s="653">
        <v>2372.85</v>
      </c>
      <c r="D5" s="383">
        <v>5.1</v>
      </c>
    </row>
    <row r="6" ht="25.9" customHeight="1" spans="1:4">
      <c r="A6" s="652" t="s">
        <v>11</v>
      </c>
      <c r="B6" s="473" t="s">
        <v>8</v>
      </c>
      <c r="C6" s="653">
        <v>769.97</v>
      </c>
      <c r="D6" s="383">
        <v>5</v>
      </c>
    </row>
    <row r="7" ht="25.9" customHeight="1" spans="1:4">
      <c r="A7" s="652" t="s">
        <v>12</v>
      </c>
      <c r="B7" s="473" t="s">
        <v>8</v>
      </c>
      <c r="C7" s="653">
        <v>1260.12</v>
      </c>
      <c r="D7" s="383">
        <v>12.8</v>
      </c>
    </row>
    <row r="8" ht="25.9" customHeight="1" spans="1:4">
      <c r="A8" s="652" t="s">
        <v>13</v>
      </c>
      <c r="B8" s="473" t="s">
        <v>8</v>
      </c>
      <c r="C8" s="653">
        <v>496.41</v>
      </c>
      <c r="D8" s="383">
        <v>56.3</v>
      </c>
    </row>
    <row r="9" ht="25.9" customHeight="1" spans="1:4">
      <c r="A9" s="652" t="s">
        <v>14</v>
      </c>
      <c r="B9" s="473" t="s">
        <v>15</v>
      </c>
      <c r="C9" s="653">
        <v>547.35</v>
      </c>
      <c r="D9" s="383">
        <v>-7.1</v>
      </c>
    </row>
    <row r="10" ht="25.9" customHeight="1" spans="1:4">
      <c r="A10" s="652" t="s">
        <v>16</v>
      </c>
      <c r="B10" s="473" t="s">
        <v>8</v>
      </c>
      <c r="C10" s="654">
        <v>1697.3</v>
      </c>
      <c r="D10" s="383">
        <v>10.3</v>
      </c>
    </row>
    <row r="11" ht="25.9" customHeight="1" spans="1:4">
      <c r="A11" s="652" t="s">
        <v>17</v>
      </c>
      <c r="B11" s="473" t="s">
        <v>8</v>
      </c>
      <c r="C11" s="653">
        <v>121.83</v>
      </c>
      <c r="D11" s="383">
        <v>15.4</v>
      </c>
    </row>
    <row r="12" ht="25.9" customHeight="1" spans="1:4">
      <c r="A12" s="652" t="s">
        <v>18</v>
      </c>
      <c r="B12" s="473" t="s">
        <v>8</v>
      </c>
      <c r="C12" s="653">
        <v>477.17</v>
      </c>
      <c r="D12" s="383">
        <v>11.9</v>
      </c>
    </row>
    <row r="13" ht="25.9" customHeight="1" spans="1:4">
      <c r="A13" s="652" t="s">
        <v>19</v>
      </c>
      <c r="B13" s="473" t="s">
        <v>8</v>
      </c>
      <c r="C13" s="653">
        <v>509.85</v>
      </c>
      <c r="D13" s="383">
        <v>8.2</v>
      </c>
    </row>
    <row r="14" ht="25.9" customHeight="1" spans="1:4">
      <c r="A14" s="652" t="s">
        <v>20</v>
      </c>
      <c r="B14" s="473" t="s">
        <v>8</v>
      </c>
      <c r="C14" s="654">
        <v>377.03</v>
      </c>
      <c r="D14" s="383">
        <v>9</v>
      </c>
    </row>
    <row r="15" ht="25.9" customHeight="1" spans="1:4">
      <c r="A15" s="652" t="s">
        <v>21</v>
      </c>
      <c r="B15" s="473" t="s">
        <v>8</v>
      </c>
      <c r="C15" s="653">
        <v>205.03</v>
      </c>
      <c r="D15" s="383">
        <v>-5.5</v>
      </c>
    </row>
    <row r="16" ht="25.9" customHeight="1" spans="1:4">
      <c r="A16" s="652" t="s">
        <v>22</v>
      </c>
      <c r="B16" s="473" t="s">
        <v>8</v>
      </c>
      <c r="C16" s="654">
        <v>172</v>
      </c>
      <c r="D16" s="383">
        <v>33.5</v>
      </c>
    </row>
    <row r="17" ht="25.9" customHeight="1" spans="1:4">
      <c r="A17" s="652" t="s">
        <v>23</v>
      </c>
      <c r="B17" s="473" t="s">
        <v>24</v>
      </c>
      <c r="C17" s="653">
        <v>8529</v>
      </c>
      <c r="D17" s="383">
        <v>5.4</v>
      </c>
    </row>
    <row r="18" ht="25.9" customHeight="1" spans="1:4">
      <c r="A18" s="652" t="s">
        <v>25</v>
      </c>
      <c r="B18" s="473" t="s">
        <v>8</v>
      </c>
      <c r="C18" s="653">
        <v>3343.59</v>
      </c>
      <c r="D18" s="383">
        <v>9.2</v>
      </c>
    </row>
    <row r="19" ht="25.9" customHeight="1" spans="1:4">
      <c r="A19" s="652" t="s">
        <v>26</v>
      </c>
      <c r="B19" s="473" t="s">
        <v>8</v>
      </c>
      <c r="C19" s="653">
        <v>2127.66</v>
      </c>
      <c r="D19" s="383">
        <v>8.4</v>
      </c>
    </row>
    <row r="20" ht="25.9" customHeight="1" spans="1:4">
      <c r="A20" s="652" t="s">
        <v>27</v>
      </c>
      <c r="B20" s="473" t="s">
        <v>8</v>
      </c>
      <c r="C20" s="653">
        <v>2164.16</v>
      </c>
      <c r="D20" s="383">
        <v>15.8</v>
      </c>
    </row>
    <row r="21" ht="25.9" customHeight="1" spans="1:4">
      <c r="A21" s="652" t="s">
        <v>28</v>
      </c>
      <c r="B21" s="473" t="s">
        <v>29</v>
      </c>
      <c r="C21" s="653">
        <v>101.6</v>
      </c>
      <c r="D21" s="383">
        <v>1.6</v>
      </c>
    </row>
    <row r="22" ht="25.9" customHeight="1" spans="1:4">
      <c r="A22" s="652" t="s">
        <v>30</v>
      </c>
      <c r="B22" s="473" t="s">
        <v>29</v>
      </c>
      <c r="C22" s="653">
        <v>103.4</v>
      </c>
      <c r="D22" s="383">
        <v>3.4</v>
      </c>
    </row>
    <row r="23" ht="25.9" customHeight="1" spans="1:4">
      <c r="A23" s="652" t="s">
        <v>31</v>
      </c>
      <c r="B23" s="473" t="s">
        <v>32</v>
      </c>
      <c r="C23" s="654">
        <v>196.43</v>
      </c>
      <c r="D23" s="383">
        <v>8.3</v>
      </c>
    </row>
    <row r="24" ht="25.9" customHeight="1" spans="1:4">
      <c r="A24" s="652" t="s">
        <v>33</v>
      </c>
      <c r="B24" s="473" t="s">
        <v>32</v>
      </c>
      <c r="C24" s="654">
        <v>119.75</v>
      </c>
      <c r="D24" s="383">
        <v>6</v>
      </c>
    </row>
    <row r="25" ht="18" customHeight="1" spans="1:4">
      <c r="A25" s="655" t="s">
        <v>34</v>
      </c>
      <c r="B25" s="655"/>
      <c r="C25" s="655"/>
      <c r="D25" s="655"/>
    </row>
  </sheetData>
  <mergeCells count="5">
    <mergeCell ref="A1:D1"/>
    <mergeCell ref="C2:D2"/>
    <mergeCell ref="A25:D25"/>
    <mergeCell ref="A2:A3"/>
    <mergeCell ref="B2:B3"/>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D19"/>
  <sheetViews>
    <sheetView zoomScale="90" zoomScaleNormal="90" workbookViewId="0">
      <selection activeCell="H19" sqref="H19"/>
    </sheetView>
  </sheetViews>
  <sheetFormatPr defaultColWidth="9" defaultRowHeight="14.25" outlineLevelCol="3"/>
  <cols>
    <col min="1" max="1" width="27.875" customWidth="1"/>
    <col min="2" max="2" width="17.375" customWidth="1"/>
    <col min="3" max="3" width="15" customWidth="1"/>
    <col min="4" max="4" width="11.625" customWidth="1"/>
    <col min="5" max="6" width="12.625" customWidth="1"/>
    <col min="9" max="9" width="12.625" customWidth="1"/>
  </cols>
  <sheetData>
    <row r="1" ht="28.5" customHeight="1" spans="1:4">
      <c r="A1" s="84" t="s">
        <v>51</v>
      </c>
      <c r="B1" s="84"/>
      <c r="C1" s="84"/>
    </row>
    <row r="2" ht="18" customHeight="1" spans="1:4">
      <c r="A2" s="233"/>
      <c r="B2" s="233"/>
      <c r="C2" s="88" t="s">
        <v>52</v>
      </c>
    </row>
    <row r="3" ht="30" customHeight="1" spans="1:4">
      <c r="A3" s="89" t="s">
        <v>53</v>
      </c>
      <c r="B3" s="90" t="s">
        <v>54</v>
      </c>
      <c r="C3" s="138" t="s">
        <v>6</v>
      </c>
    </row>
    <row r="4" ht="30" customHeight="1" spans="1:4">
      <c r="A4" s="223" t="s">
        <v>55</v>
      </c>
      <c r="B4" s="611">
        <v>3064.71972710399</v>
      </c>
      <c r="C4" s="612">
        <v>4</v>
      </c>
      <c r="D4" s="116"/>
    </row>
    <row r="5" ht="30" customHeight="1" spans="1:4">
      <c r="A5" s="223" t="s">
        <v>56</v>
      </c>
      <c r="B5" s="613">
        <v>585.235145</v>
      </c>
      <c r="C5" s="614">
        <v>4.2</v>
      </c>
      <c r="D5" s="116"/>
    </row>
    <row r="6" ht="30" customHeight="1" spans="1:4">
      <c r="A6" s="223" t="s">
        <v>57</v>
      </c>
      <c r="B6" s="613">
        <v>1054.99928139787</v>
      </c>
      <c r="C6" s="614">
        <v>-0.8</v>
      </c>
      <c r="D6" s="116"/>
    </row>
    <row r="7" ht="30" customHeight="1" spans="1:4">
      <c r="A7" s="223" t="s">
        <v>58</v>
      </c>
      <c r="B7" s="615">
        <v>192.853086538964</v>
      </c>
      <c r="C7" s="616">
        <v>-3.1</v>
      </c>
      <c r="D7" s="116"/>
    </row>
    <row r="8" ht="30" customHeight="1" spans="1:4">
      <c r="A8" s="223" t="s">
        <v>59</v>
      </c>
      <c r="B8" s="617">
        <v>1424.48530070613</v>
      </c>
      <c r="C8" s="618">
        <v>8</v>
      </c>
      <c r="D8" s="116"/>
    </row>
    <row r="9" ht="30" customHeight="1" spans="1:4">
      <c r="A9" s="223" t="s">
        <v>60</v>
      </c>
      <c r="B9" s="619">
        <v>138.687036861886</v>
      </c>
      <c r="C9" s="620">
        <v>4.5</v>
      </c>
      <c r="D9" s="621"/>
    </row>
    <row r="10" ht="30" customHeight="1" spans="1:4">
      <c r="A10" s="223" t="s">
        <v>61</v>
      </c>
      <c r="B10" s="622">
        <v>276.668072</v>
      </c>
      <c r="C10" s="623">
        <v>6.8</v>
      </c>
      <c r="D10" s="621"/>
    </row>
    <row r="11" ht="30" customHeight="1" spans="1:4">
      <c r="A11" s="223" t="s">
        <v>62</v>
      </c>
      <c r="B11" s="624">
        <v>51.853588</v>
      </c>
      <c r="C11" s="625">
        <v>4.3</v>
      </c>
      <c r="D11" s="621"/>
    </row>
    <row r="12" ht="30" customHeight="1" spans="1:4">
      <c r="A12" s="223" t="s">
        <v>63</v>
      </c>
      <c r="B12" s="626">
        <v>149.158208285872</v>
      </c>
      <c r="C12" s="627">
        <v>8.3</v>
      </c>
      <c r="D12" s="621"/>
    </row>
    <row r="13" ht="30" customHeight="1" spans="1:4">
      <c r="A13" s="223" t="s">
        <v>64</v>
      </c>
      <c r="B13" s="628">
        <v>222.152334624603</v>
      </c>
      <c r="C13" s="629">
        <v>4.9</v>
      </c>
      <c r="D13" s="621"/>
    </row>
    <row r="14" ht="30" customHeight="1" spans="1:4">
      <c r="A14" s="223" t="s">
        <v>65</v>
      </c>
      <c r="B14" s="630">
        <v>187.400875373874</v>
      </c>
      <c r="C14" s="631">
        <v>14.5</v>
      </c>
      <c r="D14" s="621"/>
    </row>
    <row r="15" ht="30" customHeight="1" spans="1:4">
      <c r="A15" s="632" t="s">
        <v>66</v>
      </c>
      <c r="B15" s="633">
        <v>376.007692778406</v>
      </c>
      <c r="C15" s="634">
        <v>10</v>
      </c>
      <c r="D15" s="621"/>
    </row>
    <row r="16" ht="30" customHeight="1" spans="1:4">
      <c r="A16" s="635" t="s">
        <v>67</v>
      </c>
      <c r="B16" s="636">
        <v>599.625189</v>
      </c>
      <c r="C16" s="637">
        <v>4.3</v>
      </c>
      <c r="D16" s="621"/>
    </row>
    <row r="17" ht="30" customHeight="1" spans="1:4">
      <c r="A17" s="223" t="s">
        <v>68</v>
      </c>
      <c r="B17" s="638">
        <v>870.31364364039</v>
      </c>
      <c r="C17" s="639">
        <v>-0.4</v>
      </c>
      <c r="D17" s="158"/>
    </row>
    <row r="18" ht="30" customHeight="1" spans="1:4">
      <c r="A18" s="640" t="s">
        <v>69</v>
      </c>
      <c r="B18" s="641" t="s">
        <v>70</v>
      </c>
      <c r="C18" s="642"/>
      <c r="D18" s="621"/>
    </row>
    <row r="19" ht="51" customHeight="1" spans="1:4">
      <c r="A19" s="643" t="s">
        <v>71</v>
      </c>
      <c r="B19" s="643"/>
      <c r="C19" s="643"/>
    </row>
  </sheetData>
  <mergeCells count="3">
    <mergeCell ref="A1:C1"/>
    <mergeCell ref="B18:C18"/>
    <mergeCell ref="A19:C19"/>
  </mergeCells>
  <printOptions horizontalCentered="1"/>
  <pageMargins left="0.75" right="0.75" top="0.98" bottom="0.98" header="0.51" footer="0.51"/>
  <pageSetup paperSize="9" orientation="portrait" blackAndWhite="1"/>
  <headerFooter alignWithMargins="0" scaleWithDoc="0"/>
</worksheet>
</file>

<file path=docProps/app.xml><?xml version="1.0" encoding="utf-8"?>
<Properties xmlns="http://schemas.openxmlformats.org/officeDocument/2006/extended-properties" xmlns:vt="http://schemas.openxmlformats.org/officeDocument/2006/docPropsVTypes">
  <Company>yz</Company>
  <Application>Microsoft Excel</Application>
  <HeadingPairs>
    <vt:vector size="2" baseType="variant">
      <vt:variant>
        <vt:lpstr>工作表</vt:lpstr>
      </vt:variant>
      <vt:variant>
        <vt:i4>74</vt:i4>
      </vt:variant>
    </vt:vector>
  </HeadingPairs>
  <TitlesOfParts>
    <vt:vector size="74" baseType="lpstr">
      <vt:lpstr>-------</vt:lpstr>
      <vt:lpstr>全市指标1</vt:lpstr>
      <vt:lpstr>全市指标2</vt:lpstr>
      <vt:lpstr>全市指标3</vt:lpstr>
      <vt:lpstr>全市指标4</vt:lpstr>
      <vt:lpstr>全市指标5</vt:lpstr>
      <vt:lpstr>全市指标6</vt:lpstr>
      <vt:lpstr>全市指标7</vt:lpstr>
      <vt:lpstr>GDP</vt:lpstr>
      <vt:lpstr>农业</vt:lpstr>
      <vt:lpstr>工业1</vt:lpstr>
      <vt:lpstr>工业2</vt:lpstr>
      <vt:lpstr>工业经济效益</vt:lpstr>
      <vt:lpstr>分行业工业总产值1</vt:lpstr>
      <vt:lpstr>分行业工业总产值2</vt:lpstr>
      <vt:lpstr>主要工业产品产量1</vt:lpstr>
      <vt:lpstr>主要工业产品产量2 </vt:lpstr>
      <vt:lpstr>主要工业产品产量3</vt:lpstr>
      <vt:lpstr>工业综合能源消费量</vt:lpstr>
      <vt:lpstr>交通 </vt:lpstr>
      <vt:lpstr>投资</vt:lpstr>
      <vt:lpstr>国内贸易</vt:lpstr>
      <vt:lpstr>财税</vt:lpstr>
      <vt:lpstr>金融</vt:lpstr>
      <vt:lpstr>进出口</vt:lpstr>
      <vt:lpstr>居民收支</vt:lpstr>
      <vt:lpstr>消价</vt:lpstr>
      <vt:lpstr>分县1</vt:lpstr>
      <vt:lpstr>分县2</vt:lpstr>
      <vt:lpstr>分县3</vt:lpstr>
      <vt:lpstr>分县4</vt:lpstr>
      <vt:lpstr>分县5</vt:lpstr>
      <vt:lpstr>分县6</vt:lpstr>
      <vt:lpstr>分县7</vt:lpstr>
      <vt:lpstr>分县8</vt:lpstr>
      <vt:lpstr>分县9</vt:lpstr>
      <vt:lpstr>分县10</vt:lpstr>
      <vt:lpstr>分县11</vt:lpstr>
      <vt:lpstr>分县12</vt:lpstr>
      <vt:lpstr>分县13</vt:lpstr>
      <vt:lpstr>分县14</vt:lpstr>
      <vt:lpstr>分县15</vt:lpstr>
      <vt:lpstr>分县16</vt:lpstr>
      <vt:lpstr>分县17</vt:lpstr>
      <vt:lpstr>分县18</vt:lpstr>
      <vt:lpstr>分县19</vt:lpstr>
      <vt:lpstr>分县20</vt:lpstr>
      <vt:lpstr>分县21（1）</vt:lpstr>
      <vt:lpstr>分县21（2）</vt:lpstr>
      <vt:lpstr>分县21（3）</vt:lpstr>
      <vt:lpstr>分县21（4）</vt:lpstr>
      <vt:lpstr>分县21（5）</vt:lpstr>
      <vt:lpstr>分县21（6）</vt:lpstr>
      <vt:lpstr>分县22（1）</vt:lpstr>
      <vt:lpstr>分县22（2）</vt:lpstr>
      <vt:lpstr>分县22（3）</vt:lpstr>
      <vt:lpstr>分县22（4）</vt:lpstr>
      <vt:lpstr>分县22（5）</vt:lpstr>
      <vt:lpstr>分县22（6）</vt:lpstr>
      <vt:lpstr>分市5（旧）</vt:lpstr>
      <vt:lpstr>工业序列（原）</vt:lpstr>
      <vt:lpstr>工业序列</vt:lpstr>
      <vt:lpstr>投资序列</vt:lpstr>
      <vt:lpstr>消费序列</vt:lpstr>
      <vt:lpstr>进出口序列</vt:lpstr>
      <vt:lpstr>预算收入序列</vt:lpstr>
      <vt:lpstr>价格指数序列</vt:lpstr>
      <vt:lpstr>用电量序列</vt:lpstr>
      <vt:lpstr>投资序列(原)</vt:lpstr>
      <vt:lpstr>消费序列（原）</vt:lpstr>
      <vt:lpstr>出口序列（原）</vt:lpstr>
      <vt:lpstr>地方预算收入序列（原）</vt:lpstr>
      <vt:lpstr>工业用电量序列 （原）</vt:lpstr>
      <vt:lpstr>价格序列（原）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mmtjj07</dc:creator>
  <cp:lastModifiedBy>筱瑾</cp:lastModifiedBy>
  <cp:revision>1</cp:revision>
  <dcterms:created xsi:type="dcterms:W3CDTF">2006-03-05T01:13:00Z</dcterms:created>
  <cp:lastPrinted>2016-10-14T02:19:00Z</cp:lastPrinted>
  <dcterms:modified xsi:type="dcterms:W3CDTF">2026-06-08T07:22:37Z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false</vt:bool>
  </property>
  <property fmtid="{D5CDD505-2E9C-101B-9397-08002B2CF9AE}" pid="4" name="ICV">
    <vt:lpwstr>A62DB6F9CACB448C958BCBEF2B3F1EAA_12</vt:lpwstr>
  </property>
  <property fmtid="{D5CDD505-2E9C-101B-9397-08002B2CF9AE}" pid="5" name="CalculationRule">
    <vt:i4>0</vt:i4>
  </property>
</Properties>
</file>