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886" firstSheet="9" activeTab="20"/>
  </bookViews>
  <sheets>
    <sheet name="-------" sheetId="138" state="hidden" r:id="rId1"/>
    <sheet name="全市指标1" sheetId="209" r:id="rId2"/>
    <sheet name="全市指标2" sheetId="210" r:id="rId3"/>
    <sheet name="GDP" sheetId="139" r:id="rId4"/>
    <sheet name="农业" sheetId="145" r:id="rId5"/>
    <sheet name="工业1" sheetId="125" r:id="rId6"/>
    <sheet name="工业2" sheetId="173" r:id="rId7"/>
    <sheet name="工业经济效益" sheetId="9" r:id="rId8"/>
    <sheet name="分行业工业总产值1" sheetId="162" r:id="rId9"/>
    <sheet name="分行业工业总产值2" sheetId="163" r:id="rId10"/>
    <sheet name="主要工业产品产量1" sheetId="160" r:id="rId11"/>
    <sheet name="主要工业产品产量2 " sheetId="161" r:id="rId12"/>
    <sheet name="主要工业产品产量3" sheetId="177" r:id="rId13"/>
    <sheet name="工业综合能源消费量" sheetId="174" r:id="rId14"/>
    <sheet name="交通 " sheetId="98" r:id="rId15"/>
    <sheet name="投资" sheetId="68" r:id="rId16"/>
    <sheet name="国内贸易" sheetId="11" r:id="rId17"/>
    <sheet name="财税" sheetId="23" r:id="rId18"/>
    <sheet name="金融" sheetId="146" r:id="rId19"/>
    <sheet name="进出口" sheetId="124" r:id="rId20"/>
    <sheet name="居民收支" sheetId="99" r:id="rId21"/>
    <sheet name="消价" sheetId="42" r:id="rId22"/>
    <sheet name="分县1" sheetId="100" r:id="rId23"/>
    <sheet name="分县2" sheetId="149" r:id="rId24"/>
    <sheet name="分县3" sheetId="181" r:id="rId25"/>
    <sheet name="分县4" sheetId="167" r:id="rId26"/>
    <sheet name="分县5" sheetId="182" r:id="rId27"/>
    <sheet name="分县6" sheetId="101" r:id="rId28"/>
    <sheet name="分县7" sheetId="183" r:id="rId29"/>
    <sheet name="分县8" sheetId="166" r:id="rId30"/>
    <sheet name="分县9" sheetId="165" r:id="rId31"/>
    <sheet name="分县10" sheetId="171" r:id="rId32"/>
    <sheet name="分县11" sheetId="184" r:id="rId33"/>
    <sheet name="分县12" sheetId="170" r:id="rId34"/>
    <sheet name="分县13" sheetId="193" r:id="rId35"/>
    <sheet name="分县14" sheetId="185" r:id="rId36"/>
    <sheet name="分县15" sheetId="172" r:id="rId37"/>
    <sheet name="分县16" sheetId="127" r:id="rId38"/>
    <sheet name="分县17" sheetId="147" r:id="rId39"/>
    <sheet name="分县18" sheetId="186" r:id="rId40"/>
    <sheet name="分县19" sheetId="211" r:id="rId41"/>
    <sheet name="分市5（旧）" sheetId="194" state="hidden" r:id="rId42"/>
    <sheet name="工业序列（原）" sheetId="158" state="hidden" r:id="rId43"/>
    <sheet name="工业序列" sheetId="199" r:id="rId44"/>
    <sheet name="投资序列" sheetId="200" r:id="rId45"/>
    <sheet name="消费序列" sheetId="201" r:id="rId46"/>
    <sheet name="进出口序列" sheetId="202" r:id="rId47"/>
    <sheet name="预算收入序列" sheetId="204" r:id="rId48"/>
    <sheet name="价格指数序列" sheetId="208" r:id="rId49"/>
    <sheet name="用电量序列" sheetId="205" r:id="rId50"/>
    <sheet name="投资序列(原)" sheetId="157" state="hidden" r:id="rId51"/>
    <sheet name="消费序列（原）" sheetId="156" state="hidden" r:id="rId52"/>
    <sheet name="出口序列（原）" sheetId="155" state="hidden" r:id="rId53"/>
    <sheet name="地方预算收入序列（原）" sheetId="154" state="hidden" r:id="rId54"/>
    <sheet name="工业用电量序列 （原）" sheetId="198" state="hidden" r:id="rId55"/>
    <sheet name="价格序列（原）" sheetId="153" state="hidden" r:id="rId56"/>
  </sheets>
  <externalReferences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</externalReferences>
  <definedNames>
    <definedName name="_21114" localSheetId="40">#REF!</definedName>
    <definedName name="_21114" localSheetId="54">#REF!</definedName>
    <definedName name="_21114" localSheetId="2">#REF!</definedName>
    <definedName name="_21114">#REF!</definedName>
    <definedName name="_Fill" localSheetId="40" hidden="1">[1]eqpmad2!#REF!</definedName>
    <definedName name="_Fill" localSheetId="54" hidden="1">[1]eqpmad2!#REF!</definedName>
    <definedName name="_Fill" localSheetId="2" hidden="1">[1]eqpmad2!#REF!</definedName>
    <definedName name="_Fill" hidden="1">[1]eqpmad2!#REF!</definedName>
    <definedName name="_xlnm._FilterDatabase" localSheetId="40" hidden="1">#REF!</definedName>
    <definedName name="_xlnm._FilterDatabase" localSheetId="54" hidden="1">#REF!</definedName>
    <definedName name="_xlnm._FilterDatabase" localSheetId="2" hidden="1">#REF!</definedName>
    <definedName name="_xlnm._FilterDatabase" hidden="1">#REF!</definedName>
    <definedName name="_Order1" hidden="1">255</definedName>
    <definedName name="_Order2" hidden="1">255</definedName>
    <definedName name="A" localSheetId="40">#REF!</definedName>
    <definedName name="A" localSheetId="54">#REF!</definedName>
    <definedName name="A" localSheetId="2">#REF!</definedName>
    <definedName name="A">#REF!</definedName>
    <definedName name="aa" localSheetId="40">#REF!</definedName>
    <definedName name="aa" localSheetId="54">#REF!</definedName>
    <definedName name="aa" localSheetId="2">#REF!</definedName>
    <definedName name="aa">#REF!</definedName>
    <definedName name="as">#N/A</definedName>
    <definedName name="data" localSheetId="40">#REF!</definedName>
    <definedName name="data" localSheetId="54">#REF!</definedName>
    <definedName name="data" localSheetId="2">#REF!</definedName>
    <definedName name="data">#REF!</definedName>
    <definedName name="Database" localSheetId="40" hidden="1">#REF!</definedName>
    <definedName name="Database" localSheetId="54" hidden="1">#REF!</definedName>
    <definedName name="Database" localSheetId="2" hidden="1">#REF!</definedName>
    <definedName name="Database" hidden="1">#REF!</definedName>
    <definedName name="database2" localSheetId="40">#REF!</definedName>
    <definedName name="database2" localSheetId="54">#REF!</definedName>
    <definedName name="database2" localSheetId="2">#REF!</definedName>
    <definedName name="database2">#REF!</definedName>
    <definedName name="database3" localSheetId="40">#REF!</definedName>
    <definedName name="database3" localSheetId="54">#REF!</definedName>
    <definedName name="database3" localSheetId="2">#REF!</definedName>
    <definedName name="database3">#REF!</definedName>
    <definedName name="dss" localSheetId="40" hidden="1">#REF!</definedName>
    <definedName name="dss" localSheetId="54" hidden="1">#REF!</definedName>
    <definedName name="dss" localSheetId="2" hidden="1">#REF!</definedName>
    <definedName name="dss" hidden="1">#REF!</definedName>
    <definedName name="E206." localSheetId="40">#REF!</definedName>
    <definedName name="E206." localSheetId="54">#REF!</definedName>
    <definedName name="E206." localSheetId="2">#REF!</definedName>
    <definedName name="E206.">#REF!</definedName>
    <definedName name="eee" localSheetId="40">#REF!</definedName>
    <definedName name="eee" localSheetId="54">#REF!</definedName>
    <definedName name="eee" localSheetId="2">#REF!</definedName>
    <definedName name="eee">#REF!</definedName>
    <definedName name="fff" localSheetId="40">#REF!</definedName>
    <definedName name="fff" localSheetId="54">#REF!</definedName>
    <definedName name="fff" localSheetId="2">#REF!</definedName>
    <definedName name="fff">#REF!</definedName>
    <definedName name="gxxe2003">'[2]P1012001'!$A$6:$E$117</definedName>
    <definedName name="gxxe20032">'[2]P1012001'!$A$6:$E$117</definedName>
    <definedName name="hhhh" localSheetId="40">#REF!</definedName>
    <definedName name="hhhh" localSheetId="54">#REF!</definedName>
    <definedName name="hhhh" localSheetId="2">#REF!</definedName>
    <definedName name="hhhh">#REF!</definedName>
    <definedName name="HWSheet">1</definedName>
    <definedName name="kkkk" localSheetId="40">#REF!</definedName>
    <definedName name="kkkk" localSheetId="54">#REF!</definedName>
    <definedName name="kkkk" localSheetId="2">#REF!</definedName>
    <definedName name="kkkk">#REF!</definedName>
    <definedName name="Module.Prix_SMC" localSheetId="32">Module.Prix_SMC</definedName>
    <definedName name="Module.Prix_SMC" localSheetId="35">分县11!Module.Prix_SMC</definedName>
    <definedName name="Module.Prix_SMC" localSheetId="37">分县16!Module.Prix_SMC</definedName>
    <definedName name="Module.Prix_SMC" localSheetId="39">分县11!Module.Prix_SMC</definedName>
    <definedName name="Module.Prix_SMC" localSheetId="40">#N/A</definedName>
    <definedName name="Module.Prix_SMC" localSheetId="24">分县11!Module.Prix_SMC</definedName>
    <definedName name="Module.Prix_SMC" localSheetId="26">分县11!Module.Prix_SMC</definedName>
    <definedName name="Module.Prix_SMC" localSheetId="28">分县11!Module.Prix_SMC</definedName>
    <definedName name="Module.Prix_SMC" localSheetId="5">工业1!Module.Prix_SMC</definedName>
    <definedName name="Module.Prix_SMC" localSheetId="48">分县11!Module.Prix_SMC</definedName>
    <definedName name="Module.Prix_SMC" localSheetId="19">进出口!Module.Prix_SMC</definedName>
    <definedName name="Module.Prix_SMC" localSheetId="46">分县11!Module.Prix_SMC</definedName>
    <definedName name="Module.Prix_SMC" localSheetId="44">分县11!Module.Prix_SMC</definedName>
    <definedName name="Module.Prix_SMC" localSheetId="45">分县11!Module.Prix_SMC</definedName>
    <definedName name="Module.Prix_SMC" localSheetId="49">分县11!Module.Prix_SMC</definedName>
    <definedName name="Module.Prix_SMC" localSheetId="47">分县11!Module.Prix_SMC</definedName>
    <definedName name="Module.Prix_SMC">分县11!Module.Prix_SMC</definedName>
    <definedName name="panduan">OR([3]Sheet!$G1="日期有误",[3]Sheet!$G1="请检查身份证号码",[3]Sheet!$G1="识别码有误")</definedName>
    <definedName name="_xlnm.Print_Area" localSheetId="31">分县10!$A$1:$D$27</definedName>
    <definedName name="_xlnm.Print_Area" localSheetId="32">分县11!$A$1:$D$27</definedName>
    <definedName name="_xlnm.Print_Area" localSheetId="35">分县14!$A$1:$D$27</definedName>
    <definedName name="_xlnm.Print_Area" localSheetId="36">分县15!$A$1:$D$27</definedName>
    <definedName name="_xlnm.Print_Area" localSheetId="38">分县17!$A$1:$D$27</definedName>
    <definedName name="_xlnm.Print_Area" localSheetId="39">分县18!$A$1:$D$27</definedName>
    <definedName name="_xlnm.Print_Area" localSheetId="40">分县19!$A$1:$D$27</definedName>
    <definedName name="_xlnm.Print_Area" localSheetId="23">分县2!$A$1:$D$27</definedName>
    <definedName name="_xlnm.Print_Area" localSheetId="24">分县3!$A$1:$D$28</definedName>
    <definedName name="_xlnm.Print_Area" localSheetId="27">分县6!$A$1:$D$27</definedName>
    <definedName name="_xlnm.Print_Area" localSheetId="28">分县7!$A$1:$D$26</definedName>
    <definedName name="_xlnm.Print_Area" localSheetId="29">分县8!$A$1:$D$27</definedName>
    <definedName name="_xlnm.Print_Area" localSheetId="30">分县9!$A$1:$D$27</definedName>
    <definedName name="_xlnm.Print_Area" localSheetId="5">工业1!$A$1:$E$22</definedName>
    <definedName name="_xlnm.Print_Area" localSheetId="54" hidden="1">#REF!</definedName>
    <definedName name="_xlnm.Print_Area" localSheetId="16">国内贸易!$A$1:$C$29</definedName>
    <definedName name="_xlnm.Print_Area" localSheetId="20">居民收支!$A$1:$C$21</definedName>
    <definedName name="_xlnm.Print_Area" localSheetId="2" hidden="1">#REF!</definedName>
    <definedName name="_xlnm.Print_Area" localSheetId="15">投资!$A$1:$D$24</definedName>
    <definedName name="_xlnm.Print_Area" localSheetId="21">消价!$A$1:$C$21</definedName>
    <definedName name="_xlnm.Print_Area" hidden="1">#REF!</definedName>
    <definedName name="Print_Area_MI" localSheetId="40">#REF!</definedName>
    <definedName name="Print_Area_MI" localSheetId="54">#REF!</definedName>
    <definedName name="Print_Area_MI" localSheetId="2">#REF!</definedName>
    <definedName name="Print_Area_MI">#REF!</definedName>
    <definedName name="_xlnm.Print_Titles" hidden="1">#N/A</definedName>
    <definedName name="rrrr" localSheetId="40">#REF!</definedName>
    <definedName name="rrrr" localSheetId="54">#REF!</definedName>
    <definedName name="rrrr" localSheetId="2">#REF!</definedName>
    <definedName name="rrrr">#REF!</definedName>
    <definedName name="s" localSheetId="40">#REF!</definedName>
    <definedName name="s" localSheetId="54">#REF!</definedName>
    <definedName name="s" localSheetId="2">#REF!</definedName>
    <definedName name="s">#REF!</definedName>
    <definedName name="sfeggsafasfas" localSheetId="40">#REF!</definedName>
    <definedName name="sfeggsafasfas" localSheetId="54">#REF!</definedName>
    <definedName name="sfeggsafasfas" localSheetId="2">#REF!</definedName>
    <definedName name="sfeggsafasfas">#REF!</definedName>
    <definedName name="Sheet1" localSheetId="40">#REF!</definedName>
    <definedName name="Sheet1" localSheetId="54">#REF!</definedName>
    <definedName name="Sheet1" localSheetId="2">#REF!</definedName>
    <definedName name="Sheet1">#REF!</definedName>
    <definedName name="Sheet10" localSheetId="40">#REF!</definedName>
    <definedName name="Sheet10" localSheetId="54">#REF!</definedName>
    <definedName name="Sheet10" localSheetId="2">#REF!</definedName>
    <definedName name="Sheet10">#REF!</definedName>
    <definedName name="Sheet11" localSheetId="40">#REF!</definedName>
    <definedName name="Sheet11" localSheetId="54">#REF!</definedName>
    <definedName name="Sheet11" localSheetId="2">#REF!</definedName>
    <definedName name="Sheet11">#REF!</definedName>
    <definedName name="Sheet12" localSheetId="40">#REF!</definedName>
    <definedName name="Sheet12" localSheetId="54">#REF!</definedName>
    <definedName name="Sheet12" localSheetId="2">#REF!</definedName>
    <definedName name="Sheet12">#REF!</definedName>
    <definedName name="Sheet3" localSheetId="40">#REF!</definedName>
    <definedName name="Sheet3" localSheetId="54">#REF!</definedName>
    <definedName name="Sheet3" localSheetId="2">#REF!</definedName>
    <definedName name="Sheet3">#REF!</definedName>
    <definedName name="Sheet4" localSheetId="40">#REF!</definedName>
    <definedName name="Sheet4" localSheetId="54">#REF!</definedName>
    <definedName name="Sheet4" localSheetId="2">#REF!</definedName>
    <definedName name="Sheet4">#REF!</definedName>
    <definedName name="Sheet5" localSheetId="40">#REF!</definedName>
    <definedName name="Sheet5" localSheetId="54">#REF!</definedName>
    <definedName name="Sheet5" localSheetId="2">#REF!</definedName>
    <definedName name="Sheet5">#REF!</definedName>
    <definedName name="Sheet6" localSheetId="40">#REF!</definedName>
    <definedName name="Sheet6" localSheetId="54">#REF!</definedName>
    <definedName name="Sheet6" localSheetId="2">#REF!</definedName>
    <definedName name="Sheet6">#REF!</definedName>
    <definedName name="Sheet7" localSheetId="40">#REF!</definedName>
    <definedName name="Sheet7" localSheetId="54">#REF!</definedName>
    <definedName name="Sheet7" localSheetId="2">#REF!</definedName>
    <definedName name="Sheet7">#REF!</definedName>
    <definedName name="Sheet8" localSheetId="40">#REF!</definedName>
    <definedName name="Sheet8" localSheetId="54">#REF!</definedName>
    <definedName name="Sheet8" localSheetId="2">#REF!</definedName>
    <definedName name="Sheet8">#REF!</definedName>
    <definedName name="Sheet9" localSheetId="40">#REF!</definedName>
    <definedName name="Sheet9" localSheetId="54">#REF!</definedName>
    <definedName name="Sheet9" localSheetId="2">#REF!</definedName>
    <definedName name="Sheet9">#REF!</definedName>
    <definedName name="ss" localSheetId="40">#REF!</definedName>
    <definedName name="ss" localSheetId="54">#REF!</definedName>
    <definedName name="ss" localSheetId="2">#REF!</definedName>
    <definedName name="ss">#REF!</definedName>
    <definedName name="ttt" localSheetId="40">#REF!</definedName>
    <definedName name="ttt" localSheetId="54">#REF!</definedName>
    <definedName name="ttt" localSheetId="2">#REF!</definedName>
    <definedName name="ttt">#REF!</definedName>
    <definedName name="tttt" localSheetId="40">#REF!</definedName>
    <definedName name="tttt" localSheetId="54">#REF!</definedName>
    <definedName name="tttt" localSheetId="2">#REF!</definedName>
    <definedName name="tttt">#REF!</definedName>
    <definedName name="UFPrn20010712083924" localSheetId="40">#REF!</definedName>
    <definedName name="UFPrn20010712083924" localSheetId="54">#REF!</definedName>
    <definedName name="UFPrn20010712083924" localSheetId="2">#REF!</definedName>
    <definedName name="UFPrn20010712083924">#REF!</definedName>
    <definedName name="UFPrn20020224093130" localSheetId="40">#REF!</definedName>
    <definedName name="UFPrn20020224093130" localSheetId="54">#REF!</definedName>
    <definedName name="UFPrn20020224093130" localSheetId="2">#REF!</definedName>
    <definedName name="UFPrn20020224093130">#REF!</definedName>
    <definedName name="UFPrn20020224094757" localSheetId="40">#REF!</definedName>
    <definedName name="UFPrn20020224094757" localSheetId="54">#REF!</definedName>
    <definedName name="UFPrn20020224094757" localSheetId="2">#REF!</definedName>
    <definedName name="UFPrn20020224094757">#REF!</definedName>
    <definedName name="UFPrn20020224101302" localSheetId="40">#REF!</definedName>
    <definedName name="UFPrn20020224101302" localSheetId="54">#REF!</definedName>
    <definedName name="UFPrn20020224101302" localSheetId="2">#REF!</definedName>
    <definedName name="UFPrn20020224101302">#REF!</definedName>
    <definedName name="UFPrn20020224101600" localSheetId="40">#REF!</definedName>
    <definedName name="UFPrn20020224101600" localSheetId="54">#REF!</definedName>
    <definedName name="UFPrn20020224101600" localSheetId="2">#REF!</definedName>
    <definedName name="UFPrn20020224101600">#REF!</definedName>
    <definedName name="UFPrn20020228143318" localSheetId="40">#REF!</definedName>
    <definedName name="UFPrn20020228143318" localSheetId="54">#REF!</definedName>
    <definedName name="UFPrn20020228143318" localSheetId="2">#REF!</definedName>
    <definedName name="UFPrn20020228143318">#REF!</definedName>
    <definedName name="UFPrn20020303094007" localSheetId="40">#REF!</definedName>
    <definedName name="UFPrn20020303094007" localSheetId="54">#REF!</definedName>
    <definedName name="UFPrn20020303094007" localSheetId="2">#REF!</definedName>
    <definedName name="UFPrn20020303094007">#REF!</definedName>
    <definedName name="www" localSheetId="40">#REF!</definedName>
    <definedName name="www" localSheetId="54">#REF!</definedName>
    <definedName name="www" localSheetId="2">#REF!</definedName>
    <definedName name="www">#REF!</definedName>
    <definedName name="yyyy" localSheetId="40">#REF!</definedName>
    <definedName name="yyyy" localSheetId="54">#REF!</definedName>
    <definedName name="yyyy" localSheetId="2">#REF!</definedName>
    <definedName name="yyyy">#REF!</definedName>
    <definedName name="备___注" localSheetId="40">#REF!</definedName>
    <definedName name="备___注" localSheetId="54">#REF!</definedName>
    <definedName name="备___注" localSheetId="2">#REF!</definedName>
    <definedName name="备___注">#REF!</definedName>
    <definedName name="本级标准收入2004年">[4]本年收入合计!$E$4:$E$184</definedName>
    <definedName name="拨款汇总_合计" localSheetId="40">SUM([5]汇总!#REF!)</definedName>
    <definedName name="拨款汇总_合计" localSheetId="54">SUM([5]汇总!#REF!)</definedName>
    <definedName name="拨款汇总_合计" localSheetId="2">SUM([5]汇总!#REF!)</definedName>
    <definedName name="拨款汇总_合计">SUM([5]汇总!#REF!)</definedName>
    <definedName name="财力" localSheetId="40">#REF!</definedName>
    <definedName name="财力" localSheetId="54">#REF!</definedName>
    <definedName name="财力" localSheetId="2">#REF!</definedName>
    <definedName name="财力">#REF!</definedName>
    <definedName name="财政供养人员增幅2004年">[6]财政供养人员增幅!$E$6</definedName>
    <definedName name="财政供养人员增幅2004年分县">[6]财政供养人员增幅!$E$4:$E$184</definedName>
    <definedName name="村级标准支出">[7]村级支出!$E$4:$E$184</definedName>
    <definedName name="存货合计" localSheetId="40">#REF!</definedName>
    <definedName name="存货合计" localSheetId="54">#REF!</definedName>
    <definedName name="存货合计" localSheetId="2">#REF!</definedName>
    <definedName name="存货合计">#REF!</definedName>
    <definedName name="存货明细" localSheetId="40">#REF!</definedName>
    <definedName name="存货明细" localSheetId="54">#REF!</definedName>
    <definedName name="存货明细" localSheetId="2">#REF!</definedName>
    <definedName name="存货明细">#REF!</definedName>
    <definedName name="大多数">'[8]13 铁路配件'!$A$15</definedName>
    <definedName name="大幅度" localSheetId="40">#REF!</definedName>
    <definedName name="大幅度" localSheetId="54">#REF!</definedName>
    <definedName name="大幅度" localSheetId="2">#REF!</definedName>
    <definedName name="大幅度">#REF!</definedName>
    <definedName name="地区名称" localSheetId="40">[9]封面!#REF!</definedName>
    <definedName name="地区名称" localSheetId="54">[9]封面!#REF!</definedName>
    <definedName name="地区名称" localSheetId="2">[9]封面!#REF!</definedName>
    <definedName name="地区名称">[9]封面!#REF!</definedName>
    <definedName name="第二产业分县2003年">[10]GDP!$G$4:$G$184</definedName>
    <definedName name="第二产业合计2003年">[10]GDP!$G$4</definedName>
    <definedName name="第三产业分县2003年">[10]GDP!$H$4:$H$184</definedName>
    <definedName name="第三产业合计2003年">[10]GDP!$H$4</definedName>
    <definedName name="耕地占用税分县2003年">[11]一般预算收入!$U$4:$U$184</definedName>
    <definedName name="耕地占用税合计2003年">[11]一般预算收入!$U$4</definedName>
    <definedName name="工商税收2004年">[12]工商税收!$S$4:$S$184</definedName>
    <definedName name="工商税收合计2004年">[12]工商税收!$S$4</definedName>
    <definedName name="公检法司部门编制数">[13]公检法司编制!$E$4:$E$184</definedName>
    <definedName name="公用标准支出">[14]合计!$E$4:$E$184</definedName>
    <definedName name="行政管理部门编制数">[13]行政编制!$E$4:$E$184</definedName>
    <definedName name="合___计" localSheetId="40">#REF!</definedName>
    <definedName name="合___计" localSheetId="54">#REF!</definedName>
    <definedName name="合___计" localSheetId="2">#REF!</definedName>
    <definedName name="合___计">#REF!</definedName>
    <definedName name="汇率" localSheetId="40">#REF!</definedName>
    <definedName name="汇率" localSheetId="54">#REF!</definedName>
    <definedName name="汇率" localSheetId="2">#REF!</definedName>
    <definedName name="汇率">#REF!</definedName>
    <definedName name="科目编码">[15]编码!$A$2:$A$145</definedName>
    <definedName name="农业人口2003年">[16]农业人口!$E$4:$E$184</definedName>
    <definedName name="农业税分县2003年">[11]一般预算收入!$S$4:$S$184</definedName>
    <definedName name="农业税合计2003年">[11]一般预算收入!$S$4</definedName>
    <definedName name="农业特产税分县2003年">[11]一般预算收入!$T$4:$T$184</definedName>
    <definedName name="农业特产税合计2003年">[11]一般预算收入!$T$4</definedName>
    <definedName name="农业用地面积">[17]农业用地!$E$4:$E$184</definedName>
    <definedName name="契税分县2003年">[11]一般预算收入!$V$4:$V$184</definedName>
    <definedName name="契税合计2003年">[11]一般预算收入!$V$4</definedName>
    <definedName name="全额差额比例" localSheetId="40">'[18]C01-1'!#REF!</definedName>
    <definedName name="全额差额比例" localSheetId="54">'[18]C01-1'!#REF!</definedName>
    <definedName name="全额差额比例" localSheetId="2">'[18]C01-1'!#REF!</definedName>
    <definedName name="全额差额比例">'[18]C01-1'!#REF!</definedName>
    <definedName name="人员标准支出">[19]人员支出!$E$4:$E$184</definedName>
    <definedName name="生产列1" localSheetId="40">#REF!</definedName>
    <definedName name="生产列1" localSheetId="54">#REF!</definedName>
    <definedName name="生产列1" localSheetId="2">#REF!</definedName>
    <definedName name="生产列1">#REF!</definedName>
    <definedName name="生产列11" localSheetId="40">#REF!</definedName>
    <definedName name="生产列11" localSheetId="54">#REF!</definedName>
    <definedName name="生产列11" localSheetId="2">#REF!</definedName>
    <definedName name="生产列11">#REF!</definedName>
    <definedName name="生产列15" localSheetId="40">#REF!</definedName>
    <definedName name="生产列15" localSheetId="54">#REF!</definedName>
    <definedName name="生产列15" localSheetId="2">#REF!</definedName>
    <definedName name="生产列15">#REF!</definedName>
    <definedName name="生产列16" localSheetId="40">#REF!</definedName>
    <definedName name="生产列16" localSheetId="54">#REF!</definedName>
    <definedName name="生产列16" localSheetId="2">#REF!</definedName>
    <definedName name="生产列16">#REF!</definedName>
    <definedName name="生产列17" localSheetId="40">#REF!</definedName>
    <definedName name="生产列17" localSheetId="54">#REF!</definedName>
    <definedName name="生产列17" localSheetId="2">#REF!</definedName>
    <definedName name="生产列17">#REF!</definedName>
    <definedName name="生产列19" localSheetId="40">#REF!</definedName>
    <definedName name="生产列19" localSheetId="54">#REF!</definedName>
    <definedName name="生产列19" localSheetId="2">#REF!</definedName>
    <definedName name="生产列19">#REF!</definedName>
    <definedName name="生产列2" localSheetId="40">#REF!</definedName>
    <definedName name="生产列2" localSheetId="54">#REF!</definedName>
    <definedName name="生产列2" localSheetId="2">#REF!</definedName>
    <definedName name="生产列2">#REF!</definedName>
    <definedName name="生产列20" localSheetId="40">#REF!</definedName>
    <definedName name="生产列20" localSheetId="54">#REF!</definedName>
    <definedName name="生产列20" localSheetId="2">#REF!</definedName>
    <definedName name="生产列20">#REF!</definedName>
    <definedName name="生产列3" localSheetId="40">#REF!</definedName>
    <definedName name="生产列3" localSheetId="54">#REF!</definedName>
    <definedName name="生产列3" localSheetId="2">#REF!</definedName>
    <definedName name="生产列3">#REF!</definedName>
    <definedName name="生产列4" localSheetId="40">#REF!</definedName>
    <definedName name="生产列4" localSheetId="54">#REF!</definedName>
    <definedName name="生产列4" localSheetId="2">#REF!</definedName>
    <definedName name="生产列4">#REF!</definedName>
    <definedName name="生产列5" localSheetId="40">#REF!</definedName>
    <definedName name="生产列5" localSheetId="54">#REF!</definedName>
    <definedName name="生产列5" localSheetId="2">#REF!</definedName>
    <definedName name="生产列5">#REF!</definedName>
    <definedName name="生产列6" localSheetId="40">#REF!</definedName>
    <definedName name="生产列6" localSheetId="54">#REF!</definedName>
    <definedName name="生产列6" localSheetId="2">#REF!</definedName>
    <definedName name="生产列6">#REF!</definedName>
    <definedName name="生产列7" localSheetId="40">#REF!</definedName>
    <definedName name="生产列7" localSheetId="54">#REF!</definedName>
    <definedName name="生产列7" localSheetId="2">#REF!</definedName>
    <definedName name="生产列7">#REF!</definedName>
    <definedName name="生产列8" localSheetId="40">#REF!</definedName>
    <definedName name="生产列8" localSheetId="54">#REF!</definedName>
    <definedName name="生产列8" localSheetId="2">#REF!</definedName>
    <definedName name="生产列8">#REF!</definedName>
    <definedName name="生产列9" localSheetId="40">#REF!</definedName>
    <definedName name="生产列9" localSheetId="54">#REF!</definedName>
    <definedName name="生产列9" localSheetId="2">#REF!</definedName>
    <definedName name="生产列9">#REF!</definedName>
    <definedName name="生产期" localSheetId="40">#REF!</definedName>
    <definedName name="生产期" localSheetId="54">#REF!</definedName>
    <definedName name="生产期" localSheetId="2">#REF!</definedName>
    <definedName name="生产期">#REF!</definedName>
    <definedName name="生产期1" localSheetId="40">#REF!</definedName>
    <definedName name="生产期1" localSheetId="54">#REF!</definedName>
    <definedName name="生产期1" localSheetId="2">#REF!</definedName>
    <definedName name="生产期1">#REF!</definedName>
    <definedName name="生产期11" localSheetId="40">#REF!</definedName>
    <definedName name="生产期11" localSheetId="54">#REF!</definedName>
    <definedName name="生产期11" localSheetId="2">#REF!</definedName>
    <definedName name="生产期11">#REF!</definedName>
    <definedName name="生产期123" localSheetId="40">#REF!</definedName>
    <definedName name="生产期123" localSheetId="54">#REF!</definedName>
    <definedName name="生产期123" localSheetId="2">#REF!</definedName>
    <definedName name="生产期123">#REF!</definedName>
    <definedName name="生产期15" localSheetId="40">#REF!</definedName>
    <definedName name="生产期15" localSheetId="54">#REF!</definedName>
    <definedName name="生产期15" localSheetId="2">#REF!</definedName>
    <definedName name="生产期15">#REF!</definedName>
    <definedName name="生产期16" localSheetId="40">#REF!</definedName>
    <definedName name="生产期16" localSheetId="54">#REF!</definedName>
    <definedName name="生产期16" localSheetId="2">#REF!</definedName>
    <definedName name="生产期16">#REF!</definedName>
    <definedName name="生产期17" localSheetId="40">#REF!</definedName>
    <definedName name="生产期17" localSheetId="54">#REF!</definedName>
    <definedName name="生产期17" localSheetId="2">#REF!</definedName>
    <definedName name="生产期17">#REF!</definedName>
    <definedName name="生产期19" localSheetId="40">#REF!</definedName>
    <definedName name="生产期19" localSheetId="54">#REF!</definedName>
    <definedName name="生产期19" localSheetId="2">#REF!</definedName>
    <definedName name="生产期19">#REF!</definedName>
    <definedName name="生产期2" localSheetId="40">#REF!</definedName>
    <definedName name="生产期2" localSheetId="54">#REF!</definedName>
    <definedName name="生产期2" localSheetId="2">#REF!</definedName>
    <definedName name="生产期2">#REF!</definedName>
    <definedName name="生产期20" localSheetId="40">#REF!</definedName>
    <definedName name="生产期20" localSheetId="54">#REF!</definedName>
    <definedName name="生产期20" localSheetId="2">#REF!</definedName>
    <definedName name="生产期20">#REF!</definedName>
    <definedName name="生产期3" localSheetId="40">#REF!</definedName>
    <definedName name="生产期3" localSheetId="54">#REF!</definedName>
    <definedName name="生产期3" localSheetId="2">#REF!</definedName>
    <definedName name="生产期3">#REF!</definedName>
    <definedName name="生产期4" localSheetId="40">#REF!</definedName>
    <definedName name="生产期4" localSheetId="54">#REF!</definedName>
    <definedName name="生产期4" localSheetId="2">#REF!</definedName>
    <definedName name="生产期4">#REF!</definedName>
    <definedName name="生产期5" localSheetId="40">#REF!</definedName>
    <definedName name="生产期5" localSheetId="54">#REF!</definedName>
    <definedName name="生产期5" localSheetId="2">#REF!</definedName>
    <definedName name="生产期5">#REF!</definedName>
    <definedName name="生产期6" localSheetId="40">#REF!</definedName>
    <definedName name="生产期6" localSheetId="54">#REF!</definedName>
    <definedName name="生产期6" localSheetId="2">#REF!</definedName>
    <definedName name="生产期6">#REF!</definedName>
    <definedName name="生产期7" localSheetId="40">#REF!</definedName>
    <definedName name="生产期7" localSheetId="54">#REF!</definedName>
    <definedName name="生产期7" localSheetId="2">#REF!</definedName>
    <definedName name="生产期7">#REF!</definedName>
    <definedName name="生产期8" localSheetId="40">#REF!</definedName>
    <definedName name="生产期8" localSheetId="54">#REF!</definedName>
    <definedName name="生产期8" localSheetId="2">#REF!</definedName>
    <definedName name="生产期8">#REF!</definedName>
    <definedName name="生产期9" localSheetId="40">#REF!</definedName>
    <definedName name="生产期9" localSheetId="54">#REF!</definedName>
    <definedName name="生产期9" localSheetId="2">#REF!</definedName>
    <definedName name="生产期9">#REF!</definedName>
    <definedName name="事业发展支出">[20]事业发展!$E$4:$E$184</definedName>
    <definedName name="是" localSheetId="40">#REF!</definedName>
    <definedName name="是" localSheetId="54">#REF!</definedName>
    <definedName name="是" localSheetId="2">#REF!</definedName>
    <definedName name="是">#REF!</definedName>
    <definedName name="手机">OR([3]Sheet!$AL1="未填手机号码",[3]Sheet!$AL1="请检查手机号码")</definedName>
    <definedName name="索引号" localSheetId="40">#REF!</definedName>
    <definedName name="索引号" localSheetId="54">#REF!</definedName>
    <definedName name="索引号" localSheetId="2">#REF!</definedName>
    <definedName name="索引号">#REF!</definedName>
    <definedName name="未审合计" localSheetId="40">#REF!</definedName>
    <definedName name="未审合计" localSheetId="54">#REF!</definedName>
    <definedName name="未审合计" localSheetId="2">#REF!</definedName>
    <definedName name="未审合计">#REF!</definedName>
    <definedName name="未审数" localSheetId="40">#REF!</definedName>
    <definedName name="未审数" localSheetId="54">#REF!</definedName>
    <definedName name="未审数" localSheetId="2">#REF!</definedName>
    <definedName name="未审数">#REF!</definedName>
    <definedName name="位次d" localSheetId="40">[21]四月份月报!#REF!</definedName>
    <definedName name="位次d" localSheetId="54">[21]四月份月报!#REF!</definedName>
    <definedName name="位次d" localSheetId="2">[21]四月份月报!#REF!</definedName>
    <definedName name="位次d">[21]四月份月报!#REF!</definedName>
    <definedName name="乡镇个数">[22]行政区划!$D$6:$D$184</definedName>
    <definedName name="性别">[3]Sheet!$D1="性别填写有误"</definedName>
    <definedName name="学历">[23]基础编码!$S$2:$S$9</definedName>
    <definedName name="一般预算收入2002年">'[24]2002年一般预算收入'!$AC$4:$AC$184</definedName>
    <definedName name="一般预算收入2003年">[11]一般预算收入!$AD$4:$AD$184</definedName>
    <definedName name="一般预算收入合计2003年">[11]一般预算收入!$AC$4</definedName>
    <definedName name="支出">'[25]P1012001'!$A$6:$E$117</definedName>
    <definedName name="中国" localSheetId="40">#REF!</definedName>
    <definedName name="中国" localSheetId="54">#REF!</definedName>
    <definedName name="中国" localSheetId="2">#REF!</definedName>
    <definedName name="中国">#REF!</definedName>
    <definedName name="中小学生人数2003年">[26]中小学生!$E$4:$E$184</definedName>
    <definedName name="总人口2003年">[27]总人口!$E$4:$E$184</definedName>
    <definedName name="전" localSheetId="40">#REF!</definedName>
    <definedName name="전" localSheetId="54">#REF!</definedName>
    <definedName name="전" localSheetId="2">#REF!</definedName>
    <definedName name="전">#REF!</definedName>
    <definedName name="주택사업본부" localSheetId="40">#REF!</definedName>
    <definedName name="주택사업본부" localSheetId="54">#REF!</definedName>
    <definedName name="주택사업본부" localSheetId="2">#REF!</definedName>
    <definedName name="주택사업본부">#REF!</definedName>
    <definedName name="철구사업본부" localSheetId="40">#REF!</definedName>
    <definedName name="철구사업본부" localSheetId="54">#REF!</definedName>
    <definedName name="철구사업본부" localSheetId="2">#REF!</definedName>
    <definedName name="철구사업본부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<sst xmlns="http://schemas.openxmlformats.org/spreadsheetml/2006/main" count="1829" uniqueCount="592">
  <si>
    <t>主要经济指标完成情况（一）</t>
  </si>
  <si>
    <t>指   标</t>
  </si>
  <si>
    <t>单位</t>
  </si>
  <si>
    <t>2019年1-3月</t>
  </si>
  <si>
    <t>2019年1-2月</t>
  </si>
  <si>
    <t>绝对值</t>
  </si>
  <si>
    <t>增长%</t>
  </si>
  <si>
    <t>生产总值(GDP)</t>
  </si>
  <si>
    <t>亿元</t>
  </si>
  <si>
    <t>-</t>
  </si>
  <si>
    <t>规模以上工业总产值</t>
  </si>
  <si>
    <t>规模以上工业增加值</t>
  </si>
  <si>
    <t>固定资产投资</t>
  </si>
  <si>
    <t xml:space="preserve">    房地产开发投资</t>
  </si>
  <si>
    <t xml:space="preserve">    商品房销售面积</t>
  </si>
  <si>
    <t>万平方米</t>
  </si>
  <si>
    <t>社会消费品零售总额</t>
  </si>
  <si>
    <t>地方一般公共预算收入</t>
  </si>
  <si>
    <t>地方一般公共预算支出</t>
  </si>
  <si>
    <t>税收收入</t>
  </si>
  <si>
    <t>进出口总额（上月累计数）</t>
  </si>
  <si>
    <t xml:space="preserve">    出口总额</t>
  </si>
  <si>
    <t xml:space="preserve">    进口总额</t>
  </si>
  <si>
    <t>实际使用外资</t>
  </si>
  <si>
    <t>万美元</t>
  </si>
  <si>
    <t>金融机构本外币存款余额</t>
  </si>
  <si>
    <t xml:space="preserve">    #住户存款余额</t>
  </si>
  <si>
    <t>金融机构本外币贷款余额</t>
  </si>
  <si>
    <t>居民消费价格指数</t>
  </si>
  <si>
    <t>%</t>
  </si>
  <si>
    <t>工业生产者出厂价格指数</t>
  </si>
  <si>
    <t>全社会用电量</t>
  </si>
  <si>
    <t>亿千瓦时</t>
  </si>
  <si>
    <t xml:space="preserve">    工业用电量</t>
  </si>
  <si>
    <t>注：生产总值按季度统计，税收收入按自然口径计算。</t>
  </si>
  <si>
    <t>主要经济指标完成情况（二）</t>
  </si>
  <si>
    <t>2018年</t>
  </si>
  <si>
    <t>进出口总额</t>
  </si>
  <si>
    <t>全市生产总值（GDP）</t>
  </si>
  <si>
    <t>单位：亿元</t>
  </si>
  <si>
    <t>指  标</t>
  </si>
  <si>
    <t>一季度</t>
  </si>
  <si>
    <t>增速%</t>
  </si>
  <si>
    <t>生产总值</t>
  </si>
  <si>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  </t>
    </r>
    <r>
      <rPr>
        <sz val="12"/>
        <rFont val="宋体"/>
        <charset val="134"/>
      </rPr>
      <t>第一产业</t>
    </r>
  </si>
  <si>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  </t>
    </r>
    <r>
      <rPr>
        <sz val="12"/>
        <rFont val="宋体"/>
        <charset val="134"/>
      </rPr>
      <t>第二产业</t>
    </r>
  </si>
  <si>
    <t xml:space="preserve">        建筑业</t>
  </si>
  <si>
    <t xml:space="preserve">    第三产业</t>
  </si>
  <si>
    <t xml:space="preserve">        交运仓储邮电通信业</t>
  </si>
  <si>
    <t xml:space="preserve">        批发和零售业</t>
  </si>
  <si>
    <t xml:space="preserve">        住宿和餐饮业</t>
  </si>
  <si>
    <t xml:space="preserve">        金融业</t>
  </si>
  <si>
    <t xml:space="preserve">        房地产业</t>
  </si>
  <si>
    <t xml:space="preserve">        营利性服务业</t>
  </si>
  <si>
    <t xml:space="preserve">        非营利性服务业</t>
  </si>
  <si>
    <t xml:space="preserve">        农业</t>
  </si>
  <si>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      </t>
    </r>
    <r>
      <rPr>
        <sz val="12"/>
        <rFont val="宋体"/>
        <charset val="134"/>
      </rPr>
      <t>工业</t>
    </r>
  </si>
  <si>
    <r>
      <rPr>
        <sz val="12"/>
        <rFont val="宋体"/>
        <charset val="134"/>
      </rPr>
      <t xml:space="preserve">  三次产业结构（</t>
    </r>
    <r>
      <rPr>
        <sz val="12"/>
        <rFont val="宋体"/>
        <charset val="134"/>
      </rPr>
      <t>%）</t>
    </r>
  </si>
  <si>
    <t>14.0:34.3:51.7</t>
  </si>
  <si>
    <t>注：生产总值按季度核算。</t>
  </si>
  <si>
    <t>农业生产情况</t>
  </si>
  <si>
    <t>一、农林牧渔业总产值</t>
  </si>
  <si>
    <t xml:space="preserve">        农  业</t>
  </si>
  <si>
    <t xml:space="preserve">        林  业</t>
  </si>
  <si>
    <t xml:space="preserve">        畜牧业</t>
  </si>
  <si>
    <t xml:space="preserve">        渔  业</t>
  </si>
  <si>
    <t xml:space="preserve">        农林牧渔服务业</t>
  </si>
  <si>
    <t>二、农林牧渔业增加值</t>
  </si>
  <si>
    <t>三、主要农产品产量</t>
  </si>
  <si>
    <t xml:space="preserve">        粮  食 </t>
  </si>
  <si>
    <t>万吨</t>
  </si>
  <si>
    <t xml:space="preserve">            #稻  谷</t>
  </si>
  <si>
    <t xml:space="preserve">        蔬  菜 </t>
  </si>
  <si>
    <t xml:space="preserve">        园林水果 </t>
  </si>
  <si>
    <t xml:space="preserve">        生  猪（出栏量） </t>
  </si>
  <si>
    <t>万头</t>
  </si>
  <si>
    <t xml:space="preserve">        家  禽（出栏量）      </t>
  </si>
  <si>
    <t>万只</t>
  </si>
  <si>
    <t xml:space="preserve">        水产品 </t>
  </si>
  <si>
    <t>注：农业总产值和增加值按季度核算，增长速度按可比价格计算，以2017年农普修订的季度数据为基数。</t>
  </si>
  <si>
    <t>规模以上工业生产情况（一）</t>
  </si>
  <si>
    <t>3月</t>
  </si>
  <si>
    <t>增速（%）</t>
  </si>
  <si>
    <t>1-3月</t>
  </si>
  <si>
    <t>一、工业总产值</t>
  </si>
  <si>
    <t xml:space="preserve">  # 轻工业</t>
  </si>
  <si>
    <t xml:space="preserve">    重工业</t>
  </si>
  <si>
    <t xml:space="preserve">  # 国有企业</t>
  </si>
  <si>
    <t xml:space="preserve">    集体企业</t>
  </si>
  <si>
    <t xml:space="preserve">    股份合作制企业</t>
  </si>
  <si>
    <t xml:space="preserve">    股份制企业</t>
  </si>
  <si>
    <t xml:space="preserve">    外商及港澳台企业</t>
  </si>
  <si>
    <t xml:space="preserve">    其他经济类型企业</t>
  </si>
  <si>
    <t xml:space="preserve">  # 国有及国有控股企业</t>
  </si>
  <si>
    <t xml:space="preserve">    民营企业</t>
  </si>
  <si>
    <t xml:space="preserve">  # 大型企业</t>
  </si>
  <si>
    <t xml:space="preserve">    中型企业</t>
  </si>
  <si>
    <t xml:space="preserve">    小型企业</t>
  </si>
  <si>
    <t xml:space="preserve">    微型企业</t>
  </si>
  <si>
    <t>二、出口交货值</t>
  </si>
  <si>
    <t>现价销售产值         （亿元）</t>
  </si>
  <si>
    <t>产品销售率（%）</t>
  </si>
  <si>
    <t>产品销售率增速（%）</t>
  </si>
  <si>
    <t>三、销售产值及产销率</t>
  </si>
  <si>
    <t>注：2011年起，规模以上工业统计范围为主营业务收入2000万元及以上的工业法人企业。</t>
  </si>
  <si>
    <t>规模以上工业生产情况（二）</t>
  </si>
  <si>
    <t>一、工业增加值</t>
  </si>
  <si>
    <t>规模以上工业企业经济效益</t>
  </si>
  <si>
    <t>计量单位</t>
  </si>
  <si>
    <t>1-2月</t>
  </si>
  <si>
    <t>企业单位数</t>
  </si>
  <si>
    <t>个</t>
  </si>
  <si>
    <t xml:space="preserve">    #亏损企业</t>
  </si>
  <si>
    <t>亏损企业亏损额</t>
  </si>
  <si>
    <t>主营业务收入</t>
  </si>
  <si>
    <t>实现利税总额</t>
  </si>
  <si>
    <t xml:space="preserve">    #利润总额</t>
  </si>
  <si>
    <t>资产合计</t>
  </si>
  <si>
    <t>负债合计</t>
  </si>
  <si>
    <t>应收帐款净额</t>
  </si>
  <si>
    <t>产成品存货</t>
  </si>
  <si>
    <t>利息支出</t>
  </si>
  <si>
    <t>全部从业人员平均人数</t>
  </si>
  <si>
    <t>万人</t>
  </si>
  <si>
    <t>经济效益综合指数</t>
  </si>
  <si>
    <t>资产贡献率</t>
  </si>
  <si>
    <t>资产增值率</t>
  </si>
  <si>
    <t>资产负债率</t>
  </si>
  <si>
    <t>流动资产周转率</t>
  </si>
  <si>
    <t>次</t>
  </si>
  <si>
    <t>成本利润率</t>
  </si>
  <si>
    <t>劳动生产率</t>
  </si>
  <si>
    <t>万元/人</t>
  </si>
  <si>
    <t>产品销售率</t>
  </si>
  <si>
    <t>分行业规模以上工业企业总产值(一）</t>
  </si>
  <si>
    <t>全市总计</t>
  </si>
  <si>
    <t>黑色金属矿采矿业</t>
  </si>
  <si>
    <t>有色金属矿采选业</t>
  </si>
  <si>
    <t>非金属矿采选业</t>
  </si>
  <si>
    <t>开采辅助活动</t>
  </si>
  <si>
    <t>其他采矿业</t>
  </si>
  <si>
    <t>农副食品加工业</t>
  </si>
  <si>
    <t xml:space="preserve">    其中：植物油加工    </t>
  </si>
  <si>
    <t xml:space="preserve">          制糖</t>
  </si>
  <si>
    <t xml:space="preserve">          水产品加工</t>
  </si>
  <si>
    <t>食品制造业</t>
  </si>
  <si>
    <t>酒.饮料和精制茶制造业</t>
  </si>
  <si>
    <t>烟草制品业</t>
  </si>
  <si>
    <t>纺织业</t>
  </si>
  <si>
    <t>纺织服装、服饰业</t>
  </si>
  <si>
    <t>皮革毛皮羽毛制品业</t>
  </si>
  <si>
    <t>木材.竹.藤.棕.草制品业</t>
  </si>
  <si>
    <t>家具制造业</t>
  </si>
  <si>
    <t>造纸及纸制品业</t>
  </si>
  <si>
    <t>印刷、记录媒介复制</t>
  </si>
  <si>
    <t>分行业规模以上工业企业总产值(二）</t>
  </si>
  <si>
    <t>文教体育娱乐用品制造业</t>
  </si>
  <si>
    <t>石油加工.炼焦业</t>
  </si>
  <si>
    <t>化学原料及化学制造业</t>
  </si>
  <si>
    <t>医药制造业</t>
  </si>
  <si>
    <t>橡胶和塑料制品业</t>
  </si>
  <si>
    <t>非金属矿制品业</t>
  </si>
  <si>
    <t>黑色金属冶炼压延加工业</t>
  </si>
  <si>
    <t>有色金属冶炼压延加工业</t>
  </si>
  <si>
    <t>金属制品业</t>
  </si>
  <si>
    <t>通用机械制造业</t>
  </si>
  <si>
    <t>专用设备制造业</t>
  </si>
  <si>
    <t>汽车制造业</t>
  </si>
  <si>
    <t>铁路船舶和其他运输设备制造</t>
  </si>
  <si>
    <t>电气机械及器材制造业</t>
  </si>
  <si>
    <t>通信设备.计算机制造业</t>
  </si>
  <si>
    <t>其他制造业</t>
  </si>
  <si>
    <t>废弃资源废旧材料回收业</t>
  </si>
  <si>
    <t>金属制品.机械和设备修理业</t>
  </si>
  <si>
    <t>电力.热力生产和供应业</t>
  </si>
  <si>
    <t>燃气生产和供应业</t>
  </si>
  <si>
    <t>自来水的生产和供应业</t>
  </si>
  <si>
    <t>规模以上工业企业主要产品产量(一）</t>
  </si>
  <si>
    <t>原  盐</t>
  </si>
  <si>
    <t>饲  料</t>
  </si>
  <si>
    <t>食用植物油</t>
  </si>
  <si>
    <t>小麦粉</t>
  </si>
  <si>
    <t>鲜冷藏冻肉</t>
  </si>
  <si>
    <t>成品糖</t>
  </si>
  <si>
    <t>罐头</t>
  </si>
  <si>
    <t>发酵酒精</t>
  </si>
  <si>
    <t>千升</t>
  </si>
  <si>
    <t>饮料酒</t>
  </si>
  <si>
    <t xml:space="preserve">  其中:白酒   </t>
  </si>
  <si>
    <t xml:space="preserve">       啤酒   </t>
  </si>
  <si>
    <t>乳制品</t>
  </si>
  <si>
    <t>饮料</t>
  </si>
  <si>
    <t>冷冻水产品</t>
  </si>
  <si>
    <t>卷  烟</t>
  </si>
  <si>
    <t>亿支</t>
  </si>
  <si>
    <t>纱</t>
  </si>
  <si>
    <t>鞋</t>
  </si>
  <si>
    <t>万米</t>
  </si>
  <si>
    <t>服装</t>
  </si>
  <si>
    <t>万件</t>
  </si>
  <si>
    <t>规模以上工业企业主要产品产量(二）</t>
  </si>
  <si>
    <t>纸浆</t>
  </si>
  <si>
    <t>人造板</t>
  </si>
  <si>
    <t>万立方米</t>
  </si>
  <si>
    <t>家具</t>
  </si>
  <si>
    <t>机制纸及纸板</t>
  </si>
  <si>
    <t>纸制品</t>
  </si>
  <si>
    <t>原油加工量</t>
  </si>
  <si>
    <t>汽油</t>
  </si>
  <si>
    <t>柴油</t>
  </si>
  <si>
    <t>燃料油</t>
  </si>
  <si>
    <t>石脑油</t>
  </si>
  <si>
    <t>石油沥青</t>
  </si>
  <si>
    <t>液化石油气</t>
  </si>
  <si>
    <t>硫酸(折100%)</t>
  </si>
  <si>
    <t>纯苯</t>
  </si>
  <si>
    <t>农用化学肥料</t>
  </si>
  <si>
    <t>磷酸二铵（实物量）</t>
  </si>
  <si>
    <t>初级形态的塑料</t>
  </si>
  <si>
    <t>化学药品原药</t>
  </si>
  <si>
    <t>涂料</t>
  </si>
  <si>
    <t>中成药</t>
  </si>
  <si>
    <t>规模以上工业企业主要产品产量(三）</t>
  </si>
  <si>
    <t>塑料制品</t>
  </si>
  <si>
    <t>塑料薄膜</t>
  </si>
  <si>
    <t>橡胶轮胎外胎</t>
  </si>
  <si>
    <t>万条</t>
  </si>
  <si>
    <t>水泥</t>
  </si>
  <si>
    <t>商品混凝土</t>
  </si>
  <si>
    <t>砖(折标准砖)</t>
  </si>
  <si>
    <t>亿块</t>
  </si>
  <si>
    <t>玻璃包装容器</t>
  </si>
  <si>
    <t>瓷砖</t>
  </si>
  <si>
    <t>生铁</t>
  </si>
  <si>
    <t>粗钢</t>
  </si>
  <si>
    <t>钢材</t>
  </si>
  <si>
    <t>金属门窗及类似制品</t>
  </si>
  <si>
    <t>铝  材</t>
  </si>
  <si>
    <t>金属紧固件</t>
  </si>
  <si>
    <t>农产品初加工机械</t>
  </si>
  <si>
    <t>台</t>
  </si>
  <si>
    <t>变压器</t>
  </si>
  <si>
    <t>万千伏安</t>
  </si>
  <si>
    <t>电饭锅</t>
  </si>
  <si>
    <t>亿个</t>
  </si>
  <si>
    <t>灯具照明装置</t>
  </si>
  <si>
    <t>万台（套）</t>
  </si>
  <si>
    <t>发电量</t>
  </si>
  <si>
    <t>供电量</t>
  </si>
  <si>
    <t>工业综合能源消费量</t>
  </si>
  <si>
    <t>单位：万吨标准煤</t>
  </si>
  <si>
    <t>规模以上工业企业</t>
  </si>
  <si>
    <t xml:space="preserve">    采矿业</t>
  </si>
  <si>
    <t xml:space="preserve">    制造业</t>
  </si>
  <si>
    <t xml:space="preserve">    电力、热力、燃气及水生产和供应业</t>
  </si>
  <si>
    <t xml:space="preserve"> 高耗能行业</t>
  </si>
  <si>
    <t xml:space="preserve">  25.石油、煤炭及其他燃料加工业 </t>
  </si>
  <si>
    <t xml:space="preserve">  26.化学原料和化学制品制造业</t>
  </si>
  <si>
    <t xml:space="preserve">  30.非金属矿物制品业</t>
  </si>
  <si>
    <t xml:space="preserve">  31.黑色金属冶炼和压延加工业</t>
  </si>
  <si>
    <t xml:space="preserve">  32.有色金属冶炼和压延加工业 </t>
  </si>
  <si>
    <t xml:space="preserve">  44.电力、热力生产和供应业</t>
  </si>
  <si>
    <t>注：工业综合能源消费量(按当量值计算)为企业在工业生产活动中实际消费的各种能源的总和净值。</t>
  </si>
  <si>
    <t>交通运输完成情况</t>
  </si>
  <si>
    <t>一、港口货物吞吐量</t>
  </si>
  <si>
    <t>全市港口货物吞吐量</t>
  </si>
  <si>
    <t>全市港口集装箱吞吐量</t>
  </si>
  <si>
    <t>万TEU</t>
  </si>
  <si>
    <t>二、交通运输</t>
  </si>
  <si>
    <t>（一）公 路</t>
  </si>
  <si>
    <t xml:space="preserve">        货运量</t>
  </si>
  <si>
    <t>亿吨</t>
  </si>
  <si>
    <t xml:space="preserve">        货物周转量</t>
  </si>
  <si>
    <t>亿吨公里</t>
  </si>
  <si>
    <t xml:space="preserve">        客运量</t>
  </si>
  <si>
    <t xml:space="preserve">        旅客周转量</t>
  </si>
  <si>
    <t>亿人公里</t>
  </si>
  <si>
    <t>（二）水 路</t>
  </si>
  <si>
    <t>固定资产投资完成情况</t>
  </si>
  <si>
    <t>一、固定资产投资</t>
  </si>
  <si>
    <t xml:space="preserve">       基础设施 </t>
  </si>
  <si>
    <t xml:space="preserve">          #城市建设</t>
  </si>
  <si>
    <t xml:space="preserve">           交通运输基础设施投资</t>
  </si>
  <si>
    <t xml:space="preserve">       房地产开发</t>
  </si>
  <si>
    <t xml:space="preserve">       工业</t>
  </si>
  <si>
    <t xml:space="preserve">          #技术改造</t>
  </si>
  <si>
    <t xml:space="preserve">    按注册类型分：国有经济投资</t>
  </si>
  <si>
    <t xml:space="preserve">                  民间投资</t>
  </si>
  <si>
    <t xml:space="preserve">                  港澳台及外商投资</t>
  </si>
  <si>
    <t xml:space="preserve">    按产业分：第一产业</t>
  </si>
  <si>
    <t xml:space="preserve">              第二产业</t>
  </si>
  <si>
    <t xml:space="preserve">              第三产业</t>
  </si>
  <si>
    <t>二、施工项目个数</t>
  </si>
  <si>
    <t xml:space="preserve">      #亿元以上项目</t>
  </si>
  <si>
    <t xml:space="preserve">      #工业新增项目</t>
  </si>
  <si>
    <t>三、本年施工房屋面积</t>
  </si>
  <si>
    <t xml:space="preserve">       #住宅</t>
  </si>
  <si>
    <t>四、竣工面积</t>
  </si>
  <si>
    <t>五、商品房销售面积</t>
  </si>
  <si>
    <t>六、商品房销售额</t>
  </si>
  <si>
    <t>一、社会消费品零售总额</t>
  </si>
  <si>
    <t>（一）按销售单位所在地分</t>
  </si>
  <si>
    <t xml:space="preserve">       1.城镇</t>
  </si>
  <si>
    <t xml:space="preserve">       2.乡村</t>
  </si>
  <si>
    <t>（二）按行业分</t>
  </si>
  <si>
    <t xml:space="preserve">       1.批发零售贸易业</t>
  </si>
  <si>
    <t xml:space="preserve">       2.住宿和餐饮业</t>
  </si>
  <si>
    <t>（三）限额以上批发和零售业消费品零售额</t>
  </si>
  <si>
    <t xml:space="preserve">      粮油、食品、饮料、烟酒类</t>
  </si>
  <si>
    <t xml:space="preserve">      服装鞋帽针纺织品类</t>
  </si>
  <si>
    <t xml:space="preserve">      化妆品类</t>
  </si>
  <si>
    <t xml:space="preserve">      金银珠宝类</t>
  </si>
  <si>
    <t xml:space="preserve">      日用品类</t>
  </si>
  <si>
    <t xml:space="preserve">      五金电料类</t>
  </si>
  <si>
    <t xml:space="preserve">      体育娱乐用品类</t>
  </si>
  <si>
    <t xml:space="preserve">      书报杂志类</t>
  </si>
  <si>
    <t xml:space="preserve">      电子出版物及音像制品类</t>
  </si>
  <si>
    <t xml:space="preserve">      家用电器和音像器材类</t>
  </si>
  <si>
    <t xml:space="preserve">      中西药品类</t>
  </si>
  <si>
    <t xml:space="preserve">      文化办公用品类</t>
  </si>
  <si>
    <t xml:space="preserve">      家具类</t>
  </si>
  <si>
    <t xml:space="preserve">      通讯器材类</t>
  </si>
  <si>
    <t xml:space="preserve">      石油及制品类</t>
  </si>
  <si>
    <t xml:space="preserve">      建筑及装潢材料类</t>
  </si>
  <si>
    <t xml:space="preserve">      机电产品及设备类</t>
  </si>
  <si>
    <t xml:space="preserve">      汽车类</t>
  </si>
  <si>
    <t xml:space="preserve">      其他类</t>
  </si>
  <si>
    <t>财政收支情况</t>
  </si>
  <si>
    <t>单位:亿元</t>
  </si>
  <si>
    <t>增长％</t>
  </si>
  <si>
    <t xml:space="preserve">     地方一般公共预算收入</t>
  </si>
  <si>
    <t xml:space="preserve">       ＃税收收入</t>
  </si>
  <si>
    <t xml:space="preserve">            ＃增值税</t>
  </si>
  <si>
    <t xml:space="preserve">              企业所得税</t>
  </si>
  <si>
    <t xml:space="preserve">              个人所得税</t>
  </si>
  <si>
    <t xml:space="preserve">         非税收入</t>
  </si>
  <si>
    <t xml:space="preserve">    地方一般公共预算支出</t>
  </si>
  <si>
    <t xml:space="preserve">        ＃一般公共服务</t>
  </si>
  <si>
    <t xml:space="preserve">          科学技术</t>
  </si>
  <si>
    <t xml:space="preserve">          民生支出合计</t>
  </si>
  <si>
    <t xml:space="preserve">             ＃教育</t>
  </si>
  <si>
    <t xml:space="preserve">              文化体育与传媒</t>
  </si>
  <si>
    <t xml:space="preserve">              社会保障和就业</t>
  </si>
  <si>
    <t xml:space="preserve">              医疗卫生和计划生育</t>
  </si>
  <si>
    <t xml:space="preserve">              节能环保</t>
  </si>
  <si>
    <t xml:space="preserve">              城乡社区事务</t>
  </si>
  <si>
    <t xml:space="preserve">              农林水事务</t>
  </si>
  <si>
    <t xml:space="preserve">              交通运输</t>
  </si>
  <si>
    <t xml:space="preserve">              住房保障支出</t>
  </si>
  <si>
    <t xml:space="preserve">              粮油物资储备事务</t>
  </si>
  <si>
    <t>注：财政数据由湛江市财政局提供。</t>
  </si>
  <si>
    <t>金  融</t>
  </si>
  <si>
    <t>3月末余额</t>
  </si>
  <si>
    <t>金融机构本外币各项存款余额</t>
  </si>
  <si>
    <t>　　（一）境内存款</t>
  </si>
  <si>
    <t>　　　　1.住户存款</t>
  </si>
  <si>
    <t xml:space="preserve">        2.非金融企业存款</t>
  </si>
  <si>
    <t xml:space="preserve">        3.广义政府存款</t>
  </si>
  <si>
    <t xml:space="preserve">        4.非银行业金融机构存款</t>
  </si>
  <si>
    <t>　　（二）境外存款</t>
  </si>
  <si>
    <t>金融机构本外币各项贷款余额</t>
  </si>
  <si>
    <t>　　（一）境内贷款</t>
  </si>
  <si>
    <t>　　　　1.住户贷款</t>
  </si>
  <si>
    <t xml:space="preserve">        2.非金融企业及机关团体贷款</t>
  </si>
  <si>
    <t xml:space="preserve">        3.非银行业金融机构贷款</t>
  </si>
  <si>
    <t>　　（二）境外贷款</t>
  </si>
  <si>
    <t>金融机构人民币各项存款余额</t>
  </si>
  <si>
    <t>　　　　　　其中：活期存款</t>
  </si>
  <si>
    <t>　　　　　　其中：机关团体存款</t>
  </si>
  <si>
    <t>金融机构人民币各项贷款余额</t>
  </si>
  <si>
    <t>　　　　　　其中：中长期贷款</t>
  </si>
  <si>
    <t>　　　　　　其中：短期贷款</t>
  </si>
  <si>
    <t>　　　　　　      中长期贷款</t>
  </si>
  <si>
    <t>注：金融数据由中国人民银行湛江市中心支行提供。</t>
  </si>
  <si>
    <t>对  外  经  济</t>
  </si>
  <si>
    <t>一、外贸进出口总额</t>
  </si>
  <si>
    <t xml:space="preserve">   (一)出口总额</t>
  </si>
  <si>
    <t xml:space="preserve">   1.按主要贸易方式分</t>
  </si>
  <si>
    <t xml:space="preserve">       一般贸易</t>
  </si>
  <si>
    <t xml:space="preserve">       来料加工</t>
  </si>
  <si>
    <t xml:space="preserve">       进料加工</t>
  </si>
  <si>
    <t xml:space="preserve">         保税仓进出境货物</t>
  </si>
  <si>
    <t xml:space="preserve">   2.按主要经济类型分</t>
  </si>
  <si>
    <t xml:space="preserve">       国有企业</t>
  </si>
  <si>
    <t xml:space="preserve">      “三”资企业</t>
  </si>
  <si>
    <t xml:space="preserve">       集体企业</t>
  </si>
  <si>
    <t xml:space="preserve">       私营企业</t>
  </si>
  <si>
    <t xml:space="preserve">   4.按主要国家（地区）分</t>
  </si>
  <si>
    <t>东     盟</t>
  </si>
  <si>
    <t>欧     盟</t>
  </si>
  <si>
    <t>美     国</t>
  </si>
  <si>
    <t>香     港</t>
  </si>
  <si>
    <t>印     度</t>
  </si>
  <si>
    <t xml:space="preserve">  (二)进口总额</t>
  </si>
  <si>
    <t xml:space="preserve">  按主要贸易方式分</t>
  </si>
  <si>
    <t xml:space="preserve">    一般贸易</t>
  </si>
  <si>
    <t xml:space="preserve">    来料加工</t>
  </si>
  <si>
    <t xml:space="preserve">    进料加工</t>
  </si>
  <si>
    <t xml:space="preserve">      保税仓进出境货物</t>
  </si>
  <si>
    <t>二、使用外资金额 （1-3月）</t>
  </si>
  <si>
    <t xml:space="preserve">      外商直接投资项目个数 </t>
  </si>
  <si>
    <t xml:space="preserve">      合同利用外商直接投资</t>
  </si>
  <si>
    <t xml:space="preserve">      实际利用外商直接投资</t>
  </si>
  <si>
    <t>注:对外经济数据由湛江市商务局提供。</t>
  </si>
  <si>
    <t>人 民 生 活</t>
  </si>
  <si>
    <t>单位：元</t>
  </si>
  <si>
    <t>一、居民人均可支配收入</t>
  </si>
  <si>
    <t xml:space="preserve">    1、工资性收入</t>
  </si>
  <si>
    <t xml:space="preserve">    2、经营净收入</t>
  </si>
  <si>
    <t xml:space="preserve">    3、财产净收入</t>
  </si>
  <si>
    <t xml:space="preserve">    4、转移净收入</t>
  </si>
  <si>
    <t>其中：城镇常住居民人均可支配收入</t>
  </si>
  <si>
    <t xml:space="preserve">      农村常住居民人均可支配收入</t>
  </si>
  <si>
    <t>二、居民人均消费支出</t>
  </si>
  <si>
    <t xml:space="preserve">    1、食品烟酒</t>
  </si>
  <si>
    <t xml:space="preserve">    2、衣着</t>
  </si>
  <si>
    <t xml:space="preserve">    3、居住</t>
  </si>
  <si>
    <t xml:space="preserve">    4、生活用品及服务</t>
  </si>
  <si>
    <t xml:space="preserve">    5、交通通信</t>
  </si>
  <si>
    <t xml:space="preserve">    6、教育文化娱乐</t>
  </si>
  <si>
    <t xml:space="preserve">    7、医疗保健</t>
  </si>
  <si>
    <t xml:space="preserve">    8、其他用品和服务</t>
  </si>
  <si>
    <t>其中：城镇常住居民人均消费支出</t>
  </si>
  <si>
    <t xml:space="preserve">      农村常住居民人均消费支出</t>
  </si>
  <si>
    <t>注:居民收支数据由国家统计局湛江调查队提供。</t>
  </si>
  <si>
    <t>单位：%</t>
  </si>
  <si>
    <t>上年同月=100</t>
  </si>
  <si>
    <t>上年同期=100</t>
  </si>
  <si>
    <t>一、居民消费价格总指数</t>
  </si>
  <si>
    <t>（一）食品烟酒</t>
  </si>
  <si>
    <t xml:space="preserve">       #粮食</t>
  </si>
  <si>
    <t xml:space="preserve">        鲜菜</t>
  </si>
  <si>
    <t xml:space="preserve">        畜肉类</t>
  </si>
  <si>
    <t xml:space="preserve">        水产品</t>
  </si>
  <si>
    <t xml:space="preserve">        蛋类</t>
  </si>
  <si>
    <t xml:space="preserve">        在外餐饮</t>
  </si>
  <si>
    <t>（二）衣着</t>
  </si>
  <si>
    <t>（三）居住</t>
  </si>
  <si>
    <t xml:space="preserve">（四）生活用品及服务 </t>
  </si>
  <si>
    <t>（五）交通和通信</t>
  </si>
  <si>
    <t>（六）教育文化和娱乐</t>
  </si>
  <si>
    <t xml:space="preserve">      #教育</t>
  </si>
  <si>
    <t>（七）医疗保健</t>
  </si>
  <si>
    <t>（八）其他用品和服务</t>
  </si>
  <si>
    <t>服务项目价格指数</t>
  </si>
  <si>
    <t>二、商品零售价格指数（%）</t>
  </si>
  <si>
    <t>注:价格指数数据由国家统计局湛江调查队提供。</t>
  </si>
  <si>
    <t>各县（市、 区）主要经济指标完成情况（一）</t>
  </si>
  <si>
    <t>市  别</t>
  </si>
  <si>
    <t>增速排位</t>
  </si>
  <si>
    <t>一、生产总值</t>
  </si>
  <si>
    <t xml:space="preserve">     全  市</t>
  </si>
  <si>
    <t xml:space="preserve">     赤坎区</t>
  </si>
  <si>
    <t xml:space="preserve">     霞山区</t>
  </si>
  <si>
    <t xml:space="preserve">     坡头区</t>
  </si>
  <si>
    <t xml:space="preserve">     麻章区</t>
  </si>
  <si>
    <t xml:space="preserve">     开发区</t>
  </si>
  <si>
    <t xml:space="preserve">     吴川市</t>
  </si>
  <si>
    <t xml:space="preserve">     徐闻县</t>
  </si>
  <si>
    <t xml:space="preserve">     雷州市</t>
  </si>
  <si>
    <t xml:space="preserve">     遂溪县</t>
  </si>
  <si>
    <t xml:space="preserve">     廉江市</t>
  </si>
  <si>
    <t>二、第一产业增加值</t>
  </si>
  <si>
    <t>注：地区生产总值（GDP）按季度核算。</t>
  </si>
  <si>
    <t>各县（市、 区）主要经济指标完成情况（二）</t>
  </si>
  <si>
    <t>三、第二产业增加值</t>
  </si>
  <si>
    <t>四、第三产业增加值</t>
  </si>
  <si>
    <t>各县（市、 区）主要经济指标完成情况（三）</t>
  </si>
  <si>
    <t>五、工业增加值</t>
  </si>
  <si>
    <t>六、规模以上工业产品销售产值</t>
  </si>
  <si>
    <t xml:space="preserve">       其中：奋勇新区</t>
  </si>
  <si>
    <t xml:space="preserve">  总计中：开发区</t>
  </si>
  <si>
    <t>各县（市、 区）主要经济指标完成情况（四）</t>
  </si>
  <si>
    <t>七、规模以上工业增加值</t>
  </si>
  <si>
    <t>八、规模以上工业总产值</t>
  </si>
  <si>
    <t>各县（市、 区）主要经济指标完成情况（五）</t>
  </si>
  <si>
    <t>九、规模以上产品销售率(%)</t>
  </si>
  <si>
    <t>十、规模以上工业产品出口交货值（亿元）</t>
  </si>
  <si>
    <t>各县（市、 区）主要经济指标完成情况（六）</t>
  </si>
  <si>
    <t>十一、规模以上工业企业经济效益综合指数(%)</t>
  </si>
  <si>
    <t>十二、规模以上工业企业单位数（个）</t>
  </si>
  <si>
    <t>各县（市、 区）主要经济指标完成情况（七）</t>
  </si>
  <si>
    <t>十三、规模以上工业亏损企业数（个）</t>
  </si>
  <si>
    <t>十四、规模以上工业企业主营业务收入(亿元)</t>
  </si>
  <si>
    <t>各县（市、 区）主要经济指标完成情况（八）</t>
  </si>
  <si>
    <t>十五、规模以上工业企业利润总额</t>
  </si>
  <si>
    <t>十六、规模以上工业企业亏损额</t>
  </si>
  <si>
    <t>各县（市、 区）主要经济指标完成情况（九）</t>
  </si>
  <si>
    <t>十七、规模以上工业企业利税总额</t>
  </si>
  <si>
    <t>十八、规模以上工业企业资产合计</t>
  </si>
  <si>
    <t>各县（市、 区）主要经济指标完成情况（十）</t>
  </si>
  <si>
    <t>十九、规模以上工业企业负债合计</t>
  </si>
  <si>
    <t>二十、规模以上工业企业应收账款净额</t>
  </si>
  <si>
    <t>各县（市、 区）主要经济指标完成情况（十一）</t>
  </si>
  <si>
    <t>二十一、规模以上工业企业产成品存货</t>
  </si>
  <si>
    <t>二十二、规模以上工业企业利息支出</t>
  </si>
  <si>
    <t>各县（市、 区）主要经济指标完成情况（十二）</t>
  </si>
  <si>
    <t>二十三、规模以上工业企业全部平均人数(人）</t>
  </si>
  <si>
    <t>二十四、规模以上工业企业资产贡献率（%）</t>
  </si>
  <si>
    <t>各县（市、 区）主要经济指标完成情况（十三）</t>
  </si>
  <si>
    <t>二十五、规模以上工业企业资产增值率</t>
  </si>
  <si>
    <t>二十六、规模以上工业企业资产负债率</t>
  </si>
  <si>
    <t>各县（市、 区）主要经济指标完成情况（十四）</t>
  </si>
  <si>
    <t>二十七、规模以上工业企业流动资产周转率</t>
  </si>
  <si>
    <t>二十八、规模以上工业企业成本利润率</t>
  </si>
  <si>
    <t>各县（市、 区）主要经济指标完成情况（十五）</t>
  </si>
  <si>
    <t>二十九、社会消费品零售总额</t>
  </si>
  <si>
    <t>三十、固定资产投资</t>
  </si>
  <si>
    <t>2018年各县（市、 区）主要经济指标完成情况（十六）</t>
  </si>
  <si>
    <t>其中：工业投资</t>
  </si>
  <si>
    <t xml:space="preserve">  其中：工业技改投资</t>
  </si>
  <si>
    <t>2018年各县（市、 区）主要经济指标完成情况（十七）</t>
  </si>
  <si>
    <t>三十一、房地产开发投资</t>
  </si>
  <si>
    <t>三十二、商品房销售面积</t>
  </si>
  <si>
    <t>各县（市、 区）主要经济指标完成情况（十八）</t>
  </si>
  <si>
    <t>三十三、地方一般公共预算收入</t>
  </si>
  <si>
    <t>三十四、地方一般公共预算支出</t>
  </si>
  <si>
    <t>各县（市、 区）主要经济指标完成情况（十九）</t>
  </si>
  <si>
    <t>三十五、进出口总额（亿元）1-2月</t>
  </si>
  <si>
    <t>三十六、实际使用外资（万美元）</t>
  </si>
  <si>
    <t>注：实际使用外资按原口径统计。</t>
  </si>
  <si>
    <t>全国及全省各市主要经济指标完成情况（五）</t>
  </si>
  <si>
    <t xml:space="preserve"> 市    别 </t>
  </si>
  <si>
    <t>地税收入</t>
  </si>
  <si>
    <t>国税收入</t>
  </si>
  <si>
    <t>1-5月</t>
  </si>
  <si>
    <t>增长（%）</t>
  </si>
  <si>
    <t>全  国</t>
  </si>
  <si>
    <t>全  省</t>
  </si>
  <si>
    <t>广州市</t>
  </si>
  <si>
    <t>深圳市</t>
  </si>
  <si>
    <t>珠海市</t>
  </si>
  <si>
    <t>汕头市</t>
  </si>
  <si>
    <t>佛山市</t>
  </si>
  <si>
    <t>韶关市</t>
  </si>
  <si>
    <t>河源市</t>
  </si>
  <si>
    <t>梅州市</t>
  </si>
  <si>
    <t>惠州市</t>
  </si>
  <si>
    <t>汕尾市</t>
  </si>
  <si>
    <t>东莞市</t>
  </si>
  <si>
    <t>中山市</t>
  </si>
  <si>
    <t>江门市</t>
  </si>
  <si>
    <t>阳江市</t>
  </si>
  <si>
    <t>湛江市</t>
  </si>
  <si>
    <t>茂名市</t>
  </si>
  <si>
    <t>肇庆市</t>
  </si>
  <si>
    <t>清远市</t>
  </si>
  <si>
    <t>潮州市</t>
  </si>
  <si>
    <t>揭阳市</t>
  </si>
  <si>
    <t>云浮市</t>
  </si>
  <si>
    <t>规模以上工业增加值序列</t>
  </si>
  <si>
    <t xml:space="preserve">  单位：万元</t>
  </si>
  <si>
    <t>时间</t>
  </si>
  <si>
    <t xml:space="preserve">  累计</t>
  </si>
  <si>
    <t>累计增长%</t>
  </si>
  <si>
    <t>月份</t>
  </si>
  <si>
    <t>2016年</t>
  </si>
  <si>
    <t>2017年</t>
  </si>
  <si>
    <t>累计数</t>
  </si>
  <si>
    <t>1月</t>
  </si>
  <si>
    <t>2月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</si>
  <si>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</si>
  <si>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</si>
  <si>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</si>
  <si>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</si>
  <si>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</si>
  <si>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</si>
  <si>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</si>
  <si>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</si>
  <si>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</si>
  <si>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2019年</t>
  </si>
  <si>
    <t>单位：亿元、亿美元</t>
  </si>
  <si>
    <t>注：2016年起，进出口总额数据以人民币计价。</t>
  </si>
  <si>
    <t>一般公共预算收入</t>
  </si>
  <si>
    <t>备注：地方一般公共预算收入增速为可比口径增长。</t>
  </si>
  <si>
    <t>同比增减
百分点</t>
  </si>
  <si>
    <t>累计指数</t>
  </si>
  <si>
    <t>工业用电量</t>
  </si>
  <si>
    <t>单位：亿千瓦时</t>
  </si>
  <si>
    <t>固定资产投资序列</t>
  </si>
  <si>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单位：万元</t>
    </r>
  </si>
  <si>
    <t>社会消费品零售总额序列</t>
  </si>
  <si>
    <t>出口序列</t>
  </si>
  <si>
    <t xml:space="preserve">    单位：万元</t>
  </si>
  <si>
    <t>外贸出口总额</t>
  </si>
  <si>
    <t xml:space="preserve"> </t>
  </si>
  <si>
    <t>地方一般公共预算收入序列</t>
  </si>
  <si>
    <t>工业用电量序列</t>
  </si>
  <si>
    <t xml:space="preserve">  单位：亿千瓦时</t>
  </si>
  <si>
    <t>（上年同期＝100）单位：%</t>
  </si>
  <si>
    <t>当月</t>
  </si>
  <si>
    <t>累计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</si>
</sst>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3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;\-#,##0;&quot;-&quot;"/>
    <numFmt numFmtId="177" formatCode="#,##0;\(#,##0\)"/>
    <numFmt numFmtId="178" formatCode="_-* #,##0.00_-;\-* #,##0.00_-;_-* &quot;-&quot;??_-;_-@_-"/>
    <numFmt numFmtId="179" formatCode="_-&quot;$&quot;* #,##0_-;\-&quot;$&quot;* #,##0_-;_-&quot;$&quot;* &quot;-&quot;_-;_-@_-"/>
    <numFmt numFmtId="180" formatCode="_-&quot;$&quot;\ * #,##0.00_-;_-&quot;$&quot;\ * #,##0.00\-;_-&quot;$&quot;\ * &quot;-&quot;??_-;_-@_-"/>
    <numFmt numFmtId="181" formatCode="\$#,##0.00;\(\$#,##0.00\)"/>
    <numFmt numFmtId="182" formatCode="\$#,##0;\(\$#,##0\)"/>
    <numFmt numFmtId="183" formatCode="#,##0.0_);\(#,##0.0\)"/>
    <numFmt numFmtId="184" formatCode="_-&quot;$&quot;\ * #,##0_-;_-&quot;$&quot;\ * #,##0\-;_-&quot;$&quot;\ * &quot;-&quot;_-;_-@_-"/>
    <numFmt numFmtId="185" formatCode="&quot;$&quot;#,##0_);[Red]\(&quot;$&quot;#,##0\)"/>
    <numFmt numFmtId="186" formatCode="&quot;$&quot;#,##0.00_);[Red]\(&quot;$&quot;#,##0.00\)"/>
    <numFmt numFmtId="187" formatCode="&quot;$&quot;\ #,##0.00_-;[Red]&quot;$&quot;\ #,##0.00\-"/>
    <numFmt numFmtId="188" formatCode="&quot;$&quot;\ #,##0_-;[Red]&quot;$&quot;\ #,##0\-"/>
    <numFmt numFmtId="189" formatCode="0.00_)"/>
    <numFmt numFmtId="190" formatCode="#\ ??/??"/>
    <numFmt numFmtId="191" formatCode="_(&quot;$&quot;* #,##0.00_);_(&quot;$&quot;* \(#,##0.00\);_(&quot;$&quot;* &quot;-&quot;??_);_(@_)"/>
    <numFmt numFmtId="192" formatCode="_(&quot;$&quot;* #,##0_);_(&quot;$&quot;* \(#,##0\);_(&quot;$&quot;* &quot;-&quot;_);_(@_)"/>
    <numFmt numFmtId="193" formatCode="_-* #,##0_$_-;\-* #,##0_$_-;_-* &quot;-&quot;_$_-;_-@_-"/>
    <numFmt numFmtId="194" formatCode="_-* #,##0.00_$_-;\-* #,##0.00_$_-;_-* &quot;-&quot;??_$_-;_-@_-"/>
    <numFmt numFmtId="195" formatCode="_-* #,##0&quot;$&quot;_-;\-* #,##0&quot;$&quot;_-;_-* &quot;-&quot;&quot;$&quot;_-;_-@_-"/>
    <numFmt numFmtId="196" formatCode="_-* #,##0.00&quot;$&quot;_-;\-* #,##0.00&quot;$&quot;_-;_-* &quot;-&quot;??&quot;$&quot;_-;_-@_-"/>
    <numFmt numFmtId="197" formatCode="0_);\(0\)"/>
    <numFmt numFmtId="198" formatCode="yy\.mm\.dd"/>
    <numFmt numFmtId="199" formatCode="0.0"/>
    <numFmt numFmtId="200" formatCode="0.0_);[Red]\(0.0\)"/>
    <numFmt numFmtId="201" formatCode="0.0_ "/>
    <numFmt numFmtId="202" formatCode="0_);[Red]\(0\)"/>
    <numFmt numFmtId="203" formatCode="0.00_ "/>
    <numFmt numFmtId="204" formatCode="0;_؄"/>
    <numFmt numFmtId="205" formatCode="0_ "/>
    <numFmt numFmtId="206" formatCode="0.00_);[Red]\(0.00\)"/>
    <numFmt numFmtId="207" formatCode="0.0_ ;[Red]\-0.0\ "/>
    <numFmt numFmtId="208" formatCode="0.0%"/>
    <numFmt numFmtId="209" formatCode="0.0000_ "/>
  </numFmts>
  <fonts count="117">
    <font>
      <sz val="12"/>
      <name val="宋体"/>
      <charset val="134"/>
    </font>
    <font>
      <sz val="8"/>
      <name val="宋体"/>
      <charset val="134"/>
    </font>
    <font>
      <sz val="10"/>
      <name val="Arial"/>
      <charset val="134"/>
    </font>
    <font>
      <b/>
      <sz val="18"/>
      <name val="方正小标宋简体"/>
      <charset val="134"/>
    </font>
    <font>
      <sz val="10"/>
      <name val="宋体"/>
      <charset val="134"/>
    </font>
    <font>
      <sz val="12"/>
      <color indexed="10"/>
      <name val="宋体"/>
      <charset val="134"/>
    </font>
    <font>
      <b/>
      <sz val="18"/>
      <color indexed="10"/>
      <name val="方正小标宋简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2"/>
      <color indexed="10"/>
      <name val="黑体"/>
      <charset val="134"/>
    </font>
    <font>
      <sz val="16"/>
      <name val="黑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</font>
    <font>
      <b/>
      <sz val="9"/>
      <name val="Times New Roman"/>
      <charset val="134"/>
    </font>
    <font>
      <sz val="9"/>
      <name val="Times New Roman"/>
      <charset val="134"/>
    </font>
    <font>
      <sz val="10.5"/>
      <name val="Times New Roman"/>
      <charset val="134"/>
    </font>
    <font>
      <sz val="14"/>
      <name val="仿宋_GB2312"/>
      <charset val="134"/>
    </font>
    <font>
      <sz val="10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name val="宋体"/>
      <charset val="134"/>
      <scheme val="major"/>
    </font>
    <font>
      <sz val="11"/>
      <name val="宋体"/>
      <charset val="134"/>
      <scheme val="major"/>
    </font>
    <font>
      <sz val="11"/>
      <name val="宋体"/>
      <charset val="134"/>
    </font>
    <font>
      <b/>
      <sz val="11"/>
      <name val="宋体"/>
      <charset val="134"/>
    </font>
    <font>
      <sz val="12"/>
      <name val="Times New Roman"/>
      <charset val="134"/>
    </font>
    <font>
      <sz val="9"/>
      <name val="宋体"/>
      <charset val="134"/>
    </font>
    <font>
      <b/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????"/>
      <charset val="134"/>
    </font>
    <font>
      <sz val="10"/>
      <name val="Helv"/>
      <charset val="134"/>
    </font>
    <font>
      <sz val="10"/>
      <name val="Geneva"/>
      <charset val="134"/>
    </font>
    <font>
      <sz val="11"/>
      <color indexed="8"/>
      <name val="宋体"/>
      <charset val="134"/>
    </font>
    <font>
      <sz val="12"/>
      <color indexed="8"/>
      <name val="楷体_GB2312"/>
      <charset val="134"/>
    </font>
    <font>
      <sz val="11"/>
      <color indexed="9"/>
      <name val="宋体"/>
      <charset val="134"/>
    </font>
    <font>
      <sz val="12"/>
      <color indexed="9"/>
      <name val="楷体_GB2312"/>
      <charset val="134"/>
    </font>
    <font>
      <sz val="12"/>
      <color indexed="9"/>
      <name val="宋体"/>
      <charset val="134"/>
    </font>
    <font>
      <sz val="12"/>
      <color indexed="8"/>
      <name val="宋体"/>
      <charset val="134"/>
    </font>
    <font>
      <sz val="8"/>
      <name val="Times New Roman"/>
      <charset val="134"/>
    </font>
    <font>
      <sz val="11"/>
      <color indexed="20"/>
      <name val="宋体"/>
      <charset val="134"/>
    </font>
    <font>
      <sz val="10"/>
      <color indexed="8"/>
      <name val="Arial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0"/>
      <name val="Times New Roman"/>
      <charset val="134"/>
    </font>
    <font>
      <sz val="12"/>
      <name val="Arial"/>
      <charset val="134"/>
    </font>
    <font>
      <i/>
      <sz val="11"/>
      <color indexed="23"/>
      <name val="宋体"/>
      <charset val="134"/>
    </font>
    <font>
      <sz val="11"/>
      <color indexed="17"/>
      <name val="宋体"/>
      <charset val="134"/>
    </font>
    <font>
      <sz val="8"/>
      <name val="Arial"/>
      <charset val="134"/>
    </font>
    <font>
      <b/>
      <sz val="12"/>
      <name val="Arial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name val="Arial"/>
      <charset val="134"/>
    </font>
    <font>
      <sz val="11"/>
      <color indexed="62"/>
      <name val="宋体"/>
      <charset val="134"/>
    </font>
    <font>
      <sz val="12"/>
      <name val="Helv"/>
      <charset val="134"/>
    </font>
    <font>
      <sz val="11"/>
      <color indexed="52"/>
      <name val="宋体"/>
      <charset val="134"/>
    </font>
    <font>
      <sz val="12"/>
      <color indexed="9"/>
      <name val="Helv"/>
      <charset val="134"/>
    </font>
    <font>
      <sz val="11"/>
      <color indexed="60"/>
      <name val="宋体"/>
      <charset val="134"/>
    </font>
    <font>
      <sz val="7"/>
      <name val="Small Fonts"/>
      <charset val="134"/>
    </font>
    <font>
      <sz val="10"/>
      <name val="Courier"/>
      <charset val="134"/>
    </font>
    <font>
      <b/>
      <sz val="11"/>
      <color indexed="63"/>
      <name val="宋体"/>
      <charset val="134"/>
    </font>
    <font>
      <b/>
      <sz val="10"/>
      <name val="MS Sans Serif"/>
      <charset val="134"/>
    </font>
    <font>
      <b/>
      <sz val="10"/>
      <name val="Tms Rmn"/>
      <charset val="134"/>
    </font>
    <font>
      <sz val="10"/>
      <color indexed="8"/>
      <name val="MS Sans Serif"/>
      <charset val="134"/>
    </font>
    <font>
      <b/>
      <sz val="18"/>
      <color indexed="56"/>
      <name val="宋体"/>
      <charset val="134"/>
    </font>
    <font>
      <sz val="11"/>
      <color indexed="10"/>
      <name val="宋体"/>
      <charset val="134"/>
    </font>
    <font>
      <b/>
      <sz val="15"/>
      <color indexed="56"/>
      <name val="楷体_GB2312"/>
      <charset val="134"/>
    </font>
    <font>
      <b/>
      <sz val="13"/>
      <color indexed="56"/>
      <name val="楷体_GB2312"/>
      <charset val="134"/>
    </font>
    <font>
      <b/>
      <sz val="11"/>
      <color indexed="56"/>
      <name val="楷体_GB2312"/>
      <charset val="134"/>
    </font>
    <font>
      <b/>
      <sz val="14"/>
      <name val="楷体"/>
      <charset val="134"/>
    </font>
    <font>
      <b/>
      <sz val="18"/>
      <color indexed="62"/>
      <name val="宋体"/>
      <charset val="134"/>
    </font>
    <font>
      <sz val="10"/>
      <name val="楷体"/>
      <charset val="134"/>
    </font>
    <font>
      <sz val="12"/>
      <color indexed="20"/>
      <name val="楷体_GB2312"/>
      <charset val="134"/>
    </font>
    <font>
      <sz val="12"/>
      <color indexed="20"/>
      <name val="宋体"/>
      <charset val="134"/>
    </font>
    <font>
      <sz val="10.5"/>
      <color indexed="20"/>
      <name val="宋体"/>
      <charset val="134"/>
    </font>
    <font>
      <sz val="12"/>
      <color indexed="16"/>
      <name val="宋体"/>
      <charset val="134"/>
    </font>
    <font>
      <sz val="10"/>
      <color indexed="20"/>
      <name val="宋体"/>
      <charset val="134"/>
    </font>
    <font>
      <b/>
      <sz val="9"/>
      <name val="Arial"/>
      <charset val="134"/>
    </font>
    <font>
      <sz val="12"/>
      <color indexed="17"/>
      <name val="楷体_GB2312"/>
      <charset val="134"/>
    </font>
    <font>
      <sz val="12"/>
      <color indexed="17"/>
      <name val="宋体"/>
      <charset val="134"/>
    </font>
    <font>
      <sz val="10.5"/>
      <color indexed="17"/>
      <name val="宋体"/>
      <charset val="134"/>
    </font>
    <font>
      <sz val="10"/>
      <color indexed="17"/>
      <name val="宋体"/>
      <charset val="134"/>
    </font>
    <font>
      <u/>
      <sz val="12"/>
      <color indexed="36"/>
      <name val="宋体"/>
      <charset val="134"/>
    </font>
    <font>
      <b/>
      <sz val="11"/>
      <color indexed="8"/>
      <name val="宋体"/>
      <charset val="134"/>
    </font>
    <font>
      <b/>
      <sz val="12"/>
      <color indexed="8"/>
      <name val="楷体_GB2312"/>
      <charset val="134"/>
    </font>
    <font>
      <b/>
      <sz val="12"/>
      <color indexed="52"/>
      <name val="楷体_GB2312"/>
      <charset val="134"/>
    </font>
    <font>
      <b/>
      <sz val="12"/>
      <color indexed="9"/>
      <name val="楷体_GB2312"/>
      <charset val="134"/>
    </font>
    <font>
      <i/>
      <sz val="12"/>
      <color indexed="23"/>
      <name val="楷体_GB2312"/>
      <charset val="134"/>
    </font>
    <font>
      <sz val="12"/>
      <color indexed="10"/>
      <name val="楷体_GB2312"/>
      <charset val="134"/>
    </font>
    <font>
      <sz val="12"/>
      <color indexed="52"/>
      <name val="楷体_GB2312"/>
      <charset val="134"/>
    </font>
    <font>
      <sz val="12"/>
      <name val="官帕眉"/>
      <charset val="134"/>
    </font>
    <font>
      <b/>
      <sz val="12"/>
      <color indexed="8"/>
      <name val="宋体"/>
      <charset val="134"/>
    </font>
    <font>
      <sz val="12"/>
      <color indexed="60"/>
      <name val="楷体_GB2312"/>
      <charset val="134"/>
    </font>
    <font>
      <b/>
      <sz val="12"/>
      <color indexed="63"/>
      <name val="楷体_GB2312"/>
      <charset val="134"/>
    </font>
    <font>
      <sz val="12"/>
      <color indexed="62"/>
      <name val="楷体_GB2312"/>
      <charset val="134"/>
    </font>
    <font>
      <sz val="12"/>
      <name val="Courier"/>
      <charset val="134"/>
    </font>
    <font>
      <sz val="10"/>
      <name val="MS Sans Serif"/>
      <charset val="134"/>
    </font>
    <font>
      <sz val="12"/>
      <name val="바탕체"/>
      <charset val="134"/>
    </font>
  </fonts>
  <fills count="6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3"/>
        <bgColor indexed="64"/>
      </patternFill>
    </fill>
    <fill>
      <patternFill patternType="mediumGray">
        <fgColor indexed="22"/>
      </patternFill>
    </fill>
    <fill>
      <patternFill patternType="gray0625"/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</fills>
  <borders count="8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auto="1"/>
      </right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05">
    <xf numFmtId="0" fontId="0" fillId="0" borderId="0"/>
    <xf numFmtId="43" fontId="0" fillId="0" borderId="0" applyFont="0" applyFill="0" applyBorder="0" applyAlignment="0" applyProtection="0"/>
    <xf numFmtId="44" fontId="28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2" fontId="28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3" borderId="62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3" applyNumberFormat="0" applyFill="0" applyAlignment="0" applyProtection="0">
      <alignment vertical="center"/>
    </xf>
    <xf numFmtId="0" fontId="35" fillId="0" borderId="63" applyNumberFormat="0" applyFill="0" applyAlignment="0" applyProtection="0">
      <alignment vertical="center"/>
    </xf>
    <xf numFmtId="0" fontId="36" fillId="0" borderId="64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4" borderId="65" applyNumberFormat="0" applyAlignment="0" applyProtection="0">
      <alignment vertical="center"/>
    </xf>
    <xf numFmtId="0" fontId="38" fillId="5" borderId="66" applyNumberFormat="0" applyAlignment="0" applyProtection="0">
      <alignment vertical="center"/>
    </xf>
    <xf numFmtId="0" fontId="39" fillId="5" borderId="65" applyNumberFormat="0" applyAlignment="0" applyProtection="0">
      <alignment vertical="center"/>
    </xf>
    <xf numFmtId="0" fontId="40" fillId="6" borderId="67" applyNumberFormat="0" applyAlignment="0" applyProtection="0">
      <alignment vertical="center"/>
    </xf>
    <xf numFmtId="0" fontId="41" fillId="0" borderId="68" applyNumberFormat="0" applyFill="0" applyAlignment="0" applyProtection="0">
      <alignment vertical="center"/>
    </xf>
    <xf numFmtId="0" fontId="42" fillId="0" borderId="69" applyNumberFormat="0" applyFill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8" fillId="0" borderId="0"/>
    <xf numFmtId="0" fontId="49" fillId="0" borderId="0"/>
    <xf numFmtId="0" fontId="50" fillId="0" borderId="0"/>
    <xf numFmtId="49" fontId="0" fillId="0" borderId="0" applyFont="0" applyFill="0" applyBorder="0" applyAlignment="0" applyProtection="0"/>
    <xf numFmtId="0" fontId="25" fillId="0" borderId="0">
      <protection locked="0"/>
    </xf>
    <xf numFmtId="0" fontId="51" fillId="34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2" fillId="34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6" borderId="0" applyNumberFormat="0" applyBorder="0" applyAlignment="0" applyProtection="0">
      <alignment vertical="center"/>
    </xf>
    <xf numFmtId="0" fontId="52" fillId="37" borderId="0" applyNumberFormat="0" applyBorder="0" applyAlignment="0" applyProtection="0">
      <alignment vertical="center"/>
    </xf>
    <xf numFmtId="0" fontId="52" fillId="38" borderId="0" applyNumberFormat="0" applyBorder="0" applyAlignment="0" applyProtection="0">
      <alignment vertical="center"/>
    </xf>
    <xf numFmtId="0" fontId="52" fillId="39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51" fillId="42" borderId="0" applyNumberFormat="0" applyBorder="0" applyAlignment="0" applyProtection="0">
      <alignment vertical="center"/>
    </xf>
    <xf numFmtId="0" fontId="51" fillId="43" borderId="0" applyNumberFormat="0" applyBorder="0" applyAlignment="0" applyProtection="0">
      <alignment vertical="center"/>
    </xf>
    <xf numFmtId="0" fontId="52" fillId="40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3" borderId="0" applyNumberFormat="0" applyBorder="0" applyAlignment="0" applyProtection="0">
      <alignment vertical="center"/>
    </xf>
    <xf numFmtId="0" fontId="53" fillId="44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7" borderId="0" applyNumberFormat="0" applyBorder="0" applyAlignment="0" applyProtection="0">
      <alignment vertical="center"/>
    </xf>
    <xf numFmtId="0" fontId="54" fillId="44" borderId="0" applyNumberFormat="0" applyBorder="0" applyAlignment="0" applyProtection="0">
      <alignment vertical="center"/>
    </xf>
    <xf numFmtId="0" fontId="54" fillId="41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6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49" fillId="0" borderId="0">
      <protection locked="0"/>
    </xf>
    <xf numFmtId="0" fontId="55" fillId="48" borderId="0" applyNumberFormat="0" applyBorder="0" applyAlignment="0" applyProtection="0"/>
    <xf numFmtId="0" fontId="56" fillId="34" borderId="0" applyNumberFormat="0" applyBorder="0" applyAlignment="0" applyProtection="0"/>
    <xf numFmtId="0" fontId="55" fillId="40" borderId="0" applyNumberFormat="0" applyBorder="0" applyAlignment="0" applyProtection="0"/>
    <xf numFmtId="0" fontId="53" fillId="49" borderId="0" applyNumberFormat="0" applyBorder="0" applyAlignment="0" applyProtection="0">
      <alignment vertical="center"/>
    </xf>
    <xf numFmtId="0" fontId="55" fillId="50" borderId="0" applyNumberFormat="0" applyBorder="0" applyAlignment="0" applyProtection="0"/>
    <xf numFmtId="0" fontId="56" fillId="51" borderId="0" applyNumberFormat="0" applyBorder="0" applyAlignment="0" applyProtection="0"/>
    <xf numFmtId="0" fontId="56" fillId="52" borderId="0" applyNumberFormat="0" applyBorder="0" applyAlignment="0" applyProtection="0"/>
    <xf numFmtId="0" fontId="55" fillId="53" borderId="0" applyNumberFormat="0" applyBorder="0" applyAlignment="0" applyProtection="0"/>
    <xf numFmtId="0" fontId="53" fillId="54" borderId="0" applyNumberFormat="0" applyBorder="0" applyAlignment="0" applyProtection="0">
      <alignment vertical="center"/>
    </xf>
    <xf numFmtId="0" fontId="56" fillId="36" borderId="0" applyNumberFormat="0" applyBorder="0" applyAlignment="0" applyProtection="0"/>
    <xf numFmtId="0" fontId="55" fillId="52" borderId="0" applyNumberFormat="0" applyBorder="0" applyAlignment="0" applyProtection="0"/>
    <xf numFmtId="0" fontId="53" fillId="55" borderId="0" applyNumberFormat="0" applyBorder="0" applyAlignment="0" applyProtection="0">
      <alignment vertical="center"/>
    </xf>
    <xf numFmtId="0" fontId="55" fillId="46" borderId="0" applyNumberFormat="0" applyBorder="0" applyAlignment="0" applyProtection="0"/>
    <xf numFmtId="0" fontId="56" fillId="38" borderId="0" applyNumberFormat="0" applyBorder="0" applyAlignment="0" applyProtection="0"/>
    <xf numFmtId="0" fontId="55" fillId="47" borderId="0" applyNumberFormat="0" applyBorder="0" applyAlignment="0" applyProtection="0"/>
    <xf numFmtId="0" fontId="56" fillId="39" borderId="0" applyNumberFormat="0" applyBorder="0" applyAlignment="0" applyProtection="0"/>
    <xf numFmtId="0" fontId="55" fillId="39" borderId="0" applyNumberFormat="0" applyBorder="0" applyAlignment="0" applyProtection="0"/>
    <xf numFmtId="0" fontId="53" fillId="56" borderId="0" applyNumberFormat="0" applyBorder="0" applyAlignment="0" applyProtection="0">
      <alignment vertical="center"/>
    </xf>
    <xf numFmtId="0" fontId="57" fillId="0" borderId="0">
      <alignment horizontal="center" wrapText="1"/>
      <protection locked="0"/>
    </xf>
    <xf numFmtId="0" fontId="58" fillId="35" borderId="0" applyNumberFormat="0" applyBorder="0" applyAlignment="0" applyProtection="0">
      <alignment vertical="center"/>
    </xf>
    <xf numFmtId="176" fontId="59" fillId="0" borderId="0" applyFill="0" applyBorder="0" applyAlignment="0"/>
    <xf numFmtId="0" fontId="60" fillId="52" borderId="70" applyNumberFormat="0" applyAlignment="0" applyProtection="0">
      <alignment vertical="center"/>
    </xf>
    <xf numFmtId="0" fontId="61" fillId="53" borderId="71" applyNumberFormat="0" applyAlignment="0" applyProtection="0">
      <alignment vertical="center"/>
    </xf>
    <xf numFmtId="0" fontId="59" fillId="0" borderId="0" applyNumberFormat="0" applyFill="0" applyBorder="0" applyAlignment="0" applyProtection="0">
      <alignment vertical="top"/>
    </xf>
    <xf numFmtId="41" fontId="0" fillId="0" borderId="0" applyFont="0" applyFill="0" applyBorder="0" applyAlignment="0" applyProtection="0"/>
    <xf numFmtId="177" fontId="62" fillId="0" borderId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1" fontId="62" fillId="0" borderId="0"/>
    <xf numFmtId="0" fontId="63" fillId="0" borderId="0" applyProtection="0"/>
    <xf numFmtId="182" fontId="62" fillId="0" borderId="0"/>
    <xf numFmtId="0" fontId="64" fillId="0" borderId="0" applyNumberFormat="0" applyFill="0" applyBorder="0" applyAlignment="0" applyProtection="0">
      <alignment vertical="center"/>
    </xf>
    <xf numFmtId="2" fontId="63" fillId="0" borderId="0" applyProtection="0"/>
    <xf numFmtId="0" fontId="65" fillId="36" borderId="0" applyNumberFormat="0" applyBorder="0" applyAlignment="0" applyProtection="0">
      <alignment vertical="center"/>
    </xf>
    <xf numFmtId="0" fontId="66" fillId="52" borderId="0" applyNumberFormat="0" applyBorder="0" applyAlignment="0" applyProtection="0"/>
    <xf numFmtId="0" fontId="67" fillId="0" borderId="72" applyNumberFormat="0" applyAlignment="0" applyProtection="0">
      <alignment horizontal="left" vertical="center"/>
    </xf>
    <xf numFmtId="0" fontId="67" fillId="0" borderId="25">
      <alignment horizontal="left" vertical="center"/>
    </xf>
    <xf numFmtId="0" fontId="68" fillId="0" borderId="73" applyNumberFormat="0" applyFill="0" applyAlignment="0" applyProtection="0">
      <alignment vertical="center"/>
    </xf>
    <xf numFmtId="0" fontId="69" fillId="0" borderId="74" applyNumberFormat="0" applyFill="0" applyAlignment="0" applyProtection="0">
      <alignment vertical="center"/>
    </xf>
    <xf numFmtId="0" fontId="70" fillId="0" borderId="75" applyNumberFormat="0" applyFill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1" fillId="0" borderId="0" applyProtection="0"/>
    <xf numFmtId="0" fontId="67" fillId="0" borderId="0" applyProtection="0"/>
    <xf numFmtId="0" fontId="72" fillId="39" borderId="70" applyNumberFormat="0" applyAlignment="0" applyProtection="0">
      <alignment vertical="center"/>
    </xf>
    <xf numFmtId="0" fontId="66" fillId="51" borderId="18" applyNumberFormat="0" applyBorder="0" applyAlignment="0" applyProtection="0"/>
    <xf numFmtId="183" fontId="73" fillId="57" borderId="0"/>
    <xf numFmtId="0" fontId="74" fillId="0" borderId="76" applyNumberFormat="0" applyFill="0" applyAlignment="0" applyProtection="0">
      <alignment vertical="center"/>
    </xf>
    <xf numFmtId="183" fontId="75" fillId="58" borderId="0"/>
    <xf numFmtId="38" fontId="0" fillId="0" borderId="0" applyFont="0" applyFill="0" applyBorder="0" applyAlignment="0" applyProtection="0"/>
    <xf numFmtId="40" fontId="0" fillId="0" borderId="0" applyFont="0" applyFill="0" applyBorder="0" applyAlignment="0" applyProtection="0"/>
    <xf numFmtId="184" fontId="0" fillId="0" borderId="0" applyFont="0" applyFill="0" applyBorder="0" applyAlignment="0" applyProtection="0"/>
    <xf numFmtId="0" fontId="0" fillId="0" borderId="0" applyFont="0" applyFill="0" applyBorder="0" applyAlignment="0" applyProtection="0"/>
    <xf numFmtId="185" fontId="0" fillId="0" borderId="0" applyFont="0" applyFill="0" applyBorder="0" applyAlignment="0" applyProtection="0"/>
    <xf numFmtId="186" fontId="0" fillId="0" borderId="0" applyFont="0" applyFill="0" applyBorder="0" applyAlignment="0" applyProtection="0"/>
    <xf numFmtId="187" fontId="0" fillId="0" borderId="0" applyFont="0" applyFill="0" applyBorder="0" applyAlignment="0" applyProtection="0"/>
    <xf numFmtId="0" fontId="76" fillId="59" borderId="0" applyNumberFormat="0" applyBorder="0" applyAlignment="0" applyProtection="0">
      <alignment vertical="center"/>
    </xf>
    <xf numFmtId="0" fontId="62" fillId="0" borderId="0"/>
    <xf numFmtId="37" fontId="77" fillId="0" borderId="0"/>
    <xf numFmtId="0" fontId="73" fillId="0" borderId="0"/>
    <xf numFmtId="188" fontId="2" fillId="0" borderId="0"/>
    <xf numFmtId="189" fontId="78" fillId="0" borderId="0"/>
    <xf numFmtId="0" fontId="0" fillId="51" borderId="77" applyNumberFormat="0" applyFont="0" applyAlignment="0" applyProtection="0">
      <alignment vertical="center"/>
    </xf>
    <xf numFmtId="0" fontId="79" fillId="52" borderId="78" applyNumberFormat="0" applyAlignment="0" applyProtection="0">
      <alignment vertical="center"/>
    </xf>
    <xf numFmtId="14" fontId="57" fillId="0" borderId="0">
      <alignment horizontal="center" wrapText="1"/>
      <protection locked="0"/>
    </xf>
    <xf numFmtId="10" fontId="0" fillId="0" borderId="0" applyFont="0" applyFill="0" applyBorder="0" applyAlignment="0" applyProtection="0"/>
    <xf numFmtId="190" fontId="0" fillId="0" borderId="0" applyFont="0" applyFill="0" applyProtection="0"/>
    <xf numFmtId="0" fontId="0" fillId="0" borderId="0" applyNumberFormat="0" applyFont="0" applyFill="0" applyBorder="0" applyAlignment="0" applyProtection="0">
      <alignment horizontal="left"/>
    </xf>
    <xf numFmtId="15" fontId="0" fillId="0" borderId="0" applyFont="0" applyFill="0" applyBorder="0" applyAlignment="0" applyProtection="0"/>
    <xf numFmtId="4" fontId="0" fillId="0" borderId="0" applyFont="0" applyFill="0" applyBorder="0" applyAlignment="0" applyProtection="0"/>
    <xf numFmtId="0" fontId="80" fillId="0" borderId="1">
      <alignment horizontal="center"/>
    </xf>
    <xf numFmtId="3" fontId="0" fillId="0" borderId="0" applyFont="0" applyFill="0" applyBorder="0" applyAlignment="0" applyProtection="0"/>
    <xf numFmtId="0" fontId="0" fillId="60" borderId="0" applyNumberFormat="0" applyFont="0" applyBorder="0" applyAlignment="0" applyProtection="0"/>
    <xf numFmtId="0" fontId="27" fillId="0" borderId="0" applyNumberFormat="0" applyFill="0" applyBorder="0" applyAlignment="0" applyProtection="0"/>
    <xf numFmtId="0" fontId="81" fillId="61" borderId="5">
      <protection locked="0"/>
    </xf>
    <xf numFmtId="0" fontId="82" fillId="0" borderId="0"/>
    <xf numFmtId="0" fontId="83" fillId="0" borderId="0" applyNumberFormat="0" applyFill="0" applyBorder="0" applyAlignment="0" applyProtection="0">
      <alignment vertical="center"/>
    </xf>
    <xf numFmtId="0" fontId="63" fillId="0" borderId="79" applyProtection="0"/>
    <xf numFmtId="0" fontId="8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91" fontId="0" fillId="0" borderId="0" applyFont="0" applyFill="0" applyBorder="0" applyAlignment="0" applyProtection="0"/>
    <xf numFmtId="192" fontId="0" fillId="0" borderId="0" applyFont="0" applyFill="0" applyBorder="0" applyAlignment="0" applyProtection="0"/>
    <xf numFmtId="0" fontId="2" fillId="0" borderId="7" applyNumberFormat="0" applyFill="0" applyProtection="0">
      <alignment horizontal="right"/>
    </xf>
    <xf numFmtId="0" fontId="85" fillId="0" borderId="73" applyNumberFormat="0" applyFill="0" applyAlignment="0" applyProtection="0">
      <alignment vertical="center"/>
    </xf>
    <xf numFmtId="0" fontId="86" fillId="0" borderId="74" applyNumberFormat="0" applyFill="0" applyAlignment="0" applyProtection="0">
      <alignment vertical="center"/>
    </xf>
    <xf numFmtId="0" fontId="87" fillId="0" borderId="75" applyNumberFormat="0" applyFill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88" fillId="0" borderId="7" applyNumberFormat="0" applyFill="0" applyProtection="0">
      <alignment horizontal="center"/>
    </xf>
    <xf numFmtId="0" fontId="89" fillId="0" borderId="0" applyNumberFormat="0" applyFill="0" applyBorder="0" applyAlignment="0" applyProtection="0"/>
    <xf numFmtId="0" fontId="90" fillId="0" borderId="2" applyNumberFormat="0" applyFill="0" applyProtection="0">
      <alignment horizontal="center"/>
    </xf>
    <xf numFmtId="0" fontId="91" fillId="35" borderId="0" applyNumberFormat="0" applyBorder="0" applyAlignment="0" applyProtection="0">
      <alignment vertical="center"/>
    </xf>
    <xf numFmtId="0" fontId="92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94" fillId="35" borderId="0" applyNumberFormat="0" applyBorder="0" applyAlignment="0" applyProtection="0"/>
    <xf numFmtId="0" fontId="93" fillId="35" borderId="0" applyNumberFormat="0" applyBorder="0" applyAlignment="0" applyProtection="0">
      <alignment vertical="center"/>
    </xf>
    <xf numFmtId="0" fontId="92" fillId="35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5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5" fillId="0" borderId="0"/>
    <xf numFmtId="0" fontId="0" fillId="0" borderId="0">
      <alignment vertical="center"/>
    </xf>
    <xf numFmtId="0" fontId="0" fillId="0" borderId="0">
      <alignment vertical="center"/>
    </xf>
    <xf numFmtId="0" fontId="2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36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98" fillId="36" borderId="0" applyNumberFormat="0" applyBorder="0" applyAlignment="0" applyProtection="0"/>
    <xf numFmtId="0" fontId="99" fillId="36" borderId="0" applyNumberFormat="0" applyBorder="0" applyAlignment="0" applyProtection="0">
      <alignment vertical="center"/>
    </xf>
    <xf numFmtId="0" fontId="98" fillId="36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top"/>
      <protection locked="0"/>
    </xf>
    <xf numFmtId="0" fontId="102" fillId="0" borderId="80" applyNumberFormat="0" applyFill="0" applyAlignment="0" applyProtection="0">
      <alignment vertical="center"/>
    </xf>
    <xf numFmtId="0" fontId="103" fillId="0" borderId="80" applyNumberFormat="0" applyFill="0" applyAlignment="0" applyProtection="0">
      <alignment vertical="center"/>
    </xf>
    <xf numFmtId="0" fontId="104" fillId="52" borderId="70" applyNumberFormat="0" applyAlignment="0" applyProtection="0">
      <alignment vertical="center"/>
    </xf>
    <xf numFmtId="0" fontId="105" fillId="53" borderId="71" applyNumberFormat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90" fillId="0" borderId="2" applyNumberFormat="0" applyFill="0" applyProtection="0">
      <alignment horizontal="left"/>
    </xf>
    <xf numFmtId="0" fontId="107" fillId="0" borderId="0" applyNumberFormat="0" applyFill="0" applyBorder="0" applyAlignment="0" applyProtection="0">
      <alignment vertical="center"/>
    </xf>
    <xf numFmtId="0" fontId="108" fillId="0" borderId="76" applyNumberFormat="0" applyFill="0" applyAlignment="0" applyProtection="0">
      <alignment vertical="center"/>
    </xf>
    <xf numFmtId="193" fontId="0" fillId="0" borderId="0" applyFont="0" applyFill="0" applyBorder="0" applyAlignment="0" applyProtection="0"/>
    <xf numFmtId="194" fontId="0" fillId="0" borderId="0" applyFont="0" applyFill="0" applyBorder="0" applyAlignment="0" applyProtection="0"/>
    <xf numFmtId="195" fontId="0" fillId="0" borderId="0" applyFont="0" applyFill="0" applyBorder="0" applyAlignment="0" applyProtection="0"/>
    <xf numFmtId="196" fontId="0" fillId="0" borderId="0" applyFont="0" applyFill="0" applyBorder="0" applyAlignment="0" applyProtection="0"/>
    <xf numFmtId="197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9" fillId="0" borderId="0"/>
    <xf numFmtId="0" fontId="110" fillId="62" borderId="0" applyNumberFormat="0" applyBorder="0" applyAlignment="0" applyProtection="0"/>
    <xf numFmtId="0" fontId="110" fillId="63" borderId="0" applyNumberFormat="0" applyBorder="0" applyAlignment="0" applyProtection="0"/>
    <xf numFmtId="0" fontId="110" fillId="64" borderId="0" applyNumberFormat="0" applyBorder="0" applyAlignment="0" applyProtection="0"/>
    <xf numFmtId="0" fontId="54" fillId="49" borderId="0" applyNumberFormat="0" applyBorder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54" fillId="56" borderId="0" applyNumberFormat="0" applyBorder="0" applyAlignment="0" applyProtection="0">
      <alignment vertical="center"/>
    </xf>
    <xf numFmtId="198" fontId="2" fillId="0" borderId="2" applyFill="0" applyProtection="0">
      <alignment horizontal="right"/>
    </xf>
    <xf numFmtId="0" fontId="2" fillId="0" borderId="7" applyNumberFormat="0" applyFill="0" applyProtection="0">
      <alignment horizontal="left"/>
    </xf>
    <xf numFmtId="0" fontId="111" fillId="59" borderId="0" applyNumberFormat="0" applyBorder="0" applyAlignment="0" applyProtection="0">
      <alignment vertical="center"/>
    </xf>
    <xf numFmtId="0" fontId="112" fillId="52" borderId="78" applyNumberFormat="0" applyAlignment="0" applyProtection="0">
      <alignment vertical="center"/>
    </xf>
    <xf numFmtId="0" fontId="113" fillId="39" borderId="70" applyNumberFormat="0" applyAlignment="0" applyProtection="0">
      <alignment vertical="center"/>
    </xf>
    <xf numFmtId="1" fontId="2" fillId="0" borderId="2" applyFill="0" applyProtection="0">
      <alignment horizontal="center"/>
    </xf>
    <xf numFmtId="1" fontId="23" fillId="0" borderId="18">
      <alignment vertical="center"/>
      <protection locked="0"/>
    </xf>
    <xf numFmtId="0" fontId="114" fillId="0" borderId="0"/>
    <xf numFmtId="199" fontId="23" fillId="0" borderId="18">
      <alignment vertical="center"/>
      <protection locked="0"/>
    </xf>
    <xf numFmtId="0" fontId="2" fillId="0" borderId="0"/>
    <xf numFmtId="0" fontId="115" fillId="0" borderId="0"/>
    <xf numFmtId="0" fontId="116" fillId="0" borderId="0"/>
  </cellStyleXfs>
  <cellXfs count="76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/>
    </xf>
    <xf numFmtId="0" fontId="4" fillId="0" borderId="1" xfId="0" applyFont="1" applyBorder="1"/>
    <xf numFmtId="0" fontId="2" fillId="0" borderId="1" xfId="0" applyFont="1" applyBorder="1"/>
    <xf numFmtId="0" fontId="4" fillId="0" borderId="1" xfId="0" applyFont="1" applyBorder="1" applyAlignment="1">
      <alignment horizontal="right"/>
    </xf>
    <xf numFmtId="189" fontId="0" fillId="0" borderId="2" xfId="148" applyFont="1" applyFill="1" applyBorder="1" applyAlignment="1">
      <alignment horizontal="center" vertical="center"/>
    </xf>
    <xf numFmtId="189" fontId="0" fillId="0" borderId="3" xfId="148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00" fontId="0" fillId="0" borderId="5" xfId="0" applyNumberFormat="1" applyFont="1" applyFill="1" applyBorder="1" applyAlignment="1">
      <alignment horizontal="right" vertical="center"/>
    </xf>
    <xf numFmtId="201" fontId="0" fillId="0" borderId="6" xfId="148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201" fontId="0" fillId="0" borderId="0" xfId="148" applyNumberFormat="1" applyFont="1" applyFill="1" applyBorder="1" applyAlignment="1">
      <alignment horizontal="right" vertical="center"/>
    </xf>
    <xf numFmtId="0" fontId="5" fillId="0" borderId="4" xfId="0" applyNumberFormat="1" applyFont="1" applyBorder="1" applyAlignment="1">
      <alignment horizontal="center"/>
    </xf>
    <xf numFmtId="0" fontId="0" fillId="0" borderId="4" xfId="0" applyNumberFormat="1" applyBorder="1"/>
    <xf numFmtId="0" fontId="0" fillId="0" borderId="0" xfId="0" applyNumberFormat="1" applyBorder="1"/>
    <xf numFmtId="200" fontId="0" fillId="0" borderId="4" xfId="0" applyNumberFormat="1" applyFont="1" applyFill="1" applyBorder="1" applyAlignment="1">
      <alignment horizontal="right" vertical="center"/>
    </xf>
    <xf numFmtId="200" fontId="0" fillId="0" borderId="0" xfId="0" applyNumberFormat="1" applyFont="1" applyFill="1" applyBorder="1" applyAlignment="1">
      <alignment horizontal="right" vertical="center"/>
    </xf>
    <xf numFmtId="201" fontId="0" fillId="0" borderId="5" xfId="0" applyNumberFormat="1" applyBorder="1"/>
    <xf numFmtId="201" fontId="0" fillId="0" borderId="0" xfId="0" applyNumberFormat="1" applyBorder="1"/>
    <xf numFmtId="0" fontId="5" fillId="0" borderId="2" xfId="0" applyNumberFormat="1" applyFont="1" applyBorder="1" applyAlignment="1">
      <alignment horizontal="center"/>
    </xf>
    <xf numFmtId="201" fontId="0" fillId="0" borderId="7" xfId="0" applyNumberFormat="1" applyBorder="1"/>
    <xf numFmtId="201" fontId="0" fillId="0" borderId="3" xfId="0" applyNumberFormat="1" applyBorder="1"/>
    <xf numFmtId="0" fontId="6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202" fontId="0" fillId="0" borderId="5" xfId="0" applyNumberFormat="1" applyFont="1" applyBorder="1" applyAlignment="1">
      <alignment horizontal="right" vertical="center"/>
    </xf>
    <xf numFmtId="203" fontId="0" fillId="0" borderId="5" xfId="0" applyNumberFormat="1" applyFont="1" applyBorder="1" applyAlignment="1">
      <alignment horizontal="right" vertical="center"/>
    </xf>
    <xf numFmtId="201" fontId="0" fillId="0" borderId="6" xfId="0" applyNumberFormat="1" applyFont="1" applyBorder="1" applyAlignment="1">
      <alignment horizontal="right" vertical="center"/>
    </xf>
    <xf numFmtId="201" fontId="0" fillId="0" borderId="6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201" fontId="0" fillId="0" borderId="0" xfId="0" applyNumberFormat="1" applyFont="1" applyFill="1" applyBorder="1" applyAlignment="1">
      <alignment horizontal="right" vertical="center"/>
    </xf>
    <xf numFmtId="203" fontId="0" fillId="0" borderId="4" xfId="0" applyNumberFormat="1" applyFont="1" applyBorder="1" applyAlignment="1">
      <alignment horizontal="right" vertical="center"/>
    </xf>
    <xf numFmtId="201" fontId="0" fillId="0" borderId="0" xfId="0" applyNumberFormat="1" applyBorder="1" applyAlignment="1">
      <alignment horizontal="right"/>
    </xf>
    <xf numFmtId="203" fontId="0" fillId="0" borderId="4" xfId="0" applyNumberFormat="1" applyBorder="1"/>
    <xf numFmtId="201" fontId="0" fillId="0" borderId="0" xfId="252" applyNumberFormat="1" applyFont="1" applyFill="1" applyBorder="1" applyAlignment="1">
      <alignment horizontal="right" vertical="center"/>
    </xf>
    <xf numFmtId="203" fontId="0" fillId="0" borderId="7" xfId="0" applyNumberFormat="1" applyFont="1" applyBorder="1" applyAlignment="1">
      <alignment horizontal="right" vertical="center"/>
    </xf>
    <xf numFmtId="201" fontId="0" fillId="0" borderId="3" xfId="252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202" fontId="0" fillId="0" borderId="4" xfId="0" applyNumberFormat="1" applyFont="1" applyBorder="1" applyAlignment="1">
      <alignment horizontal="right" vertical="center"/>
    </xf>
    <xf numFmtId="0" fontId="0" fillId="0" borderId="5" xfId="0" applyNumberFormat="1" applyBorder="1"/>
    <xf numFmtId="0" fontId="0" fillId="0" borderId="7" xfId="0" applyNumberFormat="1" applyBorder="1"/>
    <xf numFmtId="0" fontId="0" fillId="0" borderId="0" xfId="0" applyFont="1"/>
    <xf numFmtId="0" fontId="4" fillId="0" borderId="0" xfId="0" applyFont="1"/>
    <xf numFmtId="0" fontId="0" fillId="0" borderId="0" xfId="0" applyBorder="1"/>
    <xf numFmtId="0" fontId="3" fillId="0" borderId="1" xfId="0" applyFont="1" applyBorder="1" applyAlignment="1">
      <alignment horizontal="center" vertical="center"/>
    </xf>
    <xf numFmtId="0" fontId="0" fillId="0" borderId="0" xfId="0" applyFont="1" applyFill="1" applyAlignment="1"/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0" xfId="0" applyFont="1" applyBorder="1"/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200" fontId="0" fillId="0" borderId="6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horizontal="center" vertical="center" wrapText="1"/>
    </xf>
    <xf numFmtId="201" fontId="0" fillId="0" borderId="0" xfId="0" applyNumberFormat="1" applyBorder="1" applyAlignment="1">
      <alignment vertical="center"/>
    </xf>
    <xf numFmtId="202" fontId="0" fillId="0" borderId="2" xfId="0" applyNumberFormat="1" applyFont="1" applyBorder="1" applyAlignment="1">
      <alignment horizontal="right" vertical="center"/>
    </xf>
    <xf numFmtId="201" fontId="0" fillId="0" borderId="3" xfId="0" applyNumberFormat="1" applyBorder="1" applyAlignment="1">
      <alignment vertical="center"/>
    </xf>
    <xf numFmtId="0" fontId="0" fillId="0" borderId="1" xfId="0" applyFont="1" applyBorder="1" applyAlignment="1">
      <alignment horizontal="center"/>
    </xf>
    <xf numFmtId="202" fontId="0" fillId="0" borderId="5" xfId="302" applyNumberFormat="1" applyFont="1" applyBorder="1" applyAlignment="1">
      <alignment horizontal="right" vertical="center"/>
    </xf>
    <xf numFmtId="202" fontId="0" fillId="0" borderId="5" xfId="302" applyNumberFormat="1" applyFont="1" applyBorder="1" applyAlignment="1">
      <alignment horizontal="right" vertical="center" wrapText="1"/>
    </xf>
    <xf numFmtId="201" fontId="0" fillId="0" borderId="6" xfId="148" applyNumberFormat="1" applyFont="1" applyFill="1" applyBorder="1" applyAlignment="1">
      <alignment horizontal="right" vertical="center" wrapText="1"/>
    </xf>
    <xf numFmtId="204" fontId="0" fillId="0" borderId="5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5" fillId="0" borderId="4" xfId="0" applyNumberFormat="1" applyFont="1" applyBorder="1" applyAlignment="1">
      <alignment horizontal="center" vertical="center"/>
    </xf>
    <xf numFmtId="0" fontId="0" fillId="0" borderId="5" xfId="0" applyNumberFormat="1" applyBorder="1" applyAlignment="1">
      <alignment wrapText="1"/>
    </xf>
    <xf numFmtId="0" fontId="0" fillId="0" borderId="6" xfId="0" applyNumberFormat="1" applyBorder="1" applyAlignment="1">
      <alignment wrapText="1"/>
    </xf>
    <xf numFmtId="201" fontId="0" fillId="0" borderId="6" xfId="0" applyNumberFormat="1" applyBorder="1" applyAlignment="1">
      <alignment wrapText="1"/>
    </xf>
    <xf numFmtId="0" fontId="5" fillId="0" borderId="6" xfId="0" applyNumberFormat="1" applyFont="1" applyBorder="1" applyAlignment="1">
      <alignment horizontal="center" vertical="center"/>
    </xf>
    <xf numFmtId="205" fontId="0" fillId="0" borderId="5" xfId="0" applyNumberFormat="1" applyBorder="1" applyAlignment="1">
      <alignment wrapText="1"/>
    </xf>
    <xf numFmtId="0" fontId="0" fillId="0" borderId="0" xfId="0" applyNumberFormat="1" applyBorder="1" applyAlignment="1">
      <alignment wrapText="1"/>
    </xf>
    <xf numFmtId="201" fontId="0" fillId="0" borderId="0" xfId="0" applyNumberFormat="1" applyBorder="1" applyAlignment="1">
      <alignment wrapText="1"/>
    </xf>
    <xf numFmtId="205" fontId="0" fillId="0" borderId="4" xfId="0" applyNumberFormat="1" applyBorder="1"/>
    <xf numFmtId="205" fontId="0" fillId="0" borderId="11" xfId="0" applyNumberFormat="1" applyBorder="1"/>
    <xf numFmtId="201" fontId="0" fillId="0" borderId="12" xfId="0" applyNumberFormat="1" applyBorder="1"/>
    <xf numFmtId="202" fontId="0" fillId="0" borderId="5" xfId="0" applyNumberFormat="1" applyFont="1" applyFill="1" applyBorder="1" applyAlignment="1">
      <alignment horizontal="right" vertical="center"/>
    </xf>
    <xf numFmtId="200" fontId="0" fillId="0" borderId="6" xfId="0" applyNumberFormat="1" applyFont="1" applyFill="1" applyBorder="1" applyAlignment="1">
      <alignment horizontal="right" vertical="center"/>
    </xf>
    <xf numFmtId="0" fontId="0" fillId="0" borderId="4" xfId="0" applyBorder="1"/>
    <xf numFmtId="0" fontId="0" fillId="0" borderId="6" xfId="0" applyBorder="1"/>
    <xf numFmtId="0" fontId="5" fillId="0" borderId="0" xfId="0" applyNumberFormat="1" applyFont="1" applyBorder="1" applyAlignment="1">
      <alignment horizontal="center" vertical="center"/>
    </xf>
    <xf numFmtId="0" fontId="0" fillId="2" borderId="7" xfId="0" applyFont="1" applyFill="1" applyBorder="1" applyAlignment="1">
      <alignment horizontal="right" vertical="center"/>
    </xf>
    <xf numFmtId="201" fontId="0" fillId="2" borderId="13" xfId="0" applyNumberFormat="1" applyFont="1" applyFill="1" applyBorder="1" applyAlignment="1">
      <alignment horizontal="right" vertical="center"/>
    </xf>
    <xf numFmtId="0" fontId="10" fillId="0" borderId="0" xfId="0" applyFont="1" applyFill="1" applyAlignment="1">
      <alignment horizontal="center" vertical="center"/>
    </xf>
    <xf numFmtId="201" fontId="10" fillId="0" borderId="0" xfId="0" applyNumberFormat="1" applyFont="1" applyFill="1" applyAlignment="1">
      <alignment horizontal="center" vertical="center"/>
    </xf>
    <xf numFmtId="0" fontId="11" fillId="0" borderId="0" xfId="0" applyFont="1" applyAlignment="1">
      <alignment vertical="center"/>
    </xf>
    <xf numFmtId="201" fontId="11" fillId="0" borderId="0" xfId="0" applyNumberFormat="1" applyFont="1" applyAlignment="1">
      <alignment vertical="center"/>
    </xf>
    <xf numFmtId="0" fontId="11" fillId="0" borderId="0" xfId="0" applyFont="1" applyAlignment="1">
      <alignment horizontal="right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201" fontId="12" fillId="0" borderId="15" xfId="0" applyNumberFormat="1" applyFont="1" applyBorder="1" applyAlignment="1">
      <alignment horizontal="center" vertical="center"/>
    </xf>
    <xf numFmtId="201" fontId="12" fillId="0" borderId="16" xfId="0" applyNumberFormat="1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201" fontId="12" fillId="0" borderId="18" xfId="0" applyNumberFormat="1" applyFont="1" applyBorder="1" applyAlignment="1">
      <alignment horizontal="center" vertical="center" wrapText="1"/>
    </xf>
    <xf numFmtId="201" fontId="12" fillId="0" borderId="19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201" fontId="11" fillId="0" borderId="5" xfId="0" applyNumberFormat="1" applyFont="1" applyBorder="1" applyAlignment="1">
      <alignment horizontal="center" vertical="center" wrapText="1"/>
    </xf>
    <xf numFmtId="201" fontId="11" fillId="0" borderId="6" xfId="0" applyNumberFormat="1" applyFont="1" applyBorder="1" applyAlignment="1">
      <alignment horizontal="center" vertical="center" wrapText="1"/>
    </xf>
    <xf numFmtId="203" fontId="11" fillId="0" borderId="0" xfId="0" applyNumberFormat="1" applyFont="1" applyAlignment="1">
      <alignment vertical="center" wrapText="1"/>
    </xf>
    <xf numFmtId="201" fontId="11" fillId="0" borderId="5" xfId="0" applyNumberFormat="1" applyFont="1" applyBorder="1" applyAlignment="1">
      <alignment horizontal="right" vertical="center" wrapText="1"/>
    </xf>
    <xf numFmtId="201" fontId="11" fillId="0" borderId="6" xfId="0" applyNumberFormat="1" applyFont="1" applyBorder="1" applyAlignment="1">
      <alignment horizontal="right" vertical="center" wrapText="1"/>
    </xf>
    <xf numFmtId="203" fontId="11" fillId="0" borderId="4" xfId="0" applyNumberFormat="1" applyFont="1" applyBorder="1" applyAlignment="1">
      <alignment vertical="center" wrapText="1"/>
    </xf>
    <xf numFmtId="203" fontId="11" fillId="0" borderId="5" xfId="0" applyNumberFormat="1" applyFont="1" applyBorder="1" applyAlignment="1">
      <alignment vertical="center" wrapText="1"/>
    </xf>
    <xf numFmtId="201" fontId="11" fillId="0" borderId="6" xfId="0" applyNumberFormat="1" applyFont="1" applyBorder="1" applyAlignment="1">
      <alignment vertical="center" wrapText="1"/>
    </xf>
    <xf numFmtId="201" fontId="11" fillId="0" borderId="5" xfId="0" applyNumberFormat="1" applyFont="1" applyBorder="1" applyAlignment="1">
      <alignment vertical="center" wrapText="1"/>
    </xf>
    <xf numFmtId="201" fontId="12" fillId="0" borderId="18" xfId="0" applyNumberFormat="1" applyFont="1" applyBorder="1" applyAlignment="1">
      <alignment horizontal="center" vertical="center"/>
    </xf>
    <xf numFmtId="201" fontId="12" fillId="0" borderId="19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203" fontId="11" fillId="0" borderId="20" xfId="0" applyNumberFormat="1" applyFont="1" applyBorder="1" applyAlignment="1">
      <alignment horizontal="right" vertical="center" wrapText="1"/>
    </xf>
    <xf numFmtId="201" fontId="11" fillId="0" borderId="20" xfId="0" applyNumberFormat="1" applyFont="1" applyBorder="1" applyAlignment="1">
      <alignment horizontal="right" vertical="center" wrapText="1"/>
    </xf>
    <xf numFmtId="201" fontId="11" fillId="0" borderId="21" xfId="0" applyNumberFormat="1" applyFont="1" applyBorder="1" applyAlignment="1">
      <alignment horizontal="right" vertical="center" wrapText="1"/>
    </xf>
    <xf numFmtId="203" fontId="11" fillId="0" borderId="20" xfId="0" applyNumberFormat="1" applyFont="1" applyBorder="1" applyAlignment="1">
      <alignment vertical="center" wrapText="1"/>
    </xf>
    <xf numFmtId="201" fontId="11" fillId="0" borderId="20" xfId="0" applyNumberFormat="1" applyFont="1" applyBorder="1" applyAlignment="1">
      <alignment vertical="center" wrapText="1"/>
    </xf>
    <xf numFmtId="203" fontId="0" fillId="0" borderId="0" xfId="0" applyNumberFormat="1"/>
    <xf numFmtId="0" fontId="11" fillId="0" borderId="1" xfId="0" applyFont="1" applyBorder="1" applyAlignment="1">
      <alignment horizontal="center" vertical="center"/>
    </xf>
    <xf numFmtId="203" fontId="11" fillId="0" borderId="22" xfId="0" applyNumberFormat="1" applyFont="1" applyBorder="1" applyAlignment="1">
      <alignment vertical="center" wrapText="1"/>
    </xf>
    <xf numFmtId="201" fontId="11" fillId="0" borderId="22" xfId="0" applyNumberFormat="1" applyFont="1" applyBorder="1" applyAlignment="1">
      <alignment vertical="center" wrapText="1"/>
    </xf>
    <xf numFmtId="203" fontId="11" fillId="0" borderId="22" xfId="0" applyNumberFormat="1" applyFont="1" applyBorder="1" applyAlignment="1">
      <alignment horizontal="right" vertical="center" wrapText="1"/>
    </xf>
    <xf numFmtId="201" fontId="11" fillId="0" borderId="23" xfId="0" applyNumberFormat="1" applyFont="1" applyBorder="1" applyAlignment="1">
      <alignment horizontal="right" vertical="center" wrapText="1"/>
    </xf>
    <xf numFmtId="0" fontId="0" fillId="0" borderId="0" xfId="0" applyAlignment="1">
      <alignment vertical="center"/>
    </xf>
    <xf numFmtId="201" fontId="10" fillId="0" borderId="0" xfId="0" applyNumberFormat="1" applyFont="1" applyFill="1" applyAlignment="1">
      <alignment horizontal="center" vertical="center" wrapText="1"/>
    </xf>
    <xf numFmtId="201" fontId="11" fillId="0" borderId="0" xfId="0" applyNumberFormat="1" applyFont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201" fontId="12" fillId="0" borderId="15" xfId="0" applyNumberFormat="1" applyFont="1" applyBorder="1" applyAlignment="1">
      <alignment horizontal="center" vertical="center" wrapText="1"/>
    </xf>
    <xf numFmtId="201" fontId="12" fillId="0" borderId="16" xfId="0" applyNumberFormat="1" applyFont="1" applyBorder="1" applyAlignment="1">
      <alignment horizontal="center" vertical="center" wrapText="1"/>
    </xf>
    <xf numFmtId="201" fontId="11" fillId="0" borderId="0" xfId="0" applyNumberFormat="1" applyFont="1" applyAlignment="1">
      <alignment vertical="center" wrapText="1"/>
    </xf>
    <xf numFmtId="201" fontId="11" fillId="0" borderId="4" xfId="0" applyNumberFormat="1" applyFont="1" applyBorder="1" applyAlignment="1">
      <alignment vertical="center" wrapText="1"/>
    </xf>
    <xf numFmtId="201" fontId="11" fillId="0" borderId="21" xfId="0" applyNumberFormat="1" applyFont="1" applyBorder="1" applyAlignment="1">
      <alignment vertical="center" wrapText="1"/>
    </xf>
    <xf numFmtId="201" fontId="0" fillId="0" borderId="0" xfId="0" applyNumberFormat="1" applyAlignment="1">
      <alignment vertical="center"/>
    </xf>
    <xf numFmtId="201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201" fontId="11" fillId="0" borderId="0" xfId="0" applyNumberFormat="1" applyFont="1" applyAlignment="1">
      <alignment horizontal="right" vertical="center"/>
    </xf>
    <xf numFmtId="0" fontId="11" fillId="0" borderId="20" xfId="0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/>
    </xf>
    <xf numFmtId="0" fontId="11" fillId="0" borderId="20" xfId="0" applyFont="1" applyBorder="1" applyAlignment="1">
      <alignment horizontal="center" vertical="center" wrapText="1"/>
    </xf>
    <xf numFmtId="201" fontId="11" fillId="0" borderId="20" xfId="0" applyNumberFormat="1" applyFont="1" applyBorder="1" applyAlignment="1">
      <alignment horizontal="center" vertical="center" wrapText="1"/>
    </xf>
    <xf numFmtId="201" fontId="11" fillId="0" borderId="21" xfId="0" applyNumberFormat="1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right" vertical="center" wrapText="1"/>
    </xf>
    <xf numFmtId="0" fontId="11" fillId="0" borderId="6" xfId="0" applyFont="1" applyBorder="1" applyAlignment="1">
      <alignment horizontal="right" vertical="center" wrapText="1"/>
    </xf>
    <xf numFmtId="0" fontId="11" fillId="0" borderId="2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0" fillId="0" borderId="5" xfId="0" applyBorder="1"/>
    <xf numFmtId="0" fontId="0" fillId="0" borderId="0" xfId="0" applyFont="1" applyBorder="1" applyAlignment="1">
      <alignment horizontal="right" vertical="center"/>
    </xf>
    <xf numFmtId="201" fontId="0" fillId="0" borderId="6" xfId="0" applyNumberFormat="1" applyBorder="1"/>
    <xf numFmtId="201" fontId="0" fillId="0" borderId="6" xfId="0" applyNumberFormat="1" applyFill="1" applyBorder="1"/>
    <xf numFmtId="0" fontId="5" fillId="0" borderId="0" xfId="0" applyFont="1" applyBorder="1" applyAlignment="1">
      <alignment horizontal="center"/>
    </xf>
    <xf numFmtId="201" fontId="0" fillId="0" borderId="0" xfId="0" applyNumberFormat="1"/>
    <xf numFmtId="0" fontId="5" fillId="0" borderId="0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0" fillId="0" borderId="0" xfId="254" applyFont="1" applyFill="1">
      <alignment vertical="center"/>
    </xf>
    <xf numFmtId="0" fontId="0" fillId="0" borderId="0" xfId="254" applyFill="1" applyAlignment="1">
      <alignment horizontal="center" vertical="center"/>
    </xf>
    <xf numFmtId="0" fontId="0" fillId="0" borderId="0" xfId="254" applyFill="1">
      <alignment vertical="center"/>
    </xf>
    <xf numFmtId="0" fontId="3" fillId="0" borderId="0" xfId="254" applyFont="1" applyFill="1" applyBorder="1" applyAlignment="1">
      <alignment horizontal="center" vertical="center"/>
    </xf>
    <xf numFmtId="0" fontId="5" fillId="0" borderId="24" xfId="254" applyFont="1" applyFill="1" applyBorder="1" applyAlignment="1">
      <alignment horizontal="center" vertical="center"/>
    </xf>
    <xf numFmtId="0" fontId="0" fillId="0" borderId="18" xfId="254" applyFont="1" applyFill="1" applyBorder="1" applyAlignment="1">
      <alignment horizontal="center" vertical="center" wrapText="1"/>
    </xf>
    <xf numFmtId="0" fontId="0" fillId="0" borderId="25" xfId="254" applyFont="1" applyFill="1" applyBorder="1" applyAlignment="1">
      <alignment horizontal="center" vertical="center" wrapText="1"/>
    </xf>
    <xf numFmtId="0" fontId="0" fillId="0" borderId="19" xfId="254" applyFont="1" applyFill="1" applyBorder="1" applyAlignment="1">
      <alignment horizontal="center" vertical="center" wrapText="1"/>
    </xf>
    <xf numFmtId="0" fontId="0" fillId="0" borderId="0" xfId="254" applyFont="1" applyFill="1" applyAlignment="1">
      <alignment horizontal="center" vertical="center"/>
    </xf>
    <xf numFmtId="0" fontId="0" fillId="0" borderId="0" xfId="254" applyFill="1" applyBorder="1" applyAlignment="1">
      <alignment horizontal="center" vertical="center"/>
    </xf>
    <xf numFmtId="0" fontId="0" fillId="0" borderId="26" xfId="254" applyFont="1" applyFill="1" applyBorder="1" applyAlignment="1" applyProtection="1">
      <alignment horizontal="center" vertical="center"/>
    </xf>
    <xf numFmtId="205" fontId="0" fillId="0" borderId="6" xfId="254" applyNumberFormat="1" applyFont="1" applyFill="1" applyBorder="1" applyAlignment="1" applyProtection="1">
      <alignment horizontal="right" vertical="center"/>
    </xf>
    <xf numFmtId="202" fontId="0" fillId="0" borderId="27" xfId="148" applyNumberFormat="1" applyFont="1" applyFill="1" applyBorder="1" applyAlignment="1">
      <alignment horizontal="right" vertical="center"/>
    </xf>
    <xf numFmtId="202" fontId="0" fillId="0" borderId="0" xfId="148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right"/>
    </xf>
    <xf numFmtId="0" fontId="15" fillId="0" borderId="0" xfId="0" applyFont="1"/>
    <xf numFmtId="206" fontId="0" fillId="0" borderId="28" xfId="148" applyNumberFormat="1" applyFont="1" applyFill="1" applyBorder="1" applyAlignment="1">
      <alignment horizontal="right" vertical="center"/>
    </xf>
    <xf numFmtId="201" fontId="0" fillId="0" borderId="6" xfId="254" applyNumberFormat="1" applyFont="1" applyFill="1" applyBorder="1" applyAlignment="1" applyProtection="1">
      <alignment horizontal="right" vertical="center"/>
    </xf>
    <xf numFmtId="203" fontId="0" fillId="0" borderId="0" xfId="254" applyNumberFormat="1" applyFill="1" applyAlignment="1">
      <alignment horizontal="center" vertical="center"/>
    </xf>
    <xf numFmtId="0" fontId="16" fillId="0" borderId="0" xfId="254" applyFont="1" applyBorder="1" applyAlignment="1">
      <alignment horizontal="right" vertical="center" wrapText="1"/>
    </xf>
    <xf numFmtId="205" fontId="0" fillId="0" borderId="29" xfId="254" applyNumberFormat="1" applyFont="1" applyFill="1" applyBorder="1" applyAlignment="1" applyProtection="1">
      <alignment horizontal="right" vertical="center"/>
    </xf>
    <xf numFmtId="0" fontId="0" fillId="0" borderId="0" xfId="257">
      <alignment vertical="center"/>
    </xf>
    <xf numFmtId="201" fontId="0" fillId="0" borderId="0" xfId="254" applyNumberFormat="1" applyFill="1" applyAlignment="1">
      <alignment horizontal="center" vertical="center"/>
    </xf>
    <xf numFmtId="201" fontId="17" fillId="0" borderId="0" xfId="148" applyNumberFormat="1" applyFont="1" applyFill="1" applyBorder="1" applyAlignment="1">
      <alignment horizontal="right" vertical="center"/>
    </xf>
    <xf numFmtId="201" fontId="0" fillId="0" borderId="0" xfId="254" applyNumberFormat="1" applyFill="1">
      <alignment vertical="center"/>
    </xf>
    <xf numFmtId="0" fontId="16" fillId="0" borderId="0" xfId="254" applyFont="1" applyAlignment="1">
      <alignment horizontal="right" vertical="center" wrapText="1"/>
    </xf>
    <xf numFmtId="0" fontId="0" fillId="0" borderId="30" xfId="254" applyFont="1" applyFill="1" applyBorder="1" applyAlignment="1" applyProtection="1">
      <alignment horizontal="center" vertical="center"/>
    </xf>
    <xf numFmtId="206" fontId="0" fillId="0" borderId="31" xfId="148" applyNumberFormat="1" applyFont="1" applyFill="1" applyBorder="1" applyAlignment="1">
      <alignment horizontal="right" vertical="center"/>
    </xf>
    <xf numFmtId="201" fontId="0" fillId="0" borderId="10" xfId="148" applyNumberFormat="1" applyFont="1" applyFill="1" applyBorder="1" applyAlignment="1">
      <alignment horizontal="right" vertical="center"/>
    </xf>
    <xf numFmtId="205" fontId="0" fillId="0" borderId="32" xfId="254" applyNumberFormat="1" applyFont="1" applyFill="1" applyBorder="1" applyAlignment="1" applyProtection="1">
      <alignment horizontal="right" vertical="center"/>
    </xf>
    <xf numFmtId="201" fontId="0" fillId="0" borderId="10" xfId="254" applyNumberFormat="1" applyFont="1" applyFill="1" applyBorder="1" applyAlignment="1" applyProtection="1">
      <alignment horizontal="right" vertical="center"/>
    </xf>
    <xf numFmtId="205" fontId="0" fillId="0" borderId="10" xfId="254" applyNumberFormat="1" applyFont="1" applyFill="1" applyBorder="1" applyAlignment="1" applyProtection="1">
      <alignment horizontal="right" vertical="center"/>
    </xf>
    <xf numFmtId="0" fontId="0" fillId="0" borderId="0" xfId="254" applyFill="1" applyBorder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2" fillId="0" borderId="4" xfId="0" applyFont="1" applyBorder="1" applyAlignment="1">
      <alignment vertical="center" wrapText="1"/>
    </xf>
    <xf numFmtId="0" fontId="11" fillId="0" borderId="5" xfId="0" applyNumberFormat="1" applyFont="1" applyBorder="1" applyAlignment="1">
      <alignment horizontal="right" vertical="center" wrapText="1"/>
    </xf>
    <xf numFmtId="0" fontId="11" fillId="0" borderId="0" xfId="0" applyNumberFormat="1" applyFont="1" applyAlignment="1">
      <alignment horizontal="right" vertical="center" wrapText="1"/>
    </xf>
    <xf numFmtId="0" fontId="11" fillId="0" borderId="6" xfId="0" applyNumberFormat="1" applyFont="1" applyFill="1" applyBorder="1" applyAlignment="1">
      <alignment horizontal="center" vertical="center" wrapText="1"/>
    </xf>
    <xf numFmtId="206" fontId="0" fillId="0" borderId="0" xfId="0" applyNumberFormat="1" applyFont="1"/>
    <xf numFmtId="0" fontId="11" fillId="0" borderId="4" xfId="0" applyFont="1" applyBorder="1" applyAlignment="1">
      <alignment vertical="center"/>
    </xf>
    <xf numFmtId="203" fontId="11" fillId="0" borderId="5" xfId="0" applyNumberFormat="1" applyFont="1" applyFill="1" applyBorder="1" applyAlignment="1">
      <alignment vertical="center" wrapText="1"/>
    </xf>
    <xf numFmtId="201" fontId="11" fillId="0" borderId="5" xfId="0" applyNumberFormat="1" applyFont="1" applyFill="1" applyBorder="1" applyAlignment="1">
      <alignment vertical="center" wrapText="1"/>
    </xf>
    <xf numFmtId="0" fontId="11" fillId="0" borderId="6" xfId="0" applyFont="1" applyFill="1" applyBorder="1" applyAlignment="1">
      <alignment horizontal="center" vertical="center" wrapText="1"/>
    </xf>
    <xf numFmtId="203" fontId="0" fillId="0" borderId="0" xfId="0" applyNumberFormat="1" applyFont="1"/>
    <xf numFmtId="203" fontId="11" fillId="0" borderId="5" xfId="0" applyNumberFormat="1" applyFont="1" applyFill="1" applyBorder="1" applyAlignment="1">
      <alignment horizontal="center" vertical="center" wrapText="1"/>
    </xf>
    <xf numFmtId="201" fontId="11" fillId="0" borderId="5" xfId="0" applyNumberFormat="1" applyFont="1" applyFill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4" xfId="0" applyFont="1" applyFill="1" applyBorder="1" applyAlignment="1">
      <alignment vertical="center" wrapText="1"/>
    </xf>
    <xf numFmtId="206" fontId="11" fillId="0" borderId="5" xfId="0" applyNumberFormat="1" applyFont="1" applyBorder="1" applyAlignment="1">
      <alignment horizontal="right" vertical="center" wrapText="1"/>
    </xf>
    <xf numFmtId="200" fontId="11" fillId="0" borderId="5" xfId="0" applyNumberFormat="1" applyFont="1" applyBorder="1" applyAlignment="1">
      <alignment horizontal="right" vertical="center" wrapText="1"/>
    </xf>
    <xf numFmtId="202" fontId="11" fillId="0" borderId="5" xfId="0" applyNumberFormat="1" applyFont="1" applyFill="1" applyBorder="1" applyAlignment="1">
      <alignment horizontal="right" vertical="center" wrapText="1"/>
    </xf>
    <xf numFmtId="201" fontId="11" fillId="0" borderId="0" xfId="0" applyNumberFormat="1" applyFont="1" applyFill="1" applyAlignment="1">
      <alignment horizontal="right" vertical="center" wrapText="1"/>
    </xf>
    <xf numFmtId="201" fontId="11" fillId="0" borderId="0" xfId="0" applyNumberFormat="1" applyFont="1" applyFill="1" applyAlignment="1">
      <alignment horizontal="center" vertical="center" wrapText="1"/>
    </xf>
    <xf numFmtId="0" fontId="11" fillId="0" borderId="8" xfId="0" applyFont="1" applyFill="1" applyBorder="1" applyAlignment="1">
      <alignment vertical="center" wrapText="1"/>
    </xf>
    <xf numFmtId="0" fontId="18" fillId="0" borderId="33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right" vertical="center"/>
    </xf>
    <xf numFmtId="0" fontId="12" fillId="0" borderId="4" xfId="0" applyFont="1" applyFill="1" applyBorder="1" applyAlignment="1">
      <alignment vertical="center" wrapText="1"/>
    </xf>
    <xf numFmtId="202" fontId="11" fillId="0" borderId="34" xfId="0" applyNumberFormat="1" applyFont="1" applyFill="1" applyBorder="1" applyAlignment="1">
      <alignment horizontal="right" vertical="center" wrapText="1"/>
    </xf>
    <xf numFmtId="200" fontId="11" fillId="0" borderId="4" xfId="0" applyNumberFormat="1" applyFont="1" applyFill="1" applyBorder="1" applyAlignment="1">
      <alignment horizontal="right" vertical="center" wrapText="1"/>
    </xf>
    <xf numFmtId="0" fontId="11" fillId="0" borderId="6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vertical="center"/>
    </xf>
    <xf numFmtId="203" fontId="11" fillId="0" borderId="35" xfId="0" applyNumberFormat="1" applyFont="1" applyFill="1" applyBorder="1" applyAlignment="1">
      <alignment vertical="center" wrapText="1"/>
    </xf>
    <xf numFmtId="201" fontId="11" fillId="0" borderId="0" xfId="148" applyNumberFormat="1" applyFont="1" applyFill="1" applyBorder="1" applyAlignment="1">
      <alignment horizontal="right" vertical="center" wrapText="1"/>
    </xf>
    <xf numFmtId="203" fontId="11" fillId="0" borderId="35" xfId="0" applyNumberFormat="1" applyFont="1" applyBorder="1" applyAlignment="1">
      <alignment vertical="center" wrapText="1"/>
    </xf>
    <xf numFmtId="0" fontId="11" fillId="0" borderId="4" xfId="0" applyFont="1" applyFill="1" applyBorder="1" applyAlignment="1">
      <alignment horizontal="left" vertical="center" wrapText="1"/>
    </xf>
    <xf numFmtId="201" fontId="11" fillId="0" borderId="4" xfId="0" applyNumberFormat="1" applyFont="1" applyFill="1" applyBorder="1" applyAlignment="1">
      <alignment horizontal="right" vertical="center" wrapText="1"/>
    </xf>
    <xf numFmtId="201" fontId="11" fillId="0" borderId="5" xfId="0" applyNumberFormat="1" applyFont="1" applyFill="1" applyBorder="1" applyAlignment="1">
      <alignment horizontal="right" vertical="center" wrapText="1"/>
    </xf>
    <xf numFmtId="0" fontId="12" fillId="0" borderId="4" xfId="0" applyFont="1" applyFill="1" applyBorder="1" applyAlignment="1">
      <alignment vertical="center"/>
    </xf>
    <xf numFmtId="0" fontId="11" fillId="0" borderId="6" xfId="0" applyFont="1" applyBorder="1" applyAlignment="1">
      <alignment vertical="center"/>
    </xf>
    <xf numFmtId="201" fontId="11" fillId="0" borderId="6" xfId="0" applyNumberFormat="1" applyFont="1" applyFill="1" applyBorder="1" applyAlignment="1">
      <alignment horizontal="right" vertical="center" wrapText="1"/>
    </xf>
    <xf numFmtId="203" fontId="11" fillId="0" borderId="36" xfId="0" applyNumberFormat="1" applyFont="1" applyBorder="1" applyAlignment="1">
      <alignment vertical="center" wrapText="1"/>
    </xf>
    <xf numFmtId="201" fontId="11" fillId="0" borderId="9" xfId="0" applyNumberFormat="1" applyFont="1" applyFill="1" applyBorder="1" applyAlignment="1">
      <alignment horizontal="right" vertical="center" wrapText="1"/>
    </xf>
    <xf numFmtId="0" fontId="11" fillId="0" borderId="10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Fill="1"/>
    <xf numFmtId="0" fontId="0" fillId="0" borderId="0" xfId="0" applyFont="1" applyFill="1"/>
    <xf numFmtId="0" fontId="3" fillId="0" borderId="0" xfId="244" applyFont="1" applyFill="1" applyBorder="1" applyAlignment="1">
      <alignment horizontal="center" vertical="center"/>
    </xf>
    <xf numFmtId="0" fontId="0" fillId="0" borderId="0" xfId="244" applyFont="1" applyFill="1" applyBorder="1" applyAlignment="1">
      <alignment horizontal="right" vertical="center"/>
    </xf>
    <xf numFmtId="206" fontId="0" fillId="0" borderId="0" xfId="0" applyNumberFormat="1" applyFont="1" applyFill="1"/>
    <xf numFmtId="0" fontId="0" fillId="0" borderId="0" xfId="0" applyFont="1" applyFill="1" applyAlignment="1">
      <alignment wrapText="1"/>
    </xf>
    <xf numFmtId="0" fontId="0" fillId="0" borderId="0" xfId="0" applyFont="1" applyFill="1" applyAlignment="1">
      <alignment vertical="center"/>
    </xf>
    <xf numFmtId="201" fontId="10" fillId="0" borderId="0" xfId="0" applyNumberFormat="1" applyFont="1" applyFill="1" applyBorder="1" applyAlignment="1">
      <alignment horizontal="center" vertical="center"/>
    </xf>
    <xf numFmtId="0" fontId="3" fillId="0" borderId="0" xfId="243" applyFont="1" applyFill="1" applyBorder="1" applyAlignment="1">
      <alignment horizontal="center" vertical="center"/>
    </xf>
    <xf numFmtId="201" fontId="3" fillId="0" borderId="0" xfId="243" applyNumberFormat="1" applyFont="1" applyFill="1" applyBorder="1" applyAlignment="1">
      <alignment horizontal="center" vertical="center"/>
    </xf>
    <xf numFmtId="0" fontId="19" fillId="0" borderId="1" xfId="0" applyFont="1" applyBorder="1" applyAlignment="1">
      <alignment horizontal="right" vertical="center"/>
    </xf>
    <xf numFmtId="0" fontId="20" fillId="0" borderId="14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201" fontId="20" fillId="0" borderId="15" xfId="0" applyNumberFormat="1" applyFont="1" applyBorder="1" applyAlignment="1">
      <alignment horizontal="center" vertical="center"/>
    </xf>
    <xf numFmtId="0" fontId="21" fillId="0" borderId="0" xfId="243" applyFont="1" applyFill="1" applyBorder="1" applyAlignment="1">
      <alignment vertical="center" wrapText="1"/>
    </xf>
    <xf numFmtId="0" fontId="22" fillId="0" borderId="6" xfId="243" applyFont="1" applyFill="1" applyBorder="1" applyAlignment="1">
      <alignment horizontal="right" wrapText="1"/>
    </xf>
    <xf numFmtId="201" fontId="22" fillId="0" borderId="5" xfId="243" applyNumberFormat="1" applyFont="1" applyFill="1" applyBorder="1" applyAlignment="1">
      <alignment horizontal="right" wrapText="1"/>
    </xf>
    <xf numFmtId="0" fontId="22" fillId="0" borderId="6" xfId="243" applyFont="1" applyFill="1" applyBorder="1" applyAlignment="1">
      <alignment vertical="center" wrapText="1"/>
    </xf>
    <xf numFmtId="0" fontId="22" fillId="0" borderId="0" xfId="243" applyFont="1" applyFill="1" applyBorder="1" applyAlignment="1">
      <alignment vertical="center"/>
    </xf>
    <xf numFmtId="203" fontId="22" fillId="0" borderId="37" xfId="0" applyNumberFormat="1" applyFont="1" applyFill="1" applyBorder="1" applyAlignment="1">
      <alignment wrapText="1"/>
    </xf>
    <xf numFmtId="201" fontId="22" fillId="0" borderId="37" xfId="0" applyNumberFormat="1" applyFont="1" applyFill="1" applyBorder="1" applyAlignment="1">
      <alignment horizontal="right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243" applyFont="1" applyFill="1" applyBorder="1" applyAlignment="1">
      <alignment vertical="center" wrapText="1"/>
    </xf>
    <xf numFmtId="0" fontId="22" fillId="0" borderId="0" xfId="243" applyFont="1" applyFill="1" applyBorder="1" applyAlignment="1">
      <alignment horizontal="left" vertical="center" wrapText="1"/>
    </xf>
    <xf numFmtId="203" fontId="22" fillId="0" borderId="5" xfId="243" applyNumberFormat="1" applyFont="1" applyFill="1" applyBorder="1" applyAlignment="1">
      <alignment wrapText="1"/>
    </xf>
    <xf numFmtId="201" fontId="22" fillId="0" borderId="0" xfId="243" applyNumberFormat="1" applyFont="1" applyFill="1" applyAlignment="1">
      <alignment horizontal="right" wrapText="1"/>
    </xf>
    <xf numFmtId="0" fontId="22" fillId="0" borderId="6" xfId="243" applyFont="1" applyFill="1" applyBorder="1" applyAlignment="1">
      <alignment horizontal="center" vertical="center" wrapText="1"/>
    </xf>
    <xf numFmtId="0" fontId="22" fillId="0" borderId="0" xfId="0" applyNumberFormat="1" applyFont="1" applyFill="1" applyBorder="1" applyAlignment="1">
      <alignment horizontal="center" vertical="center" wrapText="1"/>
    </xf>
    <xf numFmtId="0" fontId="22" fillId="0" borderId="0" xfId="256" applyFont="1" applyFill="1" applyBorder="1" applyAlignment="1">
      <alignment horizontal="center" vertical="center" wrapText="1"/>
    </xf>
    <xf numFmtId="203" fontId="0" fillId="0" borderId="0" xfId="0" applyNumberFormat="1" applyFont="1" applyFill="1"/>
    <xf numFmtId="203" fontId="22" fillId="0" borderId="37" xfId="0" applyNumberFormat="1" applyFont="1" applyFill="1" applyBorder="1" applyAlignment="1">
      <alignment horizontal="right" vertical="center" wrapText="1"/>
    </xf>
    <xf numFmtId="201" fontId="22" fillId="0" borderId="37" xfId="0" applyNumberFormat="1" applyFont="1" applyFill="1" applyBorder="1" applyAlignment="1">
      <alignment horizontal="center" vertical="center" wrapText="1"/>
    </xf>
    <xf numFmtId="0" fontId="22" fillId="0" borderId="1" xfId="243" applyFont="1" applyFill="1" applyBorder="1" applyAlignment="1">
      <alignment vertical="center" wrapText="1"/>
    </xf>
    <xf numFmtId="203" fontId="22" fillId="0" borderId="38" xfId="0" applyNumberFormat="1" applyFont="1" applyFill="1" applyBorder="1" applyAlignment="1">
      <alignment wrapText="1"/>
    </xf>
    <xf numFmtId="201" fontId="22" fillId="0" borderId="38" xfId="0" applyNumberFormat="1" applyFont="1" applyFill="1" applyBorder="1" applyAlignment="1">
      <alignment horizontal="right" vertical="center" wrapText="1"/>
    </xf>
    <xf numFmtId="0" fontId="22" fillId="0" borderId="39" xfId="256" applyFont="1" applyFill="1" applyBorder="1" applyAlignment="1">
      <alignment horizontal="center" vertical="center" wrapText="1"/>
    </xf>
    <xf numFmtId="0" fontId="22" fillId="0" borderId="0" xfId="0" applyFont="1" applyFill="1"/>
    <xf numFmtId="203" fontId="22" fillId="0" borderId="0" xfId="0" applyNumberFormat="1" applyFont="1" applyFill="1"/>
    <xf numFmtId="201" fontId="22" fillId="0" borderId="0" xfId="0" applyNumberFormat="1" applyFont="1" applyFill="1"/>
    <xf numFmtId="0" fontId="22" fillId="0" borderId="0" xfId="0" applyFont="1" applyFill="1" applyAlignment="1">
      <alignment vertical="center"/>
    </xf>
    <xf numFmtId="200" fontId="0" fillId="0" borderId="0" xfId="0" applyNumberFormat="1" applyFont="1" applyFill="1"/>
    <xf numFmtId="0" fontId="11" fillId="0" borderId="0" xfId="0" applyFont="1" applyBorder="1" applyAlignment="1">
      <alignment horizontal="right" vertical="center"/>
    </xf>
    <xf numFmtId="0" fontId="12" fillId="0" borderId="15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0" fontId="0" fillId="0" borderId="0" xfId="0" applyFont="1" applyFill="1" applyBorder="1"/>
    <xf numFmtId="0" fontId="11" fillId="0" borderId="6" xfId="0" applyFont="1" applyFill="1" applyBorder="1" applyAlignment="1">
      <alignment horizontal="right" vertical="center" wrapText="1"/>
    </xf>
    <xf numFmtId="0" fontId="11" fillId="0" borderId="5" xfId="0" applyFont="1" applyFill="1" applyBorder="1" applyAlignment="1">
      <alignment horizontal="right" vertical="center" wrapText="1"/>
    </xf>
    <xf numFmtId="0" fontId="11" fillId="0" borderId="6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vertical="center" wrapText="1"/>
    </xf>
    <xf numFmtId="0" fontId="11" fillId="0" borderId="0" xfId="0" applyFont="1" applyFill="1" applyAlignment="1">
      <alignment horizontal="right" vertical="center" wrapText="1"/>
    </xf>
    <xf numFmtId="201" fontId="11" fillId="0" borderId="0" xfId="256" applyNumberFormat="1" applyFont="1" applyFill="1" applyAlignment="1">
      <alignment horizontal="right" vertical="center" wrapText="1"/>
    </xf>
    <xf numFmtId="0" fontId="11" fillId="0" borderId="6" xfId="0" applyNumberFormat="1" applyFont="1" applyFill="1" applyBorder="1" applyAlignment="1">
      <alignment horizontal="center" vertical="center"/>
    </xf>
    <xf numFmtId="0" fontId="11" fillId="0" borderId="6" xfId="256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 wrapText="1"/>
    </xf>
    <xf numFmtId="203" fontId="11" fillId="0" borderId="9" xfId="0" applyNumberFormat="1" applyFont="1" applyBorder="1" applyAlignment="1">
      <alignment vertical="center" wrapText="1"/>
    </xf>
    <xf numFmtId="201" fontId="11" fillId="0" borderId="1" xfId="256" applyNumberFormat="1" applyFont="1" applyFill="1" applyBorder="1" applyAlignment="1">
      <alignment horizontal="right" vertical="center" wrapText="1"/>
    </xf>
    <xf numFmtId="0" fontId="11" fillId="0" borderId="10" xfId="256" applyFont="1" applyFill="1" applyBorder="1" applyAlignment="1">
      <alignment horizontal="center" vertical="center"/>
    </xf>
    <xf numFmtId="203" fontId="11" fillId="0" borderId="0" xfId="0" applyNumberFormat="1" applyFont="1" applyAlignment="1">
      <alignment vertical="center"/>
    </xf>
    <xf numFmtId="0" fontId="4" fillId="0" borderId="0" xfId="0" applyFont="1" applyFill="1" applyBorder="1"/>
    <xf numFmtId="0" fontId="13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200" fontId="0" fillId="0" borderId="0" xfId="0" applyNumberFormat="1" applyFont="1"/>
    <xf numFmtId="0" fontId="12" fillId="0" borderId="4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203" fontId="11" fillId="0" borderId="5" xfId="0" applyNumberFormat="1" applyFont="1" applyFill="1" applyBorder="1" applyAlignment="1">
      <alignment horizontal="right" vertical="center" wrapText="1"/>
    </xf>
    <xf numFmtId="0" fontId="4" fillId="0" borderId="33" xfId="0" applyFont="1" applyBorder="1" applyAlignment="1">
      <alignment vertical="center"/>
    </xf>
    <xf numFmtId="0" fontId="4" fillId="0" borderId="0" xfId="0" applyFont="1" applyBorder="1"/>
    <xf numFmtId="0" fontId="13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1" fillId="0" borderId="14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4" xfId="0" applyFont="1" applyBorder="1" applyAlignment="1">
      <alignment vertical="center" wrapText="1"/>
    </xf>
    <xf numFmtId="206" fontId="22" fillId="0" borderId="5" xfId="0" applyNumberFormat="1" applyFont="1" applyBorder="1" applyAlignment="1">
      <alignment horizontal="right" vertical="center" wrapText="1"/>
    </xf>
    <xf numFmtId="200" fontId="22" fillId="0" borderId="5" xfId="0" applyNumberFormat="1" applyFont="1" applyBorder="1" applyAlignment="1">
      <alignment horizontal="right" vertical="center" wrapText="1"/>
    </xf>
    <xf numFmtId="0" fontId="22" fillId="0" borderId="6" xfId="0" applyFont="1" applyFill="1" applyBorder="1" applyAlignment="1">
      <alignment horizontal="center" vertical="center"/>
    </xf>
    <xf numFmtId="0" fontId="22" fillId="0" borderId="4" xfId="0" applyFont="1" applyBorder="1" applyAlignment="1">
      <alignment vertical="center"/>
    </xf>
    <xf numFmtId="203" fontId="22" fillId="0" borderId="5" xfId="0" applyNumberFormat="1" applyFont="1" applyFill="1" applyBorder="1" applyAlignment="1">
      <alignment horizontal="right" vertical="center" wrapText="1"/>
    </xf>
    <xf numFmtId="201" fontId="22" fillId="0" borderId="5" xfId="0" applyNumberFormat="1" applyFont="1" applyFill="1" applyBorder="1" applyAlignment="1">
      <alignment horizontal="right" vertical="center" wrapText="1"/>
    </xf>
    <xf numFmtId="0" fontId="22" fillId="0" borderId="6" xfId="0" applyNumberFormat="1" applyFont="1" applyFill="1" applyBorder="1" applyAlignment="1">
      <alignment horizontal="center" vertical="center"/>
    </xf>
    <xf numFmtId="0" fontId="22" fillId="0" borderId="4" xfId="0" applyFont="1" applyBorder="1" applyAlignment="1">
      <alignment vertical="center" wrapText="1"/>
    </xf>
    <xf numFmtId="0" fontId="22" fillId="0" borderId="4" xfId="0" applyFont="1" applyBorder="1" applyAlignment="1">
      <alignment horizontal="left" vertical="center" wrapText="1"/>
    </xf>
    <xf numFmtId="0" fontId="22" fillId="0" borderId="4" xfId="0" applyFont="1" applyFill="1" applyBorder="1" applyAlignment="1">
      <alignment vertical="center" wrapText="1"/>
    </xf>
    <xf numFmtId="0" fontId="22" fillId="0" borderId="8" xfId="0" applyFont="1" applyFill="1" applyBorder="1" applyAlignment="1">
      <alignment vertical="center" wrapText="1"/>
    </xf>
    <xf numFmtId="0" fontId="12" fillId="0" borderId="14" xfId="0" applyFont="1" applyFill="1" applyBorder="1" applyAlignment="1">
      <alignment horizontal="center" vertical="center"/>
    </xf>
    <xf numFmtId="206" fontId="11" fillId="0" borderId="5" xfId="0" applyNumberFormat="1" applyFont="1" applyFill="1" applyBorder="1" applyAlignment="1">
      <alignment horizontal="right" vertical="center"/>
    </xf>
    <xf numFmtId="201" fontId="11" fillId="0" borderId="5" xfId="0" applyNumberFormat="1" applyFont="1" applyFill="1" applyBorder="1" applyAlignment="1">
      <alignment horizontal="right" vertical="center"/>
    </xf>
    <xf numFmtId="205" fontId="11" fillId="0" borderId="5" xfId="0" applyNumberFormat="1" applyFont="1" applyFill="1" applyBorder="1" applyAlignment="1">
      <alignment horizontal="right" vertical="center" wrapText="1"/>
    </xf>
    <xf numFmtId="0" fontId="11" fillId="0" borderId="6" xfId="0" applyFont="1" applyFill="1" applyBorder="1" applyAlignment="1">
      <alignment wrapText="1"/>
    </xf>
    <xf numFmtId="0" fontId="11" fillId="0" borderId="5" xfId="0" applyFont="1" applyFill="1" applyBorder="1" applyAlignment="1">
      <alignment wrapText="1"/>
    </xf>
    <xf numFmtId="0" fontId="11" fillId="0" borderId="6" xfId="0" applyFont="1" applyFill="1" applyBorder="1"/>
    <xf numFmtId="203" fontId="11" fillId="0" borderId="9" xfId="0" applyNumberFormat="1" applyFont="1" applyFill="1" applyBorder="1" applyAlignment="1">
      <alignment horizontal="right" vertical="center" wrapText="1"/>
    </xf>
    <xf numFmtId="0" fontId="23" fillId="0" borderId="0" xfId="0" applyFont="1"/>
    <xf numFmtId="200" fontId="0" fillId="0" borderId="0" xfId="0" applyNumberFormat="1"/>
    <xf numFmtId="0" fontId="11" fillId="0" borderId="6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203" fontId="11" fillId="0" borderId="0" xfId="0" applyNumberFormat="1" applyFont="1" applyBorder="1" applyAlignment="1">
      <alignment vertical="center" wrapText="1"/>
    </xf>
    <xf numFmtId="0" fontId="4" fillId="0" borderId="33" xfId="0" applyFont="1" applyFill="1" applyBorder="1" applyAlignment="1"/>
    <xf numFmtId="206" fontId="11" fillId="0" borderId="5" xfId="0" applyNumberFormat="1" applyFont="1" applyFill="1" applyBorder="1" applyAlignment="1">
      <alignment horizontal="right" vertical="center" wrapText="1"/>
    </xf>
    <xf numFmtId="200" fontId="11" fillId="0" borderId="5" xfId="0" applyNumberFormat="1" applyFont="1" applyFill="1" applyBorder="1" applyAlignment="1">
      <alignment horizontal="right" vertical="center" wrapText="1"/>
    </xf>
    <xf numFmtId="203" fontId="11" fillId="0" borderId="0" xfId="0" applyNumberFormat="1" applyFont="1" applyFill="1" applyAlignment="1">
      <alignment vertical="center" wrapText="1"/>
    </xf>
    <xf numFmtId="207" fontId="11" fillId="0" borderId="5" xfId="0" applyNumberFormat="1" applyFont="1" applyFill="1" applyBorder="1" applyAlignment="1">
      <alignment horizontal="right" vertical="center" wrapText="1"/>
    </xf>
    <xf numFmtId="202" fontId="11" fillId="0" borderId="6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vertical="center" wrapText="1"/>
    </xf>
    <xf numFmtId="0" fontId="11" fillId="0" borderId="5" xfId="0" applyFont="1" applyFill="1" applyBorder="1" applyAlignment="1">
      <alignment vertical="center"/>
    </xf>
    <xf numFmtId="203" fontId="11" fillId="0" borderId="1" xfId="0" applyNumberFormat="1" applyFont="1" applyFill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Fill="1" applyBorder="1" applyAlignment="1">
      <alignment horizontal="right" vertical="center"/>
    </xf>
    <xf numFmtId="0" fontId="12" fillId="0" borderId="40" xfId="0" applyFont="1" applyFill="1" applyBorder="1" applyAlignment="1">
      <alignment horizontal="center" vertical="center"/>
    </xf>
    <xf numFmtId="0" fontId="12" fillId="0" borderId="15" xfId="253" applyFont="1" applyFill="1" applyBorder="1" applyAlignment="1">
      <alignment horizontal="center" vertical="center"/>
    </xf>
    <xf numFmtId="49" fontId="12" fillId="0" borderId="15" xfId="258" applyNumberFormat="1" applyFont="1" applyFill="1" applyBorder="1" applyAlignment="1">
      <alignment horizontal="center" vertical="center" wrapText="1"/>
    </xf>
    <xf numFmtId="0" fontId="12" fillId="0" borderId="0" xfId="231" applyFont="1" applyBorder="1" applyAlignment="1">
      <alignment vertical="center" wrapText="1"/>
    </xf>
    <xf numFmtId="0" fontId="11" fillId="0" borderId="21" xfId="231" applyFont="1" applyBorder="1"/>
    <xf numFmtId="0" fontId="12" fillId="0" borderId="6" xfId="231" applyFont="1" applyBorder="1" applyAlignment="1">
      <alignment vertical="center" wrapText="1"/>
    </xf>
    <xf numFmtId="0" fontId="11" fillId="0" borderId="6" xfId="231" applyFont="1" applyBorder="1"/>
    <xf numFmtId="0" fontId="11" fillId="0" borderId="0" xfId="231" applyFont="1" applyBorder="1" applyAlignment="1">
      <alignment vertical="center"/>
    </xf>
    <xf numFmtId="203" fontId="11" fillId="0" borderId="21" xfId="231" applyNumberFormat="1" applyFont="1" applyBorder="1" applyAlignment="1">
      <alignment vertical="center" wrapText="1"/>
    </xf>
    <xf numFmtId="201" fontId="11" fillId="0" borderId="6" xfId="231" applyNumberFormat="1" applyFont="1" applyBorder="1" applyAlignment="1">
      <alignment horizontal="right" vertical="center" wrapText="1"/>
    </xf>
    <xf numFmtId="0" fontId="11" fillId="0" borderId="0" xfId="231" applyFont="1" applyBorder="1" applyAlignment="1">
      <alignment vertical="center" wrapText="1"/>
    </xf>
    <xf numFmtId="0" fontId="11" fillId="0" borderId="0" xfId="231" applyFont="1" applyBorder="1" applyAlignment="1">
      <alignment horizontal="left" vertical="center" wrapText="1"/>
    </xf>
    <xf numFmtId="0" fontId="11" fillId="0" borderId="0" xfId="231" applyFont="1" applyFill="1" applyBorder="1" applyAlignment="1">
      <alignment vertical="center" wrapText="1"/>
    </xf>
    <xf numFmtId="0" fontId="12" fillId="0" borderId="0" xfId="231" applyFont="1" applyBorder="1" applyAlignment="1">
      <alignment vertical="center"/>
    </xf>
    <xf numFmtId="0" fontId="11" fillId="0" borderId="1" xfId="231" applyFont="1" applyFill="1" applyBorder="1" applyAlignment="1">
      <alignment vertical="center" wrapText="1"/>
    </xf>
    <xf numFmtId="203" fontId="11" fillId="0" borderId="23" xfId="231" applyNumberFormat="1" applyFont="1" applyBorder="1" applyAlignment="1">
      <alignment vertical="center" wrapText="1"/>
    </xf>
    <xf numFmtId="201" fontId="11" fillId="0" borderId="10" xfId="231" applyNumberFormat="1" applyFont="1" applyBorder="1" applyAlignment="1">
      <alignment horizontal="right" vertical="center" wrapText="1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1" fillId="0" borderId="0" xfId="0" applyFont="1" applyFill="1" applyAlignment="1">
      <alignment horizontal="right" vertical="center"/>
    </xf>
    <xf numFmtId="0" fontId="12" fillId="0" borderId="0" xfId="0" applyFont="1" applyFill="1" applyBorder="1" applyAlignment="1">
      <alignment vertical="center"/>
    </xf>
    <xf numFmtId="203" fontId="11" fillId="0" borderId="20" xfId="0" applyNumberFormat="1" applyFont="1" applyFill="1" applyBorder="1" applyAlignment="1">
      <alignment vertical="center" wrapText="1"/>
    </xf>
    <xf numFmtId="201" fontId="11" fillId="0" borderId="4" xfId="0" applyNumberFormat="1" applyFont="1" applyFill="1" applyBorder="1" applyAlignment="1">
      <alignment vertical="center" wrapText="1"/>
    </xf>
    <xf numFmtId="0" fontId="11" fillId="0" borderId="0" xfId="185" applyFont="1" applyFill="1" applyBorder="1" applyAlignment="1">
      <alignment horizontal="center" vertical="center"/>
    </xf>
    <xf numFmtId="0" fontId="11" fillId="0" borderId="6" xfId="185" applyFont="1" applyFill="1" applyBorder="1" applyAlignment="1">
      <alignment horizontal="center" vertical="center"/>
    </xf>
    <xf numFmtId="203" fontId="11" fillId="0" borderId="21" xfId="0" applyNumberFormat="1" applyFont="1" applyFill="1" applyBorder="1" applyAlignment="1">
      <alignment vertical="center" wrapText="1"/>
    </xf>
    <xf numFmtId="203" fontId="11" fillId="0" borderId="41" xfId="0" applyNumberFormat="1" applyFont="1" applyFill="1" applyBorder="1" applyAlignment="1">
      <alignment vertical="center" wrapText="1"/>
    </xf>
    <xf numFmtId="0" fontId="11" fillId="0" borderId="10" xfId="0" applyNumberFormat="1" applyFont="1" applyFill="1" applyBorder="1" applyAlignment="1">
      <alignment horizontal="center" vertical="center" wrapText="1"/>
    </xf>
    <xf numFmtId="0" fontId="11" fillId="0" borderId="10" xfId="0" applyNumberFormat="1" applyFont="1" applyFill="1" applyBorder="1" applyAlignment="1">
      <alignment horizontal="center" vertical="center"/>
    </xf>
    <xf numFmtId="206" fontId="11" fillId="0" borderId="20" xfId="0" applyNumberFormat="1" applyFont="1" applyFill="1" applyBorder="1" applyAlignment="1">
      <alignment horizontal="right" vertical="center"/>
    </xf>
    <xf numFmtId="201" fontId="11" fillId="0" borderId="4" xfId="0" applyNumberFormat="1" applyFont="1" applyFill="1" applyBorder="1" applyAlignment="1">
      <alignment horizontal="right" vertical="center"/>
    </xf>
    <xf numFmtId="201" fontId="11" fillId="0" borderId="0" xfId="0" applyNumberFormat="1" applyFont="1" applyFill="1" applyAlignment="1">
      <alignment vertical="center" wrapText="1"/>
    </xf>
    <xf numFmtId="206" fontId="11" fillId="0" borderId="6" xfId="186" applyNumberFormat="1" applyFont="1" applyFill="1" applyBorder="1" applyAlignment="1">
      <alignment horizontal="right" vertical="center" wrapText="1"/>
    </xf>
    <xf numFmtId="201" fontId="11" fillId="0" borderId="5" xfId="186" applyNumberFormat="1" applyFont="1" applyFill="1" applyBorder="1" applyAlignment="1">
      <alignment horizontal="right" vertical="center" wrapText="1"/>
    </xf>
    <xf numFmtId="203" fontId="11" fillId="0" borderId="9" xfId="0" applyNumberFormat="1" applyFont="1" applyFill="1" applyBorder="1" applyAlignment="1">
      <alignment vertical="center" wrapText="1"/>
    </xf>
    <xf numFmtId="201" fontId="11" fillId="0" borderId="9" xfId="0" applyNumberFormat="1" applyFont="1" applyFill="1" applyBorder="1" applyAlignment="1">
      <alignment vertical="center" wrapText="1"/>
    </xf>
    <xf numFmtId="0" fontId="11" fillId="0" borderId="10" xfId="185" applyFont="1" applyFill="1" applyBorder="1" applyAlignment="1">
      <alignment horizontal="center" vertical="center"/>
    </xf>
    <xf numFmtId="201" fontId="0" fillId="0" borderId="0" xfId="0" applyNumberFormat="1" applyFont="1" applyFill="1"/>
    <xf numFmtId="201" fontId="12" fillId="0" borderId="0" xfId="0" applyNumberFormat="1" applyFont="1" applyBorder="1" applyAlignment="1">
      <alignment horizontal="center" vertical="center"/>
    </xf>
    <xf numFmtId="201" fontId="0" fillId="0" borderId="0" xfId="0" applyNumberFormat="1" applyFont="1" applyFill="1" applyAlignment="1">
      <alignment vertical="center"/>
    </xf>
    <xf numFmtId="0" fontId="11" fillId="0" borderId="2" xfId="0" applyFont="1" applyFill="1" applyBorder="1" applyAlignment="1">
      <alignment vertical="center" wrapText="1"/>
    </xf>
    <xf numFmtId="0" fontId="11" fillId="0" borderId="33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2" fillId="0" borderId="42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1" fillId="0" borderId="45" xfId="0" applyFont="1" applyBorder="1" applyAlignment="1">
      <alignment horizontal="left" vertical="center"/>
    </xf>
    <xf numFmtId="200" fontId="11" fillId="0" borderId="46" xfId="0" applyNumberFormat="1" applyFont="1" applyBorder="1" applyAlignment="1">
      <alignment horizontal="right" vertical="center" wrapText="1"/>
    </xf>
    <xf numFmtId="0" fontId="11" fillId="0" borderId="0" xfId="0" applyFont="1" applyBorder="1" applyAlignment="1">
      <alignment vertical="center" wrapText="1"/>
    </xf>
    <xf numFmtId="200" fontId="11" fillId="0" borderId="6" xfId="0" applyNumberFormat="1" applyFont="1" applyBorder="1" applyAlignment="1">
      <alignment horizontal="right" vertical="center" wrapText="1"/>
    </xf>
    <xf numFmtId="0" fontId="0" fillId="0" borderId="0" xfId="0" applyFont="1" applyFill="1" applyBorder="1" applyAlignment="1">
      <alignment vertical="center"/>
    </xf>
    <xf numFmtId="200" fontId="0" fillId="0" borderId="0" xfId="0" applyNumberFormat="1" applyFont="1" applyFill="1" applyBorder="1"/>
    <xf numFmtId="0" fontId="11" fillId="0" borderId="8" xfId="0" applyFont="1" applyBorder="1" applyAlignment="1">
      <alignment horizontal="left" vertical="center" wrapText="1"/>
    </xf>
    <xf numFmtId="200" fontId="11" fillId="0" borderId="7" xfId="0" applyNumberFormat="1" applyFont="1" applyBorder="1" applyAlignment="1">
      <alignment horizontal="right" vertical="center" wrapText="1"/>
    </xf>
    <xf numFmtId="200" fontId="11" fillId="0" borderId="13" xfId="0" applyNumberFormat="1" applyFont="1" applyBorder="1" applyAlignment="1">
      <alignment horizontal="right" vertical="center" wrapText="1"/>
    </xf>
    <xf numFmtId="0" fontId="11" fillId="0" borderId="33" xfId="0" applyFont="1" applyBorder="1" applyAlignment="1">
      <alignment horizontal="left" vertical="center"/>
    </xf>
    <xf numFmtId="0" fontId="0" fillId="0" borderId="0" xfId="0" applyFont="1" applyFill="1" applyAlignment="1">
      <alignment horizontal="center"/>
    </xf>
    <xf numFmtId="0" fontId="11" fillId="0" borderId="0" xfId="0" applyFont="1" applyFill="1" applyAlignment="1">
      <alignment horizontal="left" vertical="center"/>
    </xf>
    <xf numFmtId="0" fontId="12" fillId="0" borderId="14" xfId="255" applyFont="1" applyFill="1" applyBorder="1" applyAlignment="1">
      <alignment horizontal="center" vertical="center"/>
    </xf>
    <xf numFmtId="203" fontId="12" fillId="0" borderId="15" xfId="255" applyNumberFormat="1" applyFont="1" applyBorder="1" applyAlignment="1">
      <alignment horizontal="center" vertical="center"/>
    </xf>
    <xf numFmtId="201" fontId="12" fillId="0" borderId="16" xfId="255" applyNumberFormat="1" applyFont="1" applyBorder="1" applyAlignment="1">
      <alignment horizontal="center" vertical="center"/>
    </xf>
    <xf numFmtId="0" fontId="12" fillId="0" borderId="4" xfId="255" applyFont="1" applyFill="1" applyBorder="1" applyAlignment="1">
      <alignment horizontal="left" vertical="center" wrapText="1"/>
    </xf>
    <xf numFmtId="203" fontId="12" fillId="0" borderId="5" xfId="255" applyNumberFormat="1" applyFont="1" applyFill="1" applyBorder="1" applyAlignment="1">
      <alignment horizontal="right" vertical="center" wrapText="1"/>
    </xf>
    <xf numFmtId="201" fontId="12" fillId="0" borderId="6" xfId="255" applyNumberFormat="1" applyFont="1" applyBorder="1" applyAlignment="1">
      <alignment horizontal="right" vertical="center" wrapText="1"/>
    </xf>
    <xf numFmtId="0" fontId="11" fillId="0" borderId="4" xfId="255" applyFont="1" applyFill="1" applyBorder="1" applyAlignment="1">
      <alignment horizontal="left" vertical="center" wrapText="1"/>
    </xf>
    <xf numFmtId="203" fontId="11" fillId="0" borderId="5" xfId="255" applyNumberFormat="1" applyFont="1" applyFill="1" applyBorder="1" applyAlignment="1" applyProtection="1">
      <alignment horizontal="right" vertical="center" wrapText="1"/>
    </xf>
    <xf numFmtId="201" fontId="11" fillId="0" borderId="6" xfId="255" applyNumberFormat="1" applyFont="1" applyBorder="1" applyAlignment="1">
      <alignment horizontal="right" vertical="center" wrapText="1"/>
    </xf>
    <xf numFmtId="203" fontId="12" fillId="0" borderId="5" xfId="255" applyNumberFormat="1" applyFont="1" applyBorder="1" applyAlignment="1" applyProtection="1">
      <alignment horizontal="right" vertical="center" wrapText="1"/>
    </xf>
    <xf numFmtId="203" fontId="11" fillId="0" borderId="5" xfId="255" applyNumberFormat="1" applyFont="1" applyBorder="1" applyAlignment="1" applyProtection="1">
      <alignment horizontal="right" vertical="center" wrapText="1"/>
    </xf>
    <xf numFmtId="0" fontId="11" fillId="0" borderId="8" xfId="255" applyFont="1" applyFill="1" applyBorder="1" applyAlignment="1">
      <alignment horizontal="left" vertical="center" wrapText="1"/>
    </xf>
    <xf numFmtId="203" fontId="11" fillId="0" borderId="9" xfId="255" applyNumberFormat="1" applyFont="1" applyBorder="1" applyAlignment="1" applyProtection="1">
      <alignment horizontal="right" vertical="center" wrapText="1"/>
    </xf>
    <xf numFmtId="201" fontId="11" fillId="0" borderId="10" xfId="255" applyNumberFormat="1" applyFont="1" applyBorder="1" applyAlignment="1">
      <alignment horizontal="right" vertical="center" wrapText="1"/>
    </xf>
    <xf numFmtId="203" fontId="18" fillId="0" borderId="33" xfId="0" applyNumberFormat="1" applyFont="1" applyBorder="1" applyAlignment="1">
      <alignment horizontal="left" vertical="center"/>
    </xf>
    <xf numFmtId="201" fontId="18" fillId="0" borderId="33" xfId="0" applyNumberFormat="1" applyFont="1" applyBorder="1" applyAlignment="1">
      <alignment horizontal="left" vertical="center"/>
    </xf>
    <xf numFmtId="0" fontId="24" fillId="0" borderId="33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3" fillId="0" borderId="47" xfId="0" applyFont="1" applyBorder="1" applyAlignment="1">
      <alignment vertical="center" wrapText="1"/>
    </xf>
    <xf numFmtId="0" fontId="23" fillId="0" borderId="4" xfId="0" applyFont="1" applyBorder="1" applyAlignment="1">
      <alignment horizontal="center" vertical="center" wrapText="1"/>
    </xf>
    <xf numFmtId="203" fontId="23" fillId="0" borderId="0" xfId="0" applyNumberFormat="1" applyFont="1" applyAlignment="1">
      <alignment horizontal="right" vertical="center" wrapText="1"/>
    </xf>
    <xf numFmtId="201" fontId="23" fillId="0" borderId="46" xfId="0" applyNumberFormat="1" applyFont="1" applyBorder="1" applyAlignment="1">
      <alignment horizontal="right" vertical="center" wrapText="1"/>
    </xf>
    <xf numFmtId="0" fontId="23" fillId="0" borderId="4" xfId="0" applyFont="1" applyBorder="1" applyAlignment="1">
      <alignment vertical="center" wrapText="1"/>
    </xf>
    <xf numFmtId="201" fontId="23" fillId="0" borderId="6" xfId="0" applyNumberFormat="1" applyFont="1" applyBorder="1" applyAlignment="1">
      <alignment horizontal="right" vertical="center" wrapText="1"/>
    </xf>
    <xf numFmtId="201" fontId="23" fillId="0" borderId="6" xfId="254" applyNumberFormat="1" applyFont="1" applyFill="1" applyBorder="1" applyAlignment="1" applyProtection="1">
      <alignment horizontal="right" vertical="center" wrapText="1"/>
    </xf>
    <xf numFmtId="0" fontId="23" fillId="0" borderId="4" xfId="0" applyNumberFormat="1" applyFont="1" applyBorder="1" applyAlignment="1">
      <alignment horizontal="left" vertical="center" wrapText="1"/>
    </xf>
    <xf numFmtId="0" fontId="23" fillId="0" borderId="4" xfId="0" applyNumberFormat="1" applyFont="1" applyBorder="1" applyAlignment="1">
      <alignment horizontal="center" vertical="center"/>
    </xf>
    <xf numFmtId="0" fontId="23" fillId="0" borderId="4" xfId="0" applyNumberFormat="1" applyFont="1" applyFill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4" xfId="0" applyNumberFormat="1" applyFont="1" applyFill="1" applyBorder="1" applyAlignment="1">
      <alignment vertical="center"/>
    </xf>
    <xf numFmtId="202" fontId="23" fillId="0" borderId="5" xfId="148" applyNumberFormat="1" applyFont="1" applyFill="1" applyBorder="1" applyAlignment="1">
      <alignment horizontal="right" vertical="center" wrapText="1"/>
    </xf>
    <xf numFmtId="205" fontId="23" fillId="0" borderId="5" xfId="148" applyNumberFormat="1" applyFont="1" applyFill="1" applyBorder="1" applyAlignment="1">
      <alignment horizontal="right" vertical="center" wrapText="1"/>
    </xf>
    <xf numFmtId="0" fontId="23" fillId="0" borderId="8" xfId="0" applyFont="1" applyBorder="1" applyAlignment="1">
      <alignment vertical="center" wrapText="1"/>
    </xf>
    <xf numFmtId="0" fontId="23" fillId="0" borderId="9" xfId="0" applyFont="1" applyBorder="1" applyAlignment="1">
      <alignment horizontal="center" vertical="center" wrapText="1"/>
    </xf>
    <xf numFmtId="202" fontId="23" fillId="0" borderId="9" xfId="148" applyNumberFormat="1" applyFont="1" applyFill="1" applyBorder="1" applyAlignment="1">
      <alignment horizontal="right" vertical="center" wrapText="1"/>
    </xf>
    <xf numFmtId="201" fontId="23" fillId="0" borderId="10" xfId="254" applyNumberFormat="1" applyFont="1" applyFill="1" applyBorder="1" applyAlignment="1" applyProtection="1">
      <alignment horizontal="right" vertical="center" wrapText="1"/>
    </xf>
    <xf numFmtId="0" fontId="4" fillId="0" borderId="33" xfId="0" applyFont="1" applyBorder="1" applyAlignment="1">
      <alignment horizontal="left" vertical="center"/>
    </xf>
    <xf numFmtId="0" fontId="0" fillId="0" borderId="0" xfId="0" applyFont="1" applyFill="1" applyBorder="1" applyAlignment="1">
      <alignment vertical="top"/>
    </xf>
    <xf numFmtId="0" fontId="0" fillId="0" borderId="0" xfId="0" applyFont="1" applyFill="1" applyBorder="1" applyAlignment="1"/>
    <xf numFmtId="0" fontId="0" fillId="0" borderId="0" xfId="0" applyFont="1" applyAlignment="1"/>
    <xf numFmtId="0" fontId="23" fillId="0" borderId="0" xfId="0" applyFont="1" applyAlignment="1">
      <alignment horizontal="center" vertical="center"/>
    </xf>
    <xf numFmtId="206" fontId="23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24" fillId="0" borderId="40" xfId="0" applyFont="1" applyBorder="1" applyAlignment="1">
      <alignment horizontal="center" vertical="center"/>
    </xf>
    <xf numFmtId="206" fontId="24" fillId="0" borderId="15" xfId="0" applyNumberFormat="1" applyFont="1" applyBorder="1" applyAlignment="1">
      <alignment horizontal="center" vertical="center" wrapText="1"/>
    </xf>
    <xf numFmtId="189" fontId="24" fillId="0" borderId="47" xfId="148" applyFont="1" applyFill="1" applyBorder="1" applyAlignment="1">
      <alignment horizontal="left" vertical="center"/>
    </xf>
    <xf numFmtId="203" fontId="24" fillId="0" borderId="0" xfId="0" applyNumberFormat="1" applyFont="1" applyAlignment="1">
      <alignment vertical="center" wrapText="1"/>
    </xf>
    <xf numFmtId="201" fontId="24" fillId="0" borderId="6" xfId="0" applyNumberFormat="1" applyFont="1" applyBorder="1" applyAlignment="1">
      <alignment vertical="center" wrapText="1"/>
    </xf>
    <xf numFmtId="189" fontId="23" fillId="0" borderId="4" xfId="148" applyFont="1" applyFill="1" applyBorder="1" applyAlignment="1">
      <alignment vertical="center"/>
    </xf>
    <xf numFmtId="203" fontId="23" fillId="0" borderId="0" xfId="0" applyNumberFormat="1" applyFont="1" applyAlignment="1">
      <alignment vertical="center" wrapText="1"/>
    </xf>
    <xf numFmtId="201" fontId="23" fillId="0" borderId="6" xfId="0" applyNumberFormat="1" applyFont="1" applyBorder="1" applyAlignment="1">
      <alignment vertical="center" wrapText="1"/>
    </xf>
    <xf numFmtId="189" fontId="23" fillId="0" borderId="4" xfId="148" applyFont="1" applyFill="1" applyBorder="1" applyAlignment="1">
      <alignment horizontal="left" vertical="center"/>
    </xf>
    <xf numFmtId="189" fontId="24" fillId="0" borderId="4" xfId="148" applyFont="1" applyFill="1" applyBorder="1" applyAlignment="1">
      <alignment horizontal="left" vertical="center"/>
    </xf>
    <xf numFmtId="205" fontId="23" fillId="0" borderId="8" xfId="148" applyNumberFormat="1" applyFont="1" applyFill="1" applyBorder="1" applyAlignment="1">
      <alignment horizontal="left" vertical="center"/>
    </xf>
    <xf numFmtId="0" fontId="0" fillId="0" borderId="0" xfId="0" applyFont="1" applyBorder="1" applyAlignment="1">
      <alignment vertical="top"/>
    </xf>
    <xf numFmtId="206" fontId="0" fillId="0" borderId="0" xfId="0" applyNumberFormat="1" applyFont="1" applyAlignment="1"/>
    <xf numFmtId="0" fontId="23" fillId="0" borderId="4" xfId="0" applyFont="1" applyFill="1" applyBorder="1" applyAlignment="1">
      <alignment vertical="center" wrapText="1"/>
    </xf>
    <xf numFmtId="203" fontId="23" fillId="0" borderId="35" xfId="0" applyNumberFormat="1" applyFont="1" applyBorder="1" applyAlignment="1">
      <alignment vertical="center" wrapText="1"/>
    </xf>
    <xf numFmtId="201" fontId="23" fillId="0" borderId="0" xfId="0" applyNumberFormat="1" applyFont="1" applyFill="1" applyAlignment="1">
      <alignment horizontal="right" vertical="center" wrapText="1"/>
    </xf>
    <xf numFmtId="201" fontId="23" fillId="0" borderId="0" xfId="0" applyNumberFormat="1" applyFont="1" applyFill="1" applyBorder="1" applyAlignment="1">
      <alignment horizontal="right" vertical="center" wrapText="1"/>
    </xf>
    <xf numFmtId="0" fontId="23" fillId="0" borderId="4" xfId="0" applyFont="1" applyFill="1" applyBorder="1" applyAlignment="1">
      <alignment horizontal="left" vertical="center" wrapText="1"/>
    </xf>
    <xf numFmtId="201" fontId="23" fillId="0" borderId="1" xfId="0" applyNumberFormat="1" applyFont="1" applyFill="1" applyBorder="1" applyAlignment="1">
      <alignment horizontal="right" vertical="center" wrapText="1"/>
    </xf>
    <xf numFmtId="0" fontId="23" fillId="0" borderId="0" xfId="0" applyFont="1" applyAlignment="1">
      <alignment vertical="center"/>
    </xf>
    <xf numFmtId="0" fontId="24" fillId="0" borderId="40" xfId="253" applyFont="1" applyBorder="1" applyAlignment="1">
      <alignment horizontal="center" vertical="center"/>
    </xf>
    <xf numFmtId="0" fontId="24" fillId="0" borderId="16" xfId="253" applyFont="1" applyBorder="1" applyAlignment="1">
      <alignment horizontal="center" vertical="center"/>
    </xf>
    <xf numFmtId="0" fontId="24" fillId="0" borderId="0" xfId="0" applyFont="1" applyBorder="1" applyAlignment="1">
      <alignment vertical="center" wrapText="1"/>
    </xf>
    <xf numFmtId="203" fontId="24" fillId="0" borderId="20" xfId="0" applyNumberFormat="1" applyFont="1" applyBorder="1" applyAlignment="1">
      <alignment vertical="center" wrapText="1"/>
    </xf>
    <xf numFmtId="201" fontId="24" fillId="0" borderId="21" xfId="0" applyNumberFormat="1" applyFont="1" applyFill="1" applyBorder="1" applyAlignment="1">
      <alignment horizontal="right" vertical="center" wrapText="1"/>
    </xf>
    <xf numFmtId="0" fontId="23" fillId="0" borderId="0" xfId="0" applyFont="1" applyBorder="1" applyAlignment="1">
      <alignment vertical="center" wrapText="1"/>
    </xf>
    <xf numFmtId="203" fontId="23" fillId="0" borderId="20" xfId="0" applyNumberFormat="1" applyFont="1" applyBorder="1" applyAlignment="1">
      <alignment vertical="center" wrapText="1"/>
    </xf>
    <xf numFmtId="201" fontId="23" fillId="0" borderId="21" xfId="0" applyNumberFormat="1" applyFont="1" applyFill="1" applyBorder="1" applyAlignment="1">
      <alignment horizontal="right" vertical="center" wrapText="1"/>
    </xf>
    <xf numFmtId="0" fontId="23" fillId="0" borderId="0" xfId="0" applyFont="1" applyFill="1" applyBorder="1" applyAlignment="1">
      <alignment horizontal="left" vertical="center"/>
    </xf>
    <xf numFmtId="189" fontId="23" fillId="0" borderId="0" xfId="148" applyFont="1" applyFill="1" applyBorder="1" applyAlignment="1">
      <alignment vertical="center"/>
    </xf>
    <xf numFmtId="189" fontId="23" fillId="0" borderId="0" xfId="148" applyFont="1" applyFill="1" applyBorder="1" applyAlignment="1">
      <alignment horizontal="left" vertical="center"/>
    </xf>
    <xf numFmtId="189" fontId="23" fillId="0" borderId="1" xfId="148" applyFont="1" applyFill="1" applyBorder="1" applyAlignment="1">
      <alignment horizontal="left" vertical="center"/>
    </xf>
    <xf numFmtId="203" fontId="23" fillId="0" borderId="22" xfId="0" applyNumberFormat="1" applyFont="1" applyBorder="1" applyAlignment="1">
      <alignment vertical="center" wrapText="1"/>
    </xf>
    <xf numFmtId="201" fontId="23" fillId="0" borderId="23" xfId="0" applyNumberFormat="1" applyFont="1" applyFill="1" applyBorder="1" applyAlignment="1">
      <alignment horizontal="right" vertical="center" wrapText="1"/>
    </xf>
    <xf numFmtId="0" fontId="13" fillId="0" borderId="0" xfId="253" applyFont="1" applyFill="1">
      <alignment vertical="center"/>
    </xf>
    <xf numFmtId="0" fontId="0" fillId="0" borderId="0" xfId="253" applyFont="1" applyFill="1">
      <alignment vertical="center"/>
    </xf>
    <xf numFmtId="0" fontId="0" fillId="0" borderId="0" xfId="253" applyFont="1" applyFill="1" applyAlignment="1">
      <alignment horizontal="right" vertical="center"/>
    </xf>
    <xf numFmtId="0" fontId="10" fillId="0" borderId="4" xfId="253" applyFont="1" applyFill="1" applyBorder="1" applyAlignment="1">
      <alignment horizontal="center" vertical="center"/>
    </xf>
    <xf numFmtId="0" fontId="10" fillId="0" borderId="0" xfId="253" applyFont="1" applyFill="1" applyBorder="1" applyAlignment="1">
      <alignment horizontal="center" vertical="center"/>
    </xf>
    <xf numFmtId="0" fontId="24" fillId="0" borderId="40" xfId="253" applyFont="1" applyFill="1" applyBorder="1" applyAlignment="1">
      <alignment horizontal="center" vertical="center"/>
    </xf>
    <xf numFmtId="0" fontId="24" fillId="0" borderId="15" xfId="253" applyFont="1" applyFill="1" applyBorder="1" applyAlignment="1">
      <alignment horizontal="center" vertical="center"/>
    </xf>
    <xf numFmtId="0" fontId="24" fillId="0" borderId="15" xfId="0" applyFont="1" applyFill="1" applyBorder="1" applyAlignment="1">
      <alignment horizontal="center" vertical="center"/>
    </xf>
    <xf numFmtId="0" fontId="23" fillId="0" borderId="0" xfId="253" applyFont="1" applyFill="1" applyBorder="1" applyAlignment="1">
      <alignment horizontal="left" vertical="center" wrapText="1"/>
    </xf>
    <xf numFmtId="0" fontId="23" fillId="0" borderId="27" xfId="253" applyFont="1" applyFill="1" applyBorder="1" applyAlignment="1">
      <alignment horizontal="center" vertical="center" wrapText="1"/>
    </xf>
    <xf numFmtId="206" fontId="23" fillId="0" borderId="27" xfId="253" applyNumberFormat="1" applyFont="1" applyFill="1" applyBorder="1" applyAlignment="1">
      <alignment horizontal="right" vertical="center" wrapText="1"/>
    </xf>
    <xf numFmtId="201" fontId="23" fillId="0" borderId="46" xfId="0" applyNumberFormat="1" applyFont="1" applyFill="1" applyBorder="1" applyAlignment="1">
      <alignment horizontal="right" vertical="center" wrapText="1"/>
    </xf>
    <xf numFmtId="202" fontId="13" fillId="0" borderId="0" xfId="253" applyNumberFormat="1" applyFont="1" applyFill="1">
      <alignment vertical="center"/>
    </xf>
    <xf numFmtId="205" fontId="13" fillId="0" borderId="0" xfId="253" applyNumberFormat="1" applyFont="1" applyFill="1">
      <alignment vertical="center"/>
    </xf>
    <xf numFmtId="0" fontId="23" fillId="0" borderId="5" xfId="253" applyFont="1" applyFill="1" applyBorder="1" applyAlignment="1">
      <alignment horizontal="center" vertical="center" wrapText="1"/>
    </xf>
    <xf numFmtId="206" fontId="23" fillId="0" borderId="5" xfId="253" applyNumberFormat="1" applyFont="1" applyFill="1" applyBorder="1" applyAlignment="1">
      <alignment horizontal="right" vertical="center" wrapText="1"/>
    </xf>
    <xf numFmtId="201" fontId="23" fillId="0" borderId="6" xfId="0" applyNumberFormat="1" applyFont="1" applyFill="1" applyBorder="1" applyAlignment="1">
      <alignment horizontal="right" vertical="center" wrapText="1"/>
    </xf>
    <xf numFmtId="206" fontId="13" fillId="0" borderId="0" xfId="253" applyNumberFormat="1" applyFont="1" applyFill="1">
      <alignment vertical="center"/>
    </xf>
    <xf numFmtId="205" fontId="0" fillId="0" borderId="0" xfId="253" applyNumberFormat="1" applyFont="1" applyFill="1">
      <alignment vertical="center"/>
    </xf>
    <xf numFmtId="203" fontId="0" fillId="0" borderId="0" xfId="253" applyNumberFormat="1" applyFont="1" applyFill="1">
      <alignment vertical="center"/>
    </xf>
    <xf numFmtId="0" fontId="23" fillId="0" borderId="0" xfId="253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right" vertical="center"/>
    </xf>
    <xf numFmtId="0" fontId="0" fillId="0" borderId="0" xfId="0" applyFont="1" applyFill="1" applyAlignment="1">
      <alignment horizontal="right" vertical="center"/>
    </xf>
    <xf numFmtId="208" fontId="13" fillId="0" borderId="0" xfId="3" applyNumberFormat="1" applyFont="1" applyFill="1" applyBorder="1" applyAlignment="1" applyProtection="1">
      <alignment vertical="center"/>
    </xf>
    <xf numFmtId="0" fontId="23" fillId="0" borderId="0" xfId="253" applyFont="1" applyFill="1" applyBorder="1" applyAlignment="1">
      <alignment vertical="center"/>
    </xf>
    <xf numFmtId="0" fontId="23" fillId="0" borderId="5" xfId="253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right" vertical="center" wrapText="1"/>
    </xf>
    <xf numFmtId="202" fontId="0" fillId="0" borderId="0" xfId="253" applyNumberFormat="1" applyFont="1" applyFill="1">
      <alignment vertical="center"/>
    </xf>
    <xf numFmtId="203" fontId="23" fillId="0" borderId="5" xfId="0" applyNumberFormat="1" applyFont="1" applyFill="1" applyBorder="1" applyAlignment="1">
      <alignment horizontal="right" vertical="center" wrapText="1"/>
    </xf>
    <xf numFmtId="0" fontId="23" fillId="0" borderId="8" xfId="253" applyFont="1" applyFill="1" applyBorder="1" applyAlignment="1">
      <alignment vertical="center"/>
    </xf>
    <xf numFmtId="0" fontId="23" fillId="0" borderId="9" xfId="253" applyFont="1" applyFill="1" applyBorder="1" applyAlignment="1">
      <alignment horizontal="center" vertical="center" wrapText="1"/>
    </xf>
    <xf numFmtId="206" fontId="23" fillId="0" borderId="9" xfId="253" applyNumberFormat="1" applyFont="1" applyFill="1" applyBorder="1" applyAlignment="1">
      <alignment horizontal="right" vertical="center" wrapText="1"/>
    </xf>
    <xf numFmtId="201" fontId="23" fillId="0" borderId="10" xfId="0" applyNumberFormat="1" applyFont="1" applyFill="1" applyBorder="1" applyAlignment="1">
      <alignment horizontal="right" vertical="center" wrapText="1"/>
    </xf>
    <xf numFmtId="0" fontId="0" fillId="0" borderId="0" xfId="253" applyFont="1" applyAlignment="1">
      <alignment vertical="center"/>
    </xf>
    <xf numFmtId="0" fontId="0" fillId="0" borderId="0" xfId="253" applyFont="1" applyAlignment="1">
      <alignment horizontal="right" vertical="center"/>
    </xf>
    <xf numFmtId="0" fontId="10" fillId="0" borderId="0" xfId="253" applyFont="1" applyAlignment="1">
      <alignment horizontal="center" vertical="center"/>
    </xf>
    <xf numFmtId="0" fontId="10" fillId="0" borderId="0" xfId="253" applyFont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23" fillId="0" borderId="0" xfId="0" applyFont="1" applyBorder="1" applyAlignment="1">
      <alignment vertical="center"/>
    </xf>
    <xf numFmtId="0" fontId="23" fillId="0" borderId="6" xfId="0" applyFont="1" applyBorder="1" applyAlignment="1">
      <alignment vertical="center"/>
    </xf>
    <xf numFmtId="202" fontId="23" fillId="0" borderId="27" xfId="0" applyNumberFormat="1" applyFont="1" applyBorder="1" applyAlignment="1">
      <alignment vertical="center"/>
    </xf>
    <xf numFmtId="201" fontId="23" fillId="0" borderId="0" xfId="0" applyNumberFormat="1" applyFont="1" applyBorder="1" applyAlignment="1">
      <alignment vertical="center"/>
    </xf>
    <xf numFmtId="0" fontId="23" fillId="0" borderId="0" xfId="0" applyFont="1" applyBorder="1" applyAlignment="1">
      <alignment horizontal="left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5" xfId="1" applyNumberFormat="1" applyFont="1" applyBorder="1" applyAlignment="1">
      <alignment vertical="center" wrapText="1"/>
    </xf>
    <xf numFmtId="201" fontId="23" fillId="0" borderId="0" xfId="0" applyNumberFormat="1" applyFont="1" applyBorder="1" applyAlignment="1">
      <alignment vertical="center" wrapText="1"/>
    </xf>
    <xf numFmtId="0" fontId="23" fillId="0" borderId="6" xfId="0" applyFont="1" applyFill="1" applyBorder="1" applyAlignment="1">
      <alignment horizontal="center" vertical="center" wrapText="1"/>
    </xf>
    <xf numFmtId="43" fontId="23" fillId="0" borderId="5" xfId="1" applyFont="1" applyBorder="1" applyAlignment="1">
      <alignment vertical="center" wrapText="1"/>
    </xf>
    <xf numFmtId="0" fontId="23" fillId="0" borderId="4" xfId="0" applyFont="1" applyBorder="1" applyAlignment="1">
      <alignment horizontal="left" vertical="center" wrapText="1"/>
    </xf>
    <xf numFmtId="0" fontId="23" fillId="0" borderId="6" xfId="0" applyFont="1" applyBorder="1" applyAlignment="1">
      <alignment horizontal="center" vertical="center"/>
    </xf>
    <xf numFmtId="202" fontId="23" fillId="0" borderId="5" xfId="0" applyNumberFormat="1" applyFont="1" applyBorder="1" applyAlignment="1">
      <alignment vertical="center" wrapText="1"/>
    </xf>
    <xf numFmtId="0" fontId="26" fillId="0" borderId="0" xfId="0" applyFont="1" applyFill="1" applyBorder="1" applyAlignment="1">
      <alignment horizontal="right" wrapText="1"/>
    </xf>
    <xf numFmtId="2" fontId="23" fillId="0" borderId="5" xfId="0" applyNumberFormat="1" applyFont="1" applyBorder="1" applyAlignment="1">
      <alignment vertical="center" wrapText="1"/>
    </xf>
    <xf numFmtId="199" fontId="23" fillId="0" borderId="6" xfId="0" applyNumberFormat="1" applyFont="1" applyBorder="1" applyAlignment="1">
      <alignment vertical="center" wrapText="1"/>
    </xf>
    <xf numFmtId="205" fontId="26" fillId="0" borderId="0" xfId="0" applyNumberFormat="1" applyFont="1" applyFill="1" applyBorder="1" applyAlignment="1">
      <alignment horizontal="right" wrapText="1"/>
    </xf>
    <xf numFmtId="0" fontId="23" fillId="0" borderId="5" xfId="0" applyFont="1" applyBorder="1" applyAlignment="1">
      <alignment vertical="center" wrapText="1"/>
    </xf>
    <xf numFmtId="0" fontId="26" fillId="0" borderId="0" xfId="0" applyFont="1" applyFill="1" applyBorder="1" applyAlignment="1">
      <alignment wrapText="1"/>
    </xf>
    <xf numFmtId="205" fontId="23" fillId="0" borderId="5" xfId="0" applyNumberFormat="1" applyFont="1" applyFill="1" applyBorder="1" applyAlignment="1">
      <alignment vertical="center" wrapText="1"/>
    </xf>
    <xf numFmtId="201" fontId="23" fillId="0" borderId="0" xfId="0" applyNumberFormat="1" applyFont="1" applyFill="1" applyBorder="1" applyAlignment="1">
      <alignment vertical="center" wrapText="1"/>
    </xf>
    <xf numFmtId="203" fontId="23" fillId="0" borderId="5" xfId="0" applyNumberFormat="1" applyFont="1" applyBorder="1" applyAlignment="1">
      <alignment vertical="center" wrapText="1"/>
    </xf>
    <xf numFmtId="203" fontId="23" fillId="0" borderId="5" xfId="1" applyNumberFormat="1" applyFont="1" applyBorder="1" applyAlignment="1">
      <alignment vertical="center" wrapText="1"/>
    </xf>
    <xf numFmtId="0" fontId="23" fillId="0" borderId="10" xfId="0" applyFont="1" applyBorder="1" applyAlignment="1">
      <alignment horizontal="center" vertical="center" wrapText="1"/>
    </xf>
    <xf numFmtId="203" fontId="23" fillId="0" borderId="9" xfId="1" applyNumberFormat="1" applyFont="1" applyBorder="1" applyAlignment="1">
      <alignment vertical="center" wrapText="1"/>
    </xf>
    <xf numFmtId="201" fontId="23" fillId="0" borderId="1" xfId="0" applyNumberFormat="1" applyFont="1" applyBorder="1" applyAlignment="1">
      <alignment vertical="center" wrapText="1"/>
    </xf>
    <xf numFmtId="0" fontId="13" fillId="0" borderId="0" xfId="253" applyFont="1">
      <alignment vertical="center"/>
    </xf>
    <xf numFmtId="0" fontId="0" fillId="0" borderId="0" xfId="253" applyFont="1">
      <alignment vertical="center"/>
    </xf>
    <xf numFmtId="0" fontId="10" fillId="0" borderId="4" xfId="253" applyFont="1" applyBorder="1" applyAlignment="1">
      <alignment horizontal="center" vertical="center"/>
    </xf>
    <xf numFmtId="0" fontId="12" fillId="0" borderId="1" xfId="253" applyFont="1" applyBorder="1" applyAlignment="1">
      <alignment horizontal="center" vertical="center"/>
    </xf>
    <xf numFmtId="0" fontId="12" fillId="0" borderId="14" xfId="253" applyFont="1" applyBorder="1" applyAlignment="1">
      <alignment horizontal="center" vertical="center"/>
    </xf>
    <xf numFmtId="0" fontId="12" fillId="0" borderId="40" xfId="253" applyFont="1" applyBorder="1" applyAlignment="1">
      <alignment horizontal="center" vertical="center"/>
    </xf>
    <xf numFmtId="0" fontId="11" fillId="0" borderId="0" xfId="253" applyFont="1" applyBorder="1" applyAlignment="1">
      <alignment horizontal="left" vertical="center" wrapText="1"/>
    </xf>
    <xf numFmtId="203" fontId="11" fillId="0" borderId="6" xfId="0" applyNumberFormat="1" applyFont="1" applyFill="1" applyBorder="1" applyAlignment="1">
      <alignment horizontal="right" vertical="center" wrapText="1"/>
    </xf>
    <xf numFmtId="0" fontId="11" fillId="0" borderId="0" xfId="253" applyFont="1" applyBorder="1" applyAlignment="1">
      <alignment vertical="center" wrapText="1"/>
    </xf>
    <xf numFmtId="0" fontId="11" fillId="0" borderId="0" xfId="253" applyFont="1" applyBorder="1" applyAlignment="1">
      <alignment vertical="center"/>
    </xf>
    <xf numFmtId="203" fontId="11" fillId="0" borderId="13" xfId="0" applyNumberFormat="1" applyFont="1" applyFill="1" applyBorder="1" applyAlignment="1">
      <alignment horizontal="right" vertical="center" wrapText="1"/>
    </xf>
    <xf numFmtId="201" fontId="11" fillId="0" borderId="10" xfId="0" applyNumberFormat="1" applyFont="1" applyFill="1" applyBorder="1" applyAlignment="1">
      <alignment horizontal="right" vertical="center" wrapText="1"/>
    </xf>
    <xf numFmtId="0" fontId="18" fillId="0" borderId="33" xfId="253" applyFont="1" applyBorder="1" applyAlignment="1">
      <alignment horizontal="left" vertical="center" wrapText="1"/>
    </xf>
    <xf numFmtId="0" fontId="18" fillId="0" borderId="0" xfId="253" applyFont="1" applyBorder="1" applyAlignment="1">
      <alignment horizontal="left" vertical="center" wrapText="1"/>
    </xf>
    <xf numFmtId="0" fontId="0" fillId="0" borderId="0" xfId="253" applyFont="1" applyFill="1" applyAlignment="1">
      <alignment vertical="center"/>
    </xf>
    <xf numFmtId="0" fontId="10" fillId="0" borderId="6" xfId="253" applyFont="1" applyBorder="1" applyAlignment="1">
      <alignment horizontal="center" vertical="center"/>
    </xf>
    <xf numFmtId="0" fontId="24" fillId="0" borderId="14" xfId="253" applyFont="1" applyBorder="1" applyAlignment="1">
      <alignment horizontal="center" vertical="center"/>
    </xf>
    <xf numFmtId="49" fontId="24" fillId="0" borderId="16" xfId="258" applyNumberFormat="1" applyFont="1" applyBorder="1" applyAlignment="1">
      <alignment horizontal="center" vertical="center" wrapText="1"/>
    </xf>
    <xf numFmtId="0" fontId="23" fillId="0" borderId="4" xfId="253" applyFont="1" applyFill="1" applyBorder="1" applyAlignment="1">
      <alignment vertical="center" wrapText="1"/>
    </xf>
    <xf numFmtId="0" fontId="23" fillId="0" borderId="4" xfId="253" applyFont="1" applyBorder="1" applyAlignment="1">
      <alignment horizontal="center" vertical="center" wrapText="1"/>
    </xf>
    <xf numFmtId="203" fontId="23" fillId="0" borderId="35" xfId="253" applyNumberFormat="1" applyFont="1" applyBorder="1" applyAlignment="1">
      <alignment vertical="center" wrapText="1"/>
    </xf>
    <xf numFmtId="201" fontId="23" fillId="0" borderId="20" xfId="253" applyNumberFormat="1" applyFont="1" applyFill="1" applyBorder="1" applyAlignment="1">
      <alignment vertical="center" wrapText="1"/>
    </xf>
    <xf numFmtId="203" fontId="23" fillId="0" borderId="20" xfId="253" applyNumberFormat="1" applyFont="1" applyBorder="1" applyAlignment="1">
      <alignment vertical="center" wrapText="1"/>
    </xf>
    <xf numFmtId="201" fontId="23" fillId="0" borderId="21" xfId="254" applyNumberFormat="1" applyFont="1" applyFill="1" applyBorder="1" applyAlignment="1" applyProtection="1">
      <alignment horizontal="right" vertical="center" wrapText="1"/>
    </xf>
    <xf numFmtId="0" fontId="23" fillId="0" borderId="4" xfId="253" applyFont="1" applyBorder="1" applyAlignment="1">
      <alignment vertical="center" wrapText="1"/>
    </xf>
    <xf numFmtId="0" fontId="23" fillId="0" borderId="0" xfId="253" applyFont="1" applyBorder="1" applyAlignment="1">
      <alignment vertical="center" wrapText="1"/>
    </xf>
    <xf numFmtId="0" fontId="23" fillId="0" borderId="5" xfId="253" applyFont="1" applyBorder="1" applyAlignment="1">
      <alignment horizontal="center" vertical="center" wrapText="1"/>
    </xf>
    <xf numFmtId="0" fontId="23" fillId="0" borderId="4" xfId="253" applyFont="1" applyBorder="1" applyAlignment="1">
      <alignment horizontal="left" vertical="center" wrapText="1"/>
    </xf>
    <xf numFmtId="205" fontId="23" fillId="0" borderId="35" xfId="253" applyNumberFormat="1" applyFont="1" applyBorder="1" applyAlignment="1">
      <alignment vertical="center" wrapText="1"/>
    </xf>
    <xf numFmtId="205" fontId="23" fillId="0" borderId="20" xfId="253" applyNumberFormat="1" applyFont="1" applyBorder="1" applyAlignment="1">
      <alignment vertical="center" wrapText="1"/>
    </xf>
    <xf numFmtId="203" fontId="0" fillId="0" borderId="0" xfId="253" applyNumberFormat="1" applyFont="1" applyFill="1" applyAlignment="1">
      <alignment horizontal="left" vertical="center"/>
    </xf>
    <xf numFmtId="0" fontId="23" fillId="0" borderId="8" xfId="253" applyFont="1" applyBorder="1" applyAlignment="1">
      <alignment vertical="center" wrapText="1"/>
    </xf>
    <xf numFmtId="0" fontId="23" fillId="0" borderId="8" xfId="253" applyFont="1" applyBorder="1" applyAlignment="1">
      <alignment horizontal="center" vertical="center" wrapText="1"/>
    </xf>
    <xf numFmtId="203" fontId="23" fillId="0" borderId="48" xfId="253" applyNumberFormat="1" applyFont="1" applyBorder="1" applyAlignment="1">
      <alignment vertical="center" wrapText="1"/>
    </xf>
    <xf numFmtId="201" fontId="23" fillId="0" borderId="49" xfId="253" applyNumberFormat="1" applyFont="1" applyFill="1" applyBorder="1" applyAlignment="1">
      <alignment vertical="center" wrapText="1"/>
    </xf>
    <xf numFmtId="203" fontId="23" fillId="0" borderId="49" xfId="253" applyNumberFormat="1" applyFont="1" applyBorder="1" applyAlignment="1">
      <alignment vertical="center" wrapText="1"/>
    </xf>
    <xf numFmtId="201" fontId="23" fillId="0" borderId="41" xfId="254" applyNumberFormat="1" applyFont="1" applyFill="1" applyBorder="1" applyAlignment="1" applyProtection="1">
      <alignment horizontal="right" vertical="center" wrapText="1"/>
    </xf>
    <xf numFmtId="203" fontId="0" fillId="0" borderId="0" xfId="253" applyNumberFormat="1" applyFont="1">
      <alignment vertical="center"/>
    </xf>
    <xf numFmtId="0" fontId="23" fillId="0" borderId="4" xfId="253" applyFont="1" applyFill="1" applyBorder="1" applyAlignment="1">
      <alignment horizontal="center" vertical="center" wrapText="1"/>
    </xf>
    <xf numFmtId="201" fontId="23" fillId="0" borderId="20" xfId="253" applyNumberFormat="1" applyFont="1" applyBorder="1" applyAlignment="1">
      <alignment vertical="center" wrapText="1"/>
    </xf>
    <xf numFmtId="201" fontId="23" fillId="0" borderId="20" xfId="253" applyNumberFormat="1" applyFont="1" applyBorder="1" applyAlignment="1">
      <alignment horizontal="right" vertical="center" wrapText="1"/>
    </xf>
    <xf numFmtId="203" fontId="0" fillId="0" borderId="0" xfId="253" applyNumberFormat="1" applyFont="1" applyAlignment="1">
      <alignment horizontal="left" vertical="center"/>
    </xf>
    <xf numFmtId="0" fontId="23" fillId="0" borderId="50" xfId="253" applyFont="1" applyFill="1" applyBorder="1" applyAlignment="1">
      <alignment horizontal="center" vertical="center" wrapText="1"/>
    </xf>
    <xf numFmtId="201" fontId="23" fillId="0" borderId="49" xfId="253" applyNumberFormat="1" applyFont="1" applyBorder="1" applyAlignment="1">
      <alignment vertical="center" wrapText="1"/>
    </xf>
    <xf numFmtId="203" fontId="23" fillId="0" borderId="5" xfId="253" applyNumberFormat="1" applyFont="1" applyBorder="1" applyAlignment="1">
      <alignment vertical="center" wrapText="1"/>
    </xf>
    <xf numFmtId="201" fontId="23" fillId="0" borderId="5" xfId="253" applyNumberFormat="1" applyFont="1" applyFill="1" applyBorder="1" applyAlignment="1">
      <alignment vertical="center" wrapText="1"/>
    </xf>
    <xf numFmtId="201" fontId="23" fillId="0" borderId="5" xfId="253" applyNumberFormat="1" applyFont="1" applyFill="1" applyBorder="1" applyAlignment="1">
      <alignment horizontal="right" vertical="center" wrapText="1"/>
    </xf>
    <xf numFmtId="205" fontId="23" fillId="0" borderId="5" xfId="253" applyNumberFormat="1" applyFont="1" applyFill="1" applyBorder="1" applyAlignment="1">
      <alignment horizontal="right" vertical="center" wrapText="1"/>
    </xf>
    <xf numFmtId="0" fontId="23" fillId="0" borderId="0" xfId="253" applyFont="1" applyFill="1">
      <alignment vertical="center"/>
    </xf>
    <xf numFmtId="201" fontId="23" fillId="0" borderId="6" xfId="253" applyNumberFormat="1" applyFont="1" applyFill="1" applyBorder="1" applyAlignment="1">
      <alignment vertical="center" wrapText="1"/>
    </xf>
    <xf numFmtId="203" fontId="23" fillId="0" borderId="0" xfId="253" applyNumberFormat="1" applyFont="1" applyAlignment="1">
      <alignment vertical="center" wrapText="1"/>
    </xf>
    <xf numFmtId="0" fontId="23" fillId="0" borderId="8" xfId="253" applyFont="1" applyFill="1" applyBorder="1" applyAlignment="1">
      <alignment horizontal="left" vertical="center" wrapText="1"/>
    </xf>
    <xf numFmtId="0" fontId="23" fillId="0" borderId="8" xfId="253" applyFont="1" applyFill="1" applyBorder="1" applyAlignment="1">
      <alignment horizontal="center" vertical="center" wrapText="1"/>
    </xf>
    <xf numFmtId="205" fontId="23" fillId="0" borderId="9" xfId="253" applyNumberFormat="1" applyFont="1" applyFill="1" applyBorder="1" applyAlignment="1">
      <alignment horizontal="right" vertical="center" wrapText="1"/>
    </xf>
    <xf numFmtId="201" fontId="23" fillId="0" borderId="9" xfId="253" applyNumberFormat="1" applyFont="1" applyFill="1" applyBorder="1" applyAlignment="1">
      <alignment horizontal="right" vertical="center" wrapText="1"/>
    </xf>
    <xf numFmtId="201" fontId="23" fillId="0" borderId="10" xfId="253" applyNumberFormat="1" applyFont="1" applyFill="1" applyBorder="1" applyAlignment="1">
      <alignment vertical="center" wrapText="1"/>
    </xf>
    <xf numFmtId="0" fontId="24" fillId="0" borderId="1" xfId="253" applyFont="1" applyBorder="1" applyAlignment="1">
      <alignment horizontal="center" vertical="center"/>
    </xf>
    <xf numFmtId="0" fontId="23" fillId="0" borderId="1" xfId="253" applyFont="1" applyBorder="1" applyAlignment="1">
      <alignment horizontal="right" vertical="center"/>
    </xf>
    <xf numFmtId="0" fontId="23" fillId="0" borderId="1" xfId="0" applyFont="1" applyBorder="1" applyAlignment="1">
      <alignment horizontal="right" vertical="center"/>
    </xf>
    <xf numFmtId="0" fontId="24" fillId="0" borderId="2" xfId="253" applyFont="1" applyBorder="1" applyAlignment="1">
      <alignment horizontal="center" vertical="center"/>
    </xf>
    <xf numFmtId="0" fontId="23" fillId="0" borderId="47" xfId="253" applyFont="1" applyBorder="1" applyAlignment="1">
      <alignment vertical="center" wrapText="1"/>
    </xf>
    <xf numFmtId="203" fontId="23" fillId="0" borderId="21" xfId="253" applyNumberFormat="1" applyFont="1" applyBorder="1" applyAlignment="1">
      <alignment vertical="center" wrapText="1"/>
    </xf>
    <xf numFmtId="205" fontId="0" fillId="0" borderId="0" xfId="253" applyNumberFormat="1" applyFont="1">
      <alignment vertical="center"/>
    </xf>
    <xf numFmtId="201" fontId="23" fillId="0" borderId="20" xfId="253" applyNumberFormat="1" applyFont="1" applyFill="1" applyBorder="1" applyAlignment="1">
      <alignment horizontal="right" vertical="center" wrapText="1"/>
    </xf>
    <xf numFmtId="203" fontId="23" fillId="0" borderId="41" xfId="253" applyNumberFormat="1" applyFont="1" applyBorder="1" applyAlignment="1">
      <alignment vertical="center" wrapText="1"/>
    </xf>
    <xf numFmtId="0" fontId="24" fillId="0" borderId="1" xfId="253" applyFont="1" applyFill="1" applyBorder="1" applyAlignment="1">
      <alignment horizontal="center" vertical="center"/>
    </xf>
    <xf numFmtId="0" fontId="23" fillId="0" borderId="1" xfId="253" applyFont="1" applyFill="1" applyBorder="1" applyAlignment="1">
      <alignment horizontal="right" vertical="center"/>
    </xf>
    <xf numFmtId="0" fontId="23" fillId="0" borderId="1" xfId="0" applyFont="1" applyFill="1" applyBorder="1" applyAlignment="1">
      <alignment horizontal="right" vertical="center"/>
    </xf>
    <xf numFmtId="0" fontId="24" fillId="0" borderId="2" xfId="253" applyFont="1" applyFill="1" applyBorder="1" applyAlignment="1">
      <alignment horizontal="center" vertical="center"/>
    </xf>
    <xf numFmtId="0" fontId="24" fillId="0" borderId="42" xfId="253" applyFont="1" applyFill="1" applyBorder="1" applyAlignment="1">
      <alignment horizontal="center" vertical="center"/>
    </xf>
    <xf numFmtId="49" fontId="24" fillId="0" borderId="44" xfId="258" applyNumberFormat="1" applyFont="1" applyFill="1" applyBorder="1" applyAlignment="1">
      <alignment horizontal="center" vertical="center" wrapText="1"/>
    </xf>
    <xf numFmtId="0" fontId="24" fillId="0" borderId="43" xfId="0" applyFont="1" applyFill="1" applyBorder="1" applyAlignment="1">
      <alignment horizontal="center" vertical="center"/>
    </xf>
    <xf numFmtId="0" fontId="23" fillId="0" borderId="47" xfId="253" applyFont="1" applyFill="1" applyBorder="1" applyAlignment="1">
      <alignment vertical="center" wrapText="1"/>
    </xf>
    <xf numFmtId="203" fontId="23" fillId="0" borderId="51" xfId="0" applyNumberFormat="1" applyFont="1" applyBorder="1" applyAlignment="1">
      <alignment vertical="center" wrapText="1"/>
    </xf>
    <xf numFmtId="201" fontId="23" fillId="0" borderId="52" xfId="253" applyNumberFormat="1" applyFont="1" applyFill="1" applyBorder="1" applyAlignment="1">
      <alignment vertical="center" wrapText="1"/>
    </xf>
    <xf numFmtId="203" fontId="23" fillId="0" borderId="52" xfId="0" applyNumberFormat="1" applyFont="1" applyBorder="1" applyAlignment="1">
      <alignment vertical="center" wrapText="1"/>
    </xf>
    <xf numFmtId="201" fontId="23" fillId="0" borderId="53" xfId="254" applyNumberFormat="1" applyFont="1" applyFill="1" applyBorder="1" applyAlignment="1" applyProtection="1">
      <alignment horizontal="right" vertical="center" wrapText="1"/>
    </xf>
    <xf numFmtId="0" fontId="23" fillId="0" borderId="4" xfId="253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/>
    </xf>
    <xf numFmtId="0" fontId="23" fillId="0" borderId="8" xfId="253" applyFont="1" applyFill="1" applyBorder="1" applyAlignment="1">
      <alignment vertical="center" wrapText="1"/>
    </xf>
    <xf numFmtId="203" fontId="23" fillId="0" borderId="54" xfId="0" applyNumberFormat="1" applyFont="1" applyBorder="1" applyAlignment="1">
      <alignment vertical="center" wrapText="1"/>
    </xf>
    <xf numFmtId="201" fontId="23" fillId="0" borderId="22" xfId="253" applyNumberFormat="1" applyFont="1" applyFill="1" applyBorder="1" applyAlignment="1">
      <alignment vertical="center" wrapText="1"/>
    </xf>
    <xf numFmtId="201" fontId="23" fillId="0" borderId="23" xfId="254" applyNumberFormat="1" applyFont="1" applyFill="1" applyBorder="1" applyAlignment="1" applyProtection="1">
      <alignment horizontal="right" vertical="center" wrapText="1"/>
    </xf>
    <xf numFmtId="0" fontId="2" fillId="0" borderId="0" xfId="0" applyFont="1" applyFill="1" applyAlignment="1">
      <alignment horizontal="center"/>
    </xf>
    <xf numFmtId="0" fontId="24" fillId="0" borderId="14" xfId="0" applyFont="1" applyFill="1" applyBorder="1" applyAlignment="1">
      <alignment horizontal="center" vertical="center"/>
    </xf>
    <xf numFmtId="205" fontId="24" fillId="0" borderId="15" xfId="0" applyNumberFormat="1" applyFont="1" applyFill="1" applyBorder="1" applyAlignment="1">
      <alignment horizontal="center" vertical="center"/>
    </xf>
    <xf numFmtId="0" fontId="24" fillId="0" borderId="16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/>
    </xf>
    <xf numFmtId="0" fontId="23" fillId="0" borderId="4" xfId="0" applyFont="1" applyFill="1" applyBorder="1" applyAlignment="1">
      <alignment vertical="center"/>
    </xf>
    <xf numFmtId="0" fontId="23" fillId="0" borderId="5" xfId="0" applyFont="1" applyFill="1" applyBorder="1" applyAlignment="1">
      <alignment horizontal="center" vertical="center"/>
    </xf>
    <xf numFmtId="205" fontId="23" fillId="0" borderId="5" xfId="0" applyNumberFormat="1" applyFont="1" applyFill="1" applyBorder="1" applyAlignment="1">
      <alignment horizontal="right" vertical="center" wrapText="1"/>
    </xf>
    <xf numFmtId="0" fontId="23" fillId="0" borderId="0" xfId="0" applyFont="1" applyFill="1" applyBorder="1" applyAlignment="1">
      <alignment vertical="center"/>
    </xf>
    <xf numFmtId="201" fontId="23" fillId="0" borderId="5" xfId="0" applyNumberFormat="1" applyFont="1" applyFill="1" applyBorder="1" applyAlignment="1">
      <alignment horizontal="right" vertical="center" wrapText="1"/>
    </xf>
    <xf numFmtId="0" fontId="23" fillId="0" borderId="8" xfId="0" applyFont="1" applyFill="1" applyBorder="1" applyAlignment="1">
      <alignment vertical="center"/>
    </xf>
    <xf numFmtId="0" fontId="23" fillId="0" borderId="9" xfId="0" applyFont="1" applyFill="1" applyBorder="1" applyAlignment="1">
      <alignment horizontal="center" vertical="center"/>
    </xf>
    <xf numFmtId="201" fontId="23" fillId="0" borderId="9" xfId="0" applyNumberFormat="1" applyFont="1" applyFill="1" applyBorder="1" applyAlignment="1">
      <alignment horizontal="right" vertical="center" wrapText="1"/>
    </xf>
    <xf numFmtId="0" fontId="10" fillId="0" borderId="6" xfId="253" applyFont="1" applyFill="1" applyBorder="1" applyAlignment="1">
      <alignment horizontal="center" vertical="center"/>
    </xf>
    <xf numFmtId="0" fontId="24" fillId="0" borderId="14" xfId="253" applyFont="1" applyFill="1" applyBorder="1" applyAlignment="1">
      <alignment horizontal="center" vertical="center"/>
    </xf>
    <xf numFmtId="49" fontId="24" fillId="0" borderId="16" xfId="258" applyNumberFormat="1" applyFont="1" applyFill="1" applyBorder="1" applyAlignment="1">
      <alignment horizontal="center" vertical="center" wrapText="1"/>
    </xf>
    <xf numFmtId="203" fontId="23" fillId="0" borderId="27" xfId="0" applyNumberFormat="1" applyFont="1" applyBorder="1" applyAlignment="1">
      <alignment vertical="center" wrapText="1"/>
    </xf>
    <xf numFmtId="201" fontId="23" fillId="0" borderId="27" xfId="253" applyNumberFormat="1" applyFont="1" applyFill="1" applyBorder="1" applyAlignment="1">
      <alignment vertical="center" wrapText="1"/>
    </xf>
    <xf numFmtId="0" fontId="23" fillId="0" borderId="1" xfId="253" applyFont="1" applyFill="1" applyBorder="1" applyAlignment="1">
      <alignment vertical="center" wrapText="1"/>
    </xf>
    <xf numFmtId="203" fontId="23" fillId="0" borderId="9" xfId="0" applyNumberFormat="1" applyFont="1" applyBorder="1" applyAlignment="1">
      <alignment vertical="center" wrapText="1"/>
    </xf>
    <xf numFmtId="201" fontId="23" fillId="0" borderId="9" xfId="253" applyNumberFormat="1" applyFont="1" applyFill="1" applyBorder="1" applyAlignment="1">
      <alignment vertical="center" wrapText="1"/>
    </xf>
    <xf numFmtId="0" fontId="11" fillId="0" borderId="1" xfId="253" applyFont="1" applyBorder="1" applyAlignment="1">
      <alignment horizontal="right" vertical="center"/>
    </xf>
    <xf numFmtId="49" fontId="12" fillId="0" borderId="16" xfId="258" applyNumberFormat="1" applyFont="1" applyBorder="1" applyAlignment="1">
      <alignment horizontal="center" vertical="center" wrapText="1"/>
    </xf>
    <xf numFmtId="203" fontId="11" fillId="0" borderId="20" xfId="253" applyNumberFormat="1" applyFont="1" applyBorder="1" applyAlignment="1">
      <alignment vertical="center" wrapText="1"/>
    </xf>
    <xf numFmtId="201" fontId="11" fillId="0" borderId="20" xfId="253" applyNumberFormat="1" applyFont="1" applyFill="1" applyBorder="1" applyAlignment="1">
      <alignment vertical="center" wrapText="1"/>
    </xf>
    <xf numFmtId="203" fontId="11" fillId="0" borderId="21" xfId="253" applyNumberFormat="1" applyFont="1" applyBorder="1" applyAlignment="1">
      <alignment vertical="center" wrapText="1"/>
    </xf>
    <xf numFmtId="201" fontId="11" fillId="0" borderId="6" xfId="254" applyNumberFormat="1" applyFont="1" applyFill="1" applyBorder="1" applyAlignment="1" applyProtection="1">
      <alignment horizontal="right" vertical="center" wrapText="1"/>
    </xf>
    <xf numFmtId="201" fontId="11" fillId="0" borderId="20" xfId="253" applyNumberFormat="1" applyFont="1" applyFill="1" applyBorder="1" applyAlignment="1">
      <alignment horizontal="right" vertical="center" wrapText="1"/>
    </xf>
    <xf numFmtId="0" fontId="11" fillId="0" borderId="3" xfId="253" applyFont="1" applyBorder="1" applyAlignment="1">
      <alignment vertical="center" wrapText="1"/>
    </xf>
    <xf numFmtId="203" fontId="11" fillId="0" borderId="55" xfId="253" applyNumberFormat="1" applyFont="1" applyBorder="1" applyAlignment="1">
      <alignment vertical="center" wrapText="1"/>
    </xf>
    <xf numFmtId="201" fontId="11" fillId="0" borderId="55" xfId="253" applyNumberFormat="1" applyFont="1" applyFill="1" applyBorder="1" applyAlignment="1">
      <alignment vertical="center" wrapText="1"/>
    </xf>
    <xf numFmtId="203" fontId="11" fillId="0" borderId="56" xfId="253" applyNumberFormat="1" applyFont="1" applyBorder="1" applyAlignment="1">
      <alignment vertical="center" wrapText="1"/>
    </xf>
    <xf numFmtId="201" fontId="11" fillId="0" borderId="13" xfId="254" applyNumberFormat="1" applyFont="1" applyFill="1" applyBorder="1" applyAlignment="1" applyProtection="1">
      <alignment horizontal="right" vertical="center" wrapText="1"/>
    </xf>
    <xf numFmtId="0" fontId="11" fillId="0" borderId="17" xfId="253" applyFont="1" applyBorder="1" applyAlignment="1">
      <alignment vertical="center" wrapText="1"/>
    </xf>
    <xf numFmtId="203" fontId="11" fillId="0" borderId="57" xfId="253" applyNumberFormat="1" applyFont="1" applyBorder="1" applyAlignment="1">
      <alignment vertical="center" wrapText="1"/>
    </xf>
    <xf numFmtId="201" fontId="11" fillId="0" borderId="19" xfId="254" applyNumberFormat="1" applyFont="1" applyFill="1" applyBorder="1" applyAlignment="1" applyProtection="1">
      <alignment horizontal="right" vertical="center" wrapText="1"/>
    </xf>
    <xf numFmtId="0" fontId="11" fillId="0" borderId="2" xfId="253" applyFont="1" applyBorder="1" applyAlignment="1">
      <alignment horizontal="center" vertical="center"/>
    </xf>
    <xf numFmtId="0" fontId="11" fillId="0" borderId="13" xfId="253" applyNumberFormat="1" applyFont="1" applyFill="1" applyBorder="1" applyAlignment="1">
      <alignment horizontal="center" vertical="center" wrapText="1"/>
    </xf>
    <xf numFmtId="0" fontId="11" fillId="0" borderId="2" xfId="253" applyNumberFormat="1" applyFont="1" applyFill="1" applyBorder="1" applyAlignment="1">
      <alignment horizontal="center" vertical="center" wrapText="1"/>
    </xf>
    <xf numFmtId="0" fontId="11" fillId="0" borderId="5" xfId="258" applyNumberFormat="1" applyFont="1" applyFill="1" applyBorder="1" applyAlignment="1">
      <alignment horizontal="center" vertical="center" wrapText="1"/>
    </xf>
    <xf numFmtId="0" fontId="11" fillId="0" borderId="6" xfId="258" applyNumberFormat="1" applyFont="1" applyFill="1" applyBorder="1" applyAlignment="1">
      <alignment horizontal="center" vertical="center" wrapText="1"/>
    </xf>
    <xf numFmtId="0" fontId="11" fillId="0" borderId="58" xfId="253" applyFont="1" applyBorder="1" applyAlignment="1">
      <alignment vertical="center" wrapText="1"/>
    </xf>
    <xf numFmtId="203" fontId="11" fillId="0" borderId="59" xfId="253" applyNumberFormat="1" applyFont="1" applyFill="1" applyBorder="1" applyAlignment="1">
      <alignment horizontal="right" vertical="center" wrapText="1"/>
    </xf>
    <xf numFmtId="203" fontId="11" fillId="0" borderId="58" xfId="253" applyNumberFormat="1" applyFont="1" applyFill="1" applyBorder="1" applyAlignment="1">
      <alignment horizontal="right" vertical="center" wrapText="1"/>
    </xf>
    <xf numFmtId="200" fontId="11" fillId="0" borderId="60" xfId="148" applyNumberFormat="1" applyFont="1" applyFill="1" applyBorder="1" applyAlignment="1">
      <alignment horizontal="right" vertical="center" wrapText="1"/>
    </xf>
    <xf numFmtId="201" fontId="11" fillId="0" borderId="59" xfId="254" applyNumberFormat="1" applyFont="1" applyFill="1" applyBorder="1" applyAlignment="1" applyProtection="1">
      <alignment horizontal="right" vertical="center" wrapText="1"/>
    </xf>
    <xf numFmtId="0" fontId="18" fillId="0" borderId="0" xfId="253" applyFont="1" applyBorder="1" applyAlignment="1">
      <alignment horizontal="left" vertical="center"/>
    </xf>
    <xf numFmtId="0" fontId="0" fillId="0" borderId="0" xfId="259" applyFont="1" applyFill="1">
      <alignment vertical="center"/>
    </xf>
    <xf numFmtId="0" fontId="24" fillId="0" borderId="14" xfId="0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201" fontId="24" fillId="0" borderId="16" xfId="0" applyNumberFormat="1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justify" vertical="center" wrapText="1"/>
    </xf>
    <xf numFmtId="0" fontId="23" fillId="0" borderId="4" xfId="0" applyFont="1" applyFill="1" applyBorder="1" applyAlignment="1">
      <alignment horizontal="center" vertical="center" wrapText="1"/>
    </xf>
    <xf numFmtId="206" fontId="23" fillId="0" borderId="5" xfId="148" applyNumberFormat="1" applyFont="1" applyFill="1" applyBorder="1" applyAlignment="1">
      <alignment horizontal="right" vertical="center" wrapText="1"/>
    </xf>
    <xf numFmtId="201" fontId="23" fillId="0" borderId="0" xfId="254" applyNumberFormat="1" applyFont="1" applyFill="1" applyBorder="1" applyAlignment="1" applyProtection="1">
      <alignment horizontal="right" vertical="center" wrapText="1"/>
    </xf>
    <xf numFmtId="203" fontId="23" fillId="0" borderId="4" xfId="259" applyNumberFormat="1" applyFont="1" applyFill="1" applyBorder="1" applyAlignment="1">
      <alignment horizontal="center" vertical="center" wrapText="1"/>
    </xf>
    <xf numFmtId="201" fontId="23" fillId="0" borderId="0" xfId="254" applyNumberFormat="1" applyFont="1" applyFill="1" applyBorder="1" applyAlignment="1" applyProtection="1">
      <alignment horizontal="center" vertical="center" wrapText="1"/>
    </xf>
    <xf numFmtId="203" fontId="23" fillId="0" borderId="5" xfId="148" applyNumberFormat="1" applyFont="1" applyFill="1" applyBorder="1" applyAlignment="1">
      <alignment horizontal="right" vertical="center" wrapText="1"/>
    </xf>
    <xf numFmtId="0" fontId="23" fillId="0" borderId="8" xfId="0" applyFont="1" applyFill="1" applyBorder="1" applyAlignment="1">
      <alignment horizontal="justify" vertical="center" wrapText="1"/>
    </xf>
    <xf numFmtId="0" fontId="23" fillId="0" borderId="9" xfId="0" applyFont="1" applyFill="1" applyBorder="1" applyAlignment="1">
      <alignment horizontal="center" vertical="center" wrapText="1"/>
    </xf>
    <xf numFmtId="203" fontId="23" fillId="0" borderId="9" xfId="148" applyNumberFormat="1" applyFont="1" applyFill="1" applyBorder="1" applyAlignment="1">
      <alignment horizontal="right" vertical="center" wrapText="1"/>
    </xf>
    <xf numFmtId="201" fontId="23" fillId="0" borderId="1" xfId="254" applyNumberFormat="1" applyFont="1" applyFill="1" applyBorder="1" applyAlignment="1" applyProtection="1">
      <alignment horizontal="right" vertical="center" wrapText="1"/>
    </xf>
    <xf numFmtId="0" fontId="4" fillId="0" borderId="0" xfId="0" applyFont="1" applyFill="1" applyAlignment="1">
      <alignment vertical="center" wrapText="1"/>
    </xf>
    <xf numFmtId="0" fontId="0" fillId="0" borderId="0" xfId="0" applyFill="1" applyBorder="1" applyAlignment="1"/>
    <xf numFmtId="0" fontId="12" fillId="0" borderId="0" xfId="0" applyFont="1" applyFill="1" applyAlignment="1">
      <alignment horizontal="center" vertical="center"/>
    </xf>
    <xf numFmtId="203" fontId="11" fillId="0" borderId="27" xfId="189" applyNumberFormat="1" applyFont="1" applyFill="1" applyBorder="1" applyAlignment="1" applyProtection="1">
      <alignment horizontal="right" vertical="center" wrapText="1"/>
      <protection hidden="1"/>
    </xf>
    <xf numFmtId="201" fontId="11" fillId="0" borderId="46" xfId="190" applyNumberFormat="1" applyFont="1" applyFill="1" applyBorder="1" applyAlignment="1" applyProtection="1">
      <alignment horizontal="right" vertical="center" wrapText="1"/>
      <protection hidden="1"/>
    </xf>
    <xf numFmtId="203" fontId="0" fillId="0" borderId="0" xfId="0" applyNumberFormat="1" applyFill="1" applyBorder="1" applyAlignment="1"/>
    <xf numFmtId="203" fontId="11" fillId="0" borderId="5" xfId="191" applyNumberFormat="1" applyFont="1" applyFill="1" applyBorder="1" applyAlignment="1" applyProtection="1">
      <alignment horizontal="right" vertical="center" wrapText="1"/>
      <protection hidden="1"/>
    </xf>
    <xf numFmtId="201" fontId="11" fillId="0" borderId="6" xfId="192" applyNumberFormat="1" applyFont="1" applyFill="1" applyBorder="1" applyAlignment="1" applyProtection="1">
      <alignment horizontal="right" vertical="center" wrapText="1"/>
      <protection hidden="1"/>
    </xf>
    <xf numFmtId="203" fontId="11" fillId="0" borderId="5" xfId="193" applyNumberFormat="1" applyFont="1" applyFill="1" applyBorder="1" applyAlignment="1" applyProtection="1">
      <alignment horizontal="right" vertical="center" wrapText="1"/>
      <protection hidden="1"/>
    </xf>
    <xf numFmtId="201" fontId="11" fillId="0" borderId="6" xfId="194" applyNumberFormat="1" applyFont="1" applyFill="1" applyBorder="1" applyAlignment="1" applyProtection="1">
      <alignment horizontal="right" vertical="center" wrapText="1"/>
      <protection hidden="1"/>
    </xf>
    <xf numFmtId="203" fontId="11" fillId="0" borderId="6" xfId="195" applyNumberFormat="1" applyFont="1" applyFill="1" applyBorder="1" applyAlignment="1" applyProtection="1">
      <alignment horizontal="right" vertical="center" wrapText="1"/>
      <protection hidden="1"/>
    </xf>
    <xf numFmtId="201" fontId="11" fillId="0" borderId="6" xfId="196" applyNumberFormat="1" applyFont="1" applyFill="1" applyBorder="1" applyAlignment="1" applyProtection="1">
      <alignment horizontal="right" vertical="center" wrapText="1"/>
      <protection hidden="1"/>
    </xf>
    <xf numFmtId="203" fontId="11" fillId="0" borderId="5" xfId="197" applyNumberFormat="1" applyFont="1" applyFill="1" applyBorder="1" applyAlignment="1" applyProtection="1">
      <alignment horizontal="right" vertical="center" wrapText="1"/>
      <protection hidden="1"/>
    </xf>
    <xf numFmtId="201" fontId="11" fillId="0" borderId="6" xfId="198" applyNumberFormat="1" applyFont="1" applyFill="1" applyBorder="1" applyAlignment="1" applyProtection="1">
      <alignment horizontal="right" vertical="center" wrapText="1"/>
      <protection hidden="1"/>
    </xf>
    <xf numFmtId="209" fontId="0" fillId="0" borderId="0" xfId="0" applyNumberFormat="1" applyFill="1" applyBorder="1" applyAlignment="1"/>
    <xf numFmtId="203" fontId="11" fillId="0" borderId="5" xfId="199" applyNumberFormat="1" applyFont="1" applyFill="1" applyBorder="1" applyAlignment="1" applyProtection="1">
      <alignment horizontal="right" vertical="center" wrapText="1"/>
      <protection hidden="1"/>
    </xf>
    <xf numFmtId="201" fontId="11" fillId="0" borderId="6" xfId="200" applyNumberFormat="1" applyFont="1" applyFill="1" applyBorder="1" applyAlignment="1" applyProtection="1">
      <alignment horizontal="right" vertical="center" wrapText="1"/>
      <protection hidden="1"/>
    </xf>
    <xf numFmtId="203" fontId="11" fillId="0" borderId="5" xfId="201" applyNumberFormat="1" applyFont="1" applyFill="1" applyBorder="1" applyAlignment="1" applyProtection="1">
      <alignment horizontal="right" vertical="center" wrapText="1"/>
      <protection hidden="1"/>
    </xf>
    <xf numFmtId="201" fontId="11" fillId="0" borderId="6" xfId="202" applyNumberFormat="1" applyFont="1" applyFill="1" applyBorder="1" applyAlignment="1" applyProtection="1">
      <alignment horizontal="right" vertical="center" wrapText="1"/>
      <protection hidden="1"/>
    </xf>
    <xf numFmtId="203" fontId="11" fillId="0" borderId="5" xfId="203" applyNumberFormat="1" applyFont="1" applyFill="1" applyBorder="1" applyAlignment="1" applyProtection="1">
      <alignment horizontal="right" vertical="center" wrapText="1"/>
      <protection hidden="1"/>
    </xf>
    <xf numFmtId="201" fontId="11" fillId="0" borderId="6" xfId="204" applyNumberFormat="1" applyFont="1" applyFill="1" applyBorder="1" applyAlignment="1" applyProtection="1">
      <alignment horizontal="right" vertical="center" wrapText="1"/>
      <protection hidden="1"/>
    </xf>
    <xf numFmtId="203" fontId="11" fillId="0" borderId="5" xfId="205" applyNumberFormat="1" applyFont="1" applyFill="1" applyBorder="1" applyAlignment="1" applyProtection="1">
      <alignment horizontal="right" vertical="center" wrapText="1"/>
      <protection hidden="1"/>
    </xf>
    <xf numFmtId="201" fontId="11" fillId="0" borderId="6" xfId="206" applyNumberFormat="1" applyFont="1" applyFill="1" applyBorder="1" applyAlignment="1" applyProtection="1">
      <alignment horizontal="right" vertical="center" wrapText="1"/>
      <protection hidden="1"/>
    </xf>
    <xf numFmtId="203" fontId="11" fillId="0" borderId="5" xfId="207" applyNumberFormat="1" applyFont="1" applyFill="1" applyBorder="1" applyAlignment="1" applyProtection="1">
      <alignment horizontal="right" vertical="center" wrapText="1"/>
      <protection hidden="1"/>
    </xf>
    <xf numFmtId="201" fontId="11" fillId="0" borderId="6" xfId="208" applyNumberFormat="1" applyFont="1" applyFill="1" applyBorder="1" applyAlignment="1" applyProtection="1">
      <alignment horizontal="right" vertical="center" wrapText="1"/>
      <protection hidden="1"/>
    </xf>
    <xf numFmtId="0" fontId="11" fillId="0" borderId="4" xfId="0" applyNumberFormat="1" applyFont="1" applyFill="1" applyBorder="1" applyAlignment="1">
      <alignment vertical="center"/>
    </xf>
    <xf numFmtId="203" fontId="11" fillId="0" borderId="5" xfId="210" applyNumberFormat="1" applyFont="1" applyFill="1" applyBorder="1" applyAlignment="1" applyProtection="1">
      <alignment horizontal="right" vertical="center" wrapText="1"/>
      <protection hidden="1"/>
    </xf>
    <xf numFmtId="201" fontId="11" fillId="0" borderId="6" xfId="211" applyNumberFormat="1" applyFont="1" applyFill="1" applyBorder="1" applyAlignment="1" applyProtection="1">
      <alignment horizontal="right" vertical="center" wrapText="1"/>
      <protection hidden="1"/>
    </xf>
    <xf numFmtId="0" fontId="11" fillId="0" borderId="4" xfId="0" applyFont="1" applyFill="1" applyBorder="1" applyAlignment="1">
      <alignment horizontal="left" vertical="center"/>
    </xf>
    <xf numFmtId="203" fontId="11" fillId="0" borderId="5" xfId="212" applyNumberFormat="1" applyFont="1" applyFill="1" applyBorder="1" applyAlignment="1" applyProtection="1">
      <alignment horizontal="right" vertical="center" wrapText="1"/>
      <protection hidden="1"/>
    </xf>
    <xf numFmtId="201" fontId="11" fillId="0" borderId="6" xfId="213" applyNumberFormat="1" applyFont="1" applyFill="1" applyBorder="1" applyAlignment="1" applyProtection="1">
      <alignment horizontal="right" vertical="center" wrapText="1"/>
      <protection hidden="1"/>
    </xf>
    <xf numFmtId="203" fontId="11" fillId="0" borderId="5" xfId="214" applyNumberFormat="1" applyFont="1" applyFill="1" applyBorder="1" applyAlignment="1" applyProtection="1">
      <alignment horizontal="right" vertical="center" wrapText="1"/>
      <protection hidden="1"/>
    </xf>
    <xf numFmtId="201" fontId="11" fillId="0" borderId="6" xfId="215" applyNumberFormat="1" applyFont="1" applyFill="1" applyBorder="1" applyAlignment="1" applyProtection="1">
      <alignment horizontal="right" vertical="center" wrapText="1"/>
      <protection hidden="1"/>
    </xf>
    <xf numFmtId="201" fontId="0" fillId="0" borderId="0" xfId="0" applyNumberFormat="1" applyFill="1" applyBorder="1" applyAlignment="1"/>
    <xf numFmtId="0" fontId="11" fillId="0" borderId="61" xfId="0" applyFont="1" applyFill="1" applyBorder="1" applyAlignment="1">
      <alignment vertical="center"/>
    </xf>
    <xf numFmtId="206" fontId="11" fillId="0" borderId="59" xfId="148" applyNumberFormat="1" applyFont="1" applyFill="1" applyBorder="1" applyAlignment="1">
      <alignment horizontal="center" vertical="center"/>
    </xf>
    <xf numFmtId="206" fontId="11" fillId="0" borderId="61" xfId="148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57" fontId="24" fillId="0" borderId="13" xfId="0" applyNumberFormat="1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justify" vertical="center" wrapText="1"/>
    </xf>
    <xf numFmtId="203" fontId="23" fillId="0" borderId="6" xfId="0" applyNumberFormat="1" applyFont="1" applyFill="1" applyBorder="1" applyAlignment="1">
      <alignment horizontal="center" vertical="center" wrapText="1"/>
    </xf>
    <xf numFmtId="201" fontId="23" fillId="0" borderId="6" xfId="0" applyNumberFormat="1" applyFont="1" applyFill="1" applyBorder="1" applyAlignment="1">
      <alignment horizontal="center" vertical="center" wrapText="1"/>
    </xf>
    <xf numFmtId="0" fontId="23" fillId="0" borderId="6" xfId="0" applyFont="1" applyBorder="1" applyAlignment="1">
      <alignment horizontal="right" vertical="center" wrapText="1"/>
    </xf>
    <xf numFmtId="203" fontId="23" fillId="0" borderId="6" xfId="0" applyNumberFormat="1" applyFont="1" applyBorder="1" applyAlignment="1">
      <alignment horizontal="center" vertical="center" wrapText="1"/>
    </xf>
    <xf numFmtId="201" fontId="23" fillId="0" borderId="6" xfId="0" applyNumberFormat="1" applyFont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justify" vertical="center" wrapText="1"/>
    </xf>
    <xf numFmtId="0" fontId="23" fillId="0" borderId="6" xfId="0" applyFont="1" applyFill="1" applyBorder="1" applyAlignment="1">
      <alignment horizontal="right" vertical="center" wrapText="1"/>
    </xf>
    <xf numFmtId="203" fontId="23" fillId="0" borderId="6" xfId="0" applyNumberFormat="1" applyFont="1" applyFill="1" applyBorder="1" applyAlignment="1">
      <alignment horizontal="right" vertical="center" wrapText="1"/>
    </xf>
    <xf numFmtId="206" fontId="23" fillId="0" borderId="6" xfId="0" applyNumberFormat="1" applyFont="1" applyFill="1" applyBorder="1" applyAlignment="1">
      <alignment horizontal="right" vertical="center" wrapText="1"/>
    </xf>
    <xf numFmtId="202" fontId="23" fillId="0" borderId="6" xfId="0" applyNumberFormat="1" applyFont="1" applyFill="1" applyBorder="1" applyAlignment="1">
      <alignment horizontal="right" vertical="center" wrapText="1"/>
    </xf>
    <xf numFmtId="203" fontId="23" fillId="0" borderId="6" xfId="0" applyNumberFormat="1" applyFont="1" applyBorder="1" applyAlignment="1">
      <alignment horizontal="right" vertical="center" wrapText="1"/>
    </xf>
    <xf numFmtId="203" fontId="23" fillId="0" borderId="5" xfId="0" applyNumberFormat="1" applyFont="1" applyBorder="1" applyAlignment="1">
      <alignment horizontal="right" vertical="center" wrapText="1"/>
    </xf>
    <xf numFmtId="201" fontId="23" fillId="0" borderId="0" xfId="252" applyNumberFormat="1" applyFont="1" applyFill="1" applyBorder="1" applyAlignment="1">
      <alignment horizontal="right" vertical="center" wrapText="1"/>
    </xf>
  </cellXfs>
  <cellStyles count="30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0202" xfId="49"/>
    <cellStyle name="_Book1_1" xfId="50"/>
    <cellStyle name="_Book1_2" xfId="51"/>
    <cellStyle name="_Book1_3" xfId="52"/>
    <cellStyle name="_计财部审批要件" xfId="53"/>
    <cellStyle name="20% - Accent1" xfId="54"/>
    <cellStyle name="20% - Accent2" xfId="55"/>
    <cellStyle name="20% - Accent3" xfId="56"/>
    <cellStyle name="20% - Accent4" xfId="57"/>
    <cellStyle name="20% - Accent5" xfId="58"/>
    <cellStyle name="20% - Accent6" xfId="59"/>
    <cellStyle name="20% - 强调文字颜色 1 2" xfId="60"/>
    <cellStyle name="20% - 强调文字颜色 2 2" xfId="61"/>
    <cellStyle name="20% - 强调文字颜色 3 2" xfId="62"/>
    <cellStyle name="20% - 强调文字颜色 4 2" xfId="63"/>
    <cellStyle name="20% - 强调文字颜色 5 2" xfId="64"/>
    <cellStyle name="20% - 强调文字颜色 6 2" xfId="65"/>
    <cellStyle name="40% - Accent1" xfId="66"/>
    <cellStyle name="40% - Accent2" xfId="67"/>
    <cellStyle name="40% - Accent3" xfId="68"/>
    <cellStyle name="40% - Accent6" xfId="69"/>
    <cellStyle name="40% - 强调文字颜色 1 2" xfId="70"/>
    <cellStyle name="40% - 强调文字颜色 2 2" xfId="71"/>
    <cellStyle name="40% - 强调文字颜色 3 2" xfId="72"/>
    <cellStyle name="40% - 强调文字颜色 6 2" xfId="73"/>
    <cellStyle name="60% - Accent1" xfId="74"/>
    <cellStyle name="60% - Accent2" xfId="75"/>
    <cellStyle name="60% - Accent3" xfId="76"/>
    <cellStyle name="60% - Accent4" xfId="77"/>
    <cellStyle name="60% - Accent5" xfId="78"/>
    <cellStyle name="60% - Accent6" xfId="79"/>
    <cellStyle name="60% - 强调文字颜色 1 2" xfId="80"/>
    <cellStyle name="60% - 强调文字颜色 2 2" xfId="81"/>
    <cellStyle name="60% - 强调文字颜色 3 2" xfId="82"/>
    <cellStyle name="60% - 强调文字颜色 4 2" xfId="83"/>
    <cellStyle name="60% - 强调文字颜色 5 2" xfId="84"/>
    <cellStyle name="60% - 强调文字颜色 6 2" xfId="85"/>
    <cellStyle name="6mal" xfId="86"/>
    <cellStyle name="Accent1" xfId="87"/>
    <cellStyle name="Accent1 - 20%" xfId="88"/>
    <cellStyle name="Accent1 - 60%" xfId="89"/>
    <cellStyle name="Accent1_公安安全支出补充表5.14" xfId="90"/>
    <cellStyle name="Accent2" xfId="91"/>
    <cellStyle name="Accent2 - 20%" xfId="92"/>
    <cellStyle name="Accent2 - 40%" xfId="93"/>
    <cellStyle name="Accent2 - 60%" xfId="94"/>
    <cellStyle name="Accent2_公安安全支出补充表5.14" xfId="95"/>
    <cellStyle name="Accent3 - 40%" xfId="96"/>
    <cellStyle name="Accent3 - 60%" xfId="97"/>
    <cellStyle name="Accent3_公安安全支出补充表5.14" xfId="98"/>
    <cellStyle name="Accent5" xfId="99"/>
    <cellStyle name="Accent5 - 20%" xfId="100"/>
    <cellStyle name="Accent6" xfId="101"/>
    <cellStyle name="Accent6 - 40%" xfId="102"/>
    <cellStyle name="Accent6 - 60%" xfId="103"/>
    <cellStyle name="Accent6_公安安全支出补充表5.14" xfId="104"/>
    <cellStyle name="args.style" xfId="105"/>
    <cellStyle name="Bad" xfId="106"/>
    <cellStyle name="Calc Currency (0)" xfId="107"/>
    <cellStyle name="Calculation" xfId="108"/>
    <cellStyle name="Check Cell" xfId="109"/>
    <cellStyle name="ColLevel_0" xfId="110"/>
    <cellStyle name="Comma [0]" xfId="111"/>
    <cellStyle name="comma zerodec" xfId="112"/>
    <cellStyle name="Comma_!!!GO" xfId="113"/>
    <cellStyle name="Currency [0]" xfId="114"/>
    <cellStyle name="Currency_!!!GO" xfId="115"/>
    <cellStyle name="Currency1" xfId="116"/>
    <cellStyle name="Date" xfId="117"/>
    <cellStyle name="Dollar (zero dec)" xfId="118"/>
    <cellStyle name="Explanatory Text" xfId="119"/>
    <cellStyle name="Fixed" xfId="120"/>
    <cellStyle name="Good" xfId="121"/>
    <cellStyle name="Grey" xfId="122"/>
    <cellStyle name="Header1" xfId="123"/>
    <cellStyle name="Header2" xfId="124"/>
    <cellStyle name="Heading 1" xfId="125"/>
    <cellStyle name="Heading 2" xfId="126"/>
    <cellStyle name="Heading 3" xfId="127"/>
    <cellStyle name="Heading 4" xfId="128"/>
    <cellStyle name="HEADING1" xfId="129"/>
    <cellStyle name="HEADING2" xfId="130"/>
    <cellStyle name="Input" xfId="131"/>
    <cellStyle name="Input [yellow]" xfId="132"/>
    <cellStyle name="Input Cells" xfId="133"/>
    <cellStyle name="Linked Cell" xfId="134"/>
    <cellStyle name="Linked Cells" xfId="135"/>
    <cellStyle name="Millares [0]_96 Risk" xfId="136"/>
    <cellStyle name="Millares_96 Risk" xfId="137"/>
    <cellStyle name="Milliers [0]_!!!GO" xfId="138"/>
    <cellStyle name="Milliers_!!!GO" xfId="139"/>
    <cellStyle name="Moneda [0]_96 Risk" xfId="140"/>
    <cellStyle name="Moneda_96 Risk" xfId="141"/>
    <cellStyle name="Mon閠aire [0]_!!!GO" xfId="142"/>
    <cellStyle name="Neutral" xfId="143"/>
    <cellStyle name="New Times Roman" xfId="144"/>
    <cellStyle name="no dec" xfId="145"/>
    <cellStyle name="Norma,_laroux_4_营业在建 (2)_E21" xfId="146"/>
    <cellStyle name="Normal - Style1" xfId="147"/>
    <cellStyle name="Normal_3H8" xfId="148"/>
    <cellStyle name="Note" xfId="149"/>
    <cellStyle name="Output" xfId="150"/>
    <cellStyle name="per.style" xfId="151"/>
    <cellStyle name="Percent [2]" xfId="152"/>
    <cellStyle name="Pourcentage_pldt" xfId="153"/>
    <cellStyle name="PSChar" xfId="154"/>
    <cellStyle name="PSDate" xfId="155"/>
    <cellStyle name="PSDec" xfId="156"/>
    <cellStyle name="PSHeading" xfId="157"/>
    <cellStyle name="PSInt" xfId="158"/>
    <cellStyle name="PSSpacer" xfId="159"/>
    <cellStyle name="RowLevel_0" xfId="160"/>
    <cellStyle name="sstot" xfId="161"/>
    <cellStyle name="Standard_AREAS" xfId="162"/>
    <cellStyle name="Title" xfId="163"/>
    <cellStyle name="Total" xfId="164"/>
    <cellStyle name="Warning Text" xfId="165"/>
    <cellStyle name="百分比 2" xfId="166"/>
    <cellStyle name="捠壿 [0.00]_Region Orders (2)" xfId="167"/>
    <cellStyle name="捠壿_Region Orders (2)" xfId="168"/>
    <cellStyle name="编号" xfId="169"/>
    <cellStyle name="标题 1 2" xfId="170"/>
    <cellStyle name="标题 2 2" xfId="171"/>
    <cellStyle name="标题 3 2" xfId="172"/>
    <cellStyle name="标题 4 2" xfId="173"/>
    <cellStyle name="标题1" xfId="174"/>
    <cellStyle name="表标题" xfId="175"/>
    <cellStyle name="部门" xfId="176"/>
    <cellStyle name="差 2" xfId="177"/>
    <cellStyle name="差_00省级(打印)" xfId="178"/>
    <cellStyle name="差_03昭通" xfId="179"/>
    <cellStyle name="差_0605石屏县" xfId="180"/>
    <cellStyle name="差_530623_2006年县级财政报表附表" xfId="181"/>
    <cellStyle name="差_530629_2006年县级财政报表附表" xfId="182"/>
    <cellStyle name="差_5334_2006年迪庆县级财政报表附表" xfId="183"/>
    <cellStyle name="差_Book1" xfId="184"/>
    <cellStyle name="常规 17" xfId="185"/>
    <cellStyle name="常规 17 2" xfId="186"/>
    <cellStyle name="常规 19" xfId="187"/>
    <cellStyle name="常规 2" xfId="188"/>
    <cellStyle name="常规 20" xfId="189"/>
    <cellStyle name="常规 21" xfId="190"/>
    <cellStyle name="常规 22" xfId="191"/>
    <cellStyle name="常规 23" xfId="192"/>
    <cellStyle name="常规 24" xfId="193"/>
    <cellStyle name="常规 25" xfId="194"/>
    <cellStyle name="常规 26" xfId="195"/>
    <cellStyle name="常规 27" xfId="196"/>
    <cellStyle name="常规 28" xfId="197"/>
    <cellStyle name="常规 29" xfId="198"/>
    <cellStyle name="常规 30" xfId="199"/>
    <cellStyle name="常规 31" xfId="200"/>
    <cellStyle name="常规 32" xfId="201"/>
    <cellStyle name="常规 33" xfId="202"/>
    <cellStyle name="常规 34" xfId="203"/>
    <cellStyle name="常规 35" xfId="204"/>
    <cellStyle name="常规 36" xfId="205"/>
    <cellStyle name="常规 37" xfId="206"/>
    <cellStyle name="常规 38" xfId="207"/>
    <cellStyle name="常规 39" xfId="208"/>
    <cellStyle name="常规 4" xfId="209"/>
    <cellStyle name="常规 40" xfId="210"/>
    <cellStyle name="常规 41" xfId="211"/>
    <cellStyle name="常规 42" xfId="212"/>
    <cellStyle name="常规 43" xfId="213"/>
    <cellStyle name="常规 44" xfId="214"/>
    <cellStyle name="常规 45" xfId="215"/>
    <cellStyle name="常规 46" xfId="216"/>
    <cellStyle name="常规 47" xfId="217"/>
    <cellStyle name="常规 48" xfId="218"/>
    <cellStyle name="常规 49" xfId="219"/>
    <cellStyle name="常规 51" xfId="220"/>
    <cellStyle name="常规 52" xfId="221"/>
    <cellStyle name="常规 54" xfId="222"/>
    <cellStyle name="常规 55" xfId="223"/>
    <cellStyle name="常规 56" xfId="224"/>
    <cellStyle name="常规 57" xfId="225"/>
    <cellStyle name="常规 58" xfId="226"/>
    <cellStyle name="常规 59" xfId="227"/>
    <cellStyle name="常规 60" xfId="228"/>
    <cellStyle name="常规 61" xfId="229"/>
    <cellStyle name="常规 62" xfId="230"/>
    <cellStyle name="常规 65" xfId="231"/>
    <cellStyle name="常规 66" xfId="232"/>
    <cellStyle name="常规 67" xfId="233"/>
    <cellStyle name="常规 68" xfId="234"/>
    <cellStyle name="常规 69" xfId="235"/>
    <cellStyle name="常规 70" xfId="236"/>
    <cellStyle name="常规 71" xfId="237"/>
    <cellStyle name="常规 72" xfId="238"/>
    <cellStyle name="常规 73" xfId="239"/>
    <cellStyle name="常规 74" xfId="240"/>
    <cellStyle name="常规 75" xfId="241"/>
    <cellStyle name="常规 76" xfId="242"/>
    <cellStyle name="常规 78" xfId="243"/>
    <cellStyle name="常规 79" xfId="244"/>
    <cellStyle name="常规 80" xfId="245"/>
    <cellStyle name="常规 89" xfId="246"/>
    <cellStyle name="常规 90" xfId="247"/>
    <cellStyle name="常规 91" xfId="248"/>
    <cellStyle name="常规 92" xfId="249"/>
    <cellStyle name="常规 93" xfId="250"/>
    <cellStyle name="常规 94" xfId="251"/>
    <cellStyle name="常规_2001-2002年报表制度" xfId="252"/>
    <cellStyle name="常规_2010年2月投资月报" xfId="253"/>
    <cellStyle name="常规_2011年全省各市主要指标排位" xfId="254"/>
    <cellStyle name="常规_Sheet1" xfId="255"/>
    <cellStyle name="常规_册子——贸易(2016年9月)" xfId="256"/>
    <cellStyle name="常规_分市5" xfId="257"/>
    <cellStyle name="常规_农业产值" xfId="258"/>
    <cellStyle name="常规_农业生产情况" xfId="259"/>
    <cellStyle name="分级显示行_1_13区汇总" xfId="260"/>
    <cellStyle name="分级显示列_1_Book1" xfId="261"/>
    <cellStyle name="好 2" xfId="262"/>
    <cellStyle name="好_00省级(打印)" xfId="263"/>
    <cellStyle name="好_03昭通" xfId="264"/>
    <cellStyle name="好_0605石屏县" xfId="265"/>
    <cellStyle name="好_530623_2006年县级财政报表附表" xfId="266"/>
    <cellStyle name="好_530629_2006年县级财政报表附表" xfId="267"/>
    <cellStyle name="好_5334_2006年迪庆县级财政报表附表" xfId="268"/>
    <cellStyle name="好_Book1" xfId="269"/>
    <cellStyle name="后继超链接" xfId="270"/>
    <cellStyle name="汇总 10" xfId="271"/>
    <cellStyle name="汇总 2" xfId="272"/>
    <cellStyle name="计算 2" xfId="273"/>
    <cellStyle name="检查单元格 2" xfId="274"/>
    <cellStyle name="解释性文本 2" xfId="275"/>
    <cellStyle name="借出原因" xfId="276"/>
    <cellStyle name="警告文本 2" xfId="277"/>
    <cellStyle name="链接单元格 2" xfId="278"/>
    <cellStyle name="霓付 [0]_ +Foil &amp; -FOIL &amp; PAPER" xfId="279"/>
    <cellStyle name="霓付_ +Foil &amp; -FOIL &amp; PAPER" xfId="280"/>
    <cellStyle name="烹拳 [0]_ +Foil &amp; -FOIL &amp; PAPER" xfId="281"/>
    <cellStyle name="烹拳_ +Foil &amp; -FOIL &amp; PAPER" xfId="282"/>
    <cellStyle name="千位分隔 3" xfId="283"/>
    <cellStyle name="千位分隔[0] 2" xfId="284"/>
    <cellStyle name="钎霖_4岿角利" xfId="285"/>
    <cellStyle name="强调 1" xfId="286"/>
    <cellStyle name="强调 2" xfId="287"/>
    <cellStyle name="强调 3" xfId="288"/>
    <cellStyle name="强调文字颜色 1 2" xfId="289"/>
    <cellStyle name="强调文字颜色 2 2" xfId="290"/>
    <cellStyle name="强调文字颜色 3 2" xfId="291"/>
    <cellStyle name="强调文字颜色 6 2" xfId="292"/>
    <cellStyle name="日期" xfId="293"/>
    <cellStyle name="商品名称" xfId="294"/>
    <cellStyle name="适中 2" xfId="295"/>
    <cellStyle name="输出 2" xfId="296"/>
    <cellStyle name="输入 2" xfId="297"/>
    <cellStyle name="数量" xfId="298"/>
    <cellStyle name="数字" xfId="299"/>
    <cellStyle name="未定义" xfId="300"/>
    <cellStyle name="小数" xfId="301"/>
    <cellStyle name="样式 1" xfId="302"/>
    <cellStyle name="昗弨_Pacific Region P&amp;L" xfId="303"/>
    <cellStyle name="표준_0N-HANDLING " xfId="304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6" Type="http://schemas.openxmlformats.org/officeDocument/2006/relationships/styles" Target="styles.xml"/><Relationship Id="rId85" Type="http://schemas.openxmlformats.org/officeDocument/2006/relationships/sharedStrings" Target="sharedStrings.xml"/><Relationship Id="rId84" Type="http://schemas.openxmlformats.org/officeDocument/2006/relationships/theme" Target="theme/theme1.xml"/><Relationship Id="rId83" Type="http://schemas.openxmlformats.org/officeDocument/2006/relationships/externalLink" Target="externalLinks/externalLink27.xml"/><Relationship Id="rId82" Type="http://schemas.openxmlformats.org/officeDocument/2006/relationships/externalLink" Target="externalLinks/externalLink26.xml"/><Relationship Id="rId81" Type="http://schemas.openxmlformats.org/officeDocument/2006/relationships/externalLink" Target="externalLinks/externalLink25.xml"/><Relationship Id="rId80" Type="http://schemas.openxmlformats.org/officeDocument/2006/relationships/externalLink" Target="externalLinks/externalLink24.xml"/><Relationship Id="rId8" Type="http://schemas.openxmlformats.org/officeDocument/2006/relationships/worksheet" Target="worksheets/sheet8.xml"/><Relationship Id="rId79" Type="http://schemas.openxmlformats.org/officeDocument/2006/relationships/externalLink" Target="externalLinks/externalLink23.xml"/><Relationship Id="rId78" Type="http://schemas.openxmlformats.org/officeDocument/2006/relationships/externalLink" Target="externalLinks/externalLink22.xml"/><Relationship Id="rId77" Type="http://schemas.openxmlformats.org/officeDocument/2006/relationships/externalLink" Target="externalLinks/externalLink21.xml"/><Relationship Id="rId76" Type="http://schemas.openxmlformats.org/officeDocument/2006/relationships/externalLink" Target="externalLinks/externalLink20.xml"/><Relationship Id="rId75" Type="http://schemas.openxmlformats.org/officeDocument/2006/relationships/externalLink" Target="externalLinks/externalLink19.xml"/><Relationship Id="rId74" Type="http://schemas.openxmlformats.org/officeDocument/2006/relationships/externalLink" Target="externalLinks/externalLink18.xml"/><Relationship Id="rId73" Type="http://schemas.openxmlformats.org/officeDocument/2006/relationships/externalLink" Target="externalLinks/externalLink17.xml"/><Relationship Id="rId72" Type="http://schemas.openxmlformats.org/officeDocument/2006/relationships/externalLink" Target="externalLinks/externalLink16.xml"/><Relationship Id="rId71" Type="http://schemas.openxmlformats.org/officeDocument/2006/relationships/externalLink" Target="externalLinks/externalLink15.xml"/><Relationship Id="rId70" Type="http://schemas.openxmlformats.org/officeDocument/2006/relationships/externalLink" Target="externalLinks/externalLink14.xml"/><Relationship Id="rId7" Type="http://schemas.openxmlformats.org/officeDocument/2006/relationships/worksheet" Target="worksheets/sheet7.xml"/><Relationship Id="rId69" Type="http://schemas.openxmlformats.org/officeDocument/2006/relationships/externalLink" Target="externalLinks/externalLink13.xml"/><Relationship Id="rId68" Type="http://schemas.openxmlformats.org/officeDocument/2006/relationships/externalLink" Target="externalLinks/externalLink12.xml"/><Relationship Id="rId67" Type="http://schemas.openxmlformats.org/officeDocument/2006/relationships/externalLink" Target="externalLinks/externalLink11.xml"/><Relationship Id="rId66" Type="http://schemas.openxmlformats.org/officeDocument/2006/relationships/externalLink" Target="externalLinks/externalLink10.xml"/><Relationship Id="rId65" Type="http://schemas.openxmlformats.org/officeDocument/2006/relationships/externalLink" Target="externalLinks/externalLink9.xml"/><Relationship Id="rId64" Type="http://schemas.openxmlformats.org/officeDocument/2006/relationships/externalLink" Target="externalLinks/externalLink8.xml"/><Relationship Id="rId63" Type="http://schemas.openxmlformats.org/officeDocument/2006/relationships/externalLink" Target="externalLinks/externalLink7.xml"/><Relationship Id="rId62" Type="http://schemas.openxmlformats.org/officeDocument/2006/relationships/externalLink" Target="externalLinks/externalLink6.xml"/><Relationship Id="rId61" Type="http://schemas.openxmlformats.org/officeDocument/2006/relationships/externalLink" Target="externalLinks/externalLink5.xml"/><Relationship Id="rId60" Type="http://schemas.openxmlformats.org/officeDocument/2006/relationships/externalLink" Target="externalLinks/externalLink4.xml"/><Relationship Id="rId6" Type="http://schemas.openxmlformats.org/officeDocument/2006/relationships/worksheet" Target="worksheets/sheet6.xml"/><Relationship Id="rId59" Type="http://schemas.openxmlformats.org/officeDocument/2006/relationships/externalLink" Target="externalLinks/externalLink3.xml"/><Relationship Id="rId58" Type="http://schemas.openxmlformats.org/officeDocument/2006/relationships/externalLink" Target="externalLinks/externalLink2.xml"/><Relationship Id="rId57" Type="http://schemas.openxmlformats.org/officeDocument/2006/relationships/externalLink" Target="externalLinks/externalLink1.xml"/><Relationship Id="rId56" Type="http://schemas.openxmlformats.org/officeDocument/2006/relationships/worksheet" Target="worksheets/sheet56.xml"/><Relationship Id="rId55" Type="http://schemas.openxmlformats.org/officeDocument/2006/relationships/worksheet" Target="worksheets/sheet55.xml"/><Relationship Id="rId54" Type="http://schemas.openxmlformats.org/officeDocument/2006/relationships/worksheet" Target="worksheets/sheet54.xml"/><Relationship Id="rId53" Type="http://schemas.openxmlformats.org/officeDocument/2006/relationships/worksheet" Target="worksheets/sheet53.xml"/><Relationship Id="rId52" Type="http://schemas.openxmlformats.org/officeDocument/2006/relationships/worksheet" Target="worksheets/sheet52.xml"/><Relationship Id="rId51" Type="http://schemas.openxmlformats.org/officeDocument/2006/relationships/worksheet" Target="worksheets/sheet51.xml"/><Relationship Id="rId50" Type="http://schemas.openxmlformats.org/officeDocument/2006/relationships/worksheet" Target="worksheets/sheet50.xml"/><Relationship Id="rId5" Type="http://schemas.openxmlformats.org/officeDocument/2006/relationships/worksheet" Target="worksheets/sheet5.xml"/><Relationship Id="rId49" Type="http://schemas.openxmlformats.org/officeDocument/2006/relationships/worksheet" Target="worksheets/sheet49.xml"/><Relationship Id="rId48" Type="http://schemas.openxmlformats.org/officeDocument/2006/relationships/worksheet" Target="worksheets/sheet48.xml"/><Relationship Id="rId47" Type="http://schemas.openxmlformats.org/officeDocument/2006/relationships/worksheet" Target="worksheets/sheet47.xml"/><Relationship Id="rId46" Type="http://schemas.openxmlformats.org/officeDocument/2006/relationships/worksheet" Target="worksheets/sheet46.xml"/><Relationship Id="rId45" Type="http://schemas.openxmlformats.org/officeDocument/2006/relationships/worksheet" Target="worksheets/sheet45.xml"/><Relationship Id="rId44" Type="http://schemas.openxmlformats.org/officeDocument/2006/relationships/worksheet" Target="worksheets/sheet44.xml"/><Relationship Id="rId43" Type="http://schemas.openxmlformats.org/officeDocument/2006/relationships/worksheet" Target="worksheets/sheet43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Spares\FILES\SMCTS2\SMCTSSP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113;&#21335;&#30465;&#20998;&#21439;GDP&#21450;&#20998;&#20135;&#19994;&#25968;&#25454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998;&#22320;&#21439;&#36130;&#25919;&#19968;&#33324;&#39044;&#31639;&#25910;&#20837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113;&#21335;&#30465;&#20998;&#22320;&#21439;&#24037;&#21830;&#31246;&#25910;&#20915;&#31639;&#25968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4&#24180;&#20113;&#21335;&#30465;&#20998;&#21439;&#34892;&#25919;&#21644;&#20844;&#26816;&#27861;&#21496;&#37096;&#38376;&#32534;&#21046;&#25968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0844;&#29992;&#26631;&#20934;&#25903;&#20986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:\56.0.160.17\DOCUME~1\zq\LOCALS~1\Temp\&#25919;&#27861;&#21475;&#24120;&#29992;&#32479;&#35745;&#36164;&#26009;\&#19977;&#23395;&#24230;&#27719;&#24635;\&#39044;&#31639;\2006&#39044;&#31639;&#25253;&#34920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3&#24180;&#20113;&#21335;&#30465;&#20998;&#21439;&#20892;&#19994;&#20154;&#21475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4&#24180;&#20113;&#21335;&#30465;&#20998;&#21439;&#20892;&#19994;&#29992;&#22320;&#38754;&#31215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SERVER\&#39044;&#31639;&#21496;\&#20849;&#20139;&#25968;&#25454;\&#21382;&#24180;&#20915;&#31639;\1996&#24180;\1996&#24180;&#20915;&#31639;&#27719;&#24635;\2021&#28246;&#21271;&#30465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0154;&#21592;&#26631;&#20934;&#25903;&#2098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NGHAI_LF\&#39044;&#31639;&#22788;\BY\YS3\97&#20915;&#31639;&#21306;&#21439;&#26368;&#21518;&#27719;&#24635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0107;&#19994;&#21457;&#23637;&#25903;&#20986;&#65288;&#32463;&#24046;&#24322;&#35843;&#25972;&#65289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.000\Desktop\&#25105;&#30340;&#20844;&#25991;&#21253;\&#36213;&#21746;&#36132;&#25991;&#20214;&#22841;\&#25253;&#34920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&#20065;&#38215;&#21644;&#34892;&#25919;&#26449;&#20010;&#25968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:\56.0.160.17\DOCUME~1\zq\LOCALS~1\Temp\&#36130;&#25919;&#20379;&#20859;&#20154;&#21592;&#20449;&#24687;&#34920;\&#25945;&#32946;\&#27896;&#27700;&#22235;&#20013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2&#24180;&#20113;&#21335;&#30465;&#20998;&#21439;&#19968;&#33324;&#39044;&#31639;&#25910;&#20837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dgetserver\&#39044;&#31639;&#21496;\BY\YS3\97&#20915;&#31639;&#21306;&#21439;&#26368;&#21518;&#27719;&#24635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3&#24180;&#20113;&#21335;&#30465;&#20998;&#21439;&#20013;&#23567;&#23398;&#29983;&#20154;&#25968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3&#24180;&#20113;&#21335;&#30465;&#20998;&#21439;&#24635;&#20154;&#2147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Administrator\&#26700;&#38754;\1106&#26399;&#19987;&#19994;&#31185;&#30446;&#25253;&#21517;&#20449;&#24687;\&#24066;&#20116;&#20013;1106&#26399;&#20013;&#32423;&#22521;&#35757;&#25253;&#21517;&#34920;16&#26085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2004&#24180;&#20113;&#21335;&#30465;&#20998;&#21439;&#26412;&#32423;&#26631;&#20934;&#25910;&#20837;&#21512;&#35745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113;&#21335;&#30465;&#20998;&#21439;&#36130;&#25919;&#20840;&#20379;&#20859;&#20154;&#21592;&#22686;&#24133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6449;&#32423;&#26631;&#20934;&#25903;&#20986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27575;&#38177;&#29790;\&#21271;&#20140;&#24503;&#21150;\2007&#24180;&#27979;&#31639;&#26041;&#26696;\&#19968;&#22870;\Documents%20and%20Settings\caiqiang\My%20Documents\&#21439;&#20065;&#36130;&#25919;&#22256;&#38590;&#27979;&#31639;&#26041;&#26696;\&#26041;&#26696;&#19977;&#31295;\&#26041;&#26696;&#20108;&#31295;\&#35774;&#22791;\&#21407;&#22987;\814\13%20&#38081;&#36335;&#37197;&#2021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:\56.0.160.17\DOCUME~1\zq\LOCALS~1\Temp\04&#20307;&#21046;&#31185;\03&#24180;&#32456;&#32467;&#31639;&#21450;&#25968;&#25454;&#20998;&#26512;\2006&#24180;\&#20915;&#31639;&#21450;&#25968;&#25454;&#20998;&#26512;\&#20915;&#31639;&#20998;&#26512;&#36164;&#26009;&#32467;&#26524;\&#21439;&#32423;&#36130;&#25919;&#25253;&#34920;&#38468;&#34920;\01&#26118;&#26126;\01&#26118;&#26126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GDP"/>
    </sheetNames>
    <sheetDataSet>
      <sheetData sheetId="0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一般预算收入"/>
    </sheetNames>
    <sheetDataSet>
      <sheetData sheetId="0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工商税收"/>
    </sheetNames>
    <sheetDataSet>
      <sheetData sheetId="0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行政编制"/>
      <sheetName val="公检法司编制"/>
      <sheetName val="行政和公检法司人数"/>
    </sheetNames>
    <sheetDataSet>
      <sheetData sheetId="0"/>
      <sheetData sheetId="1"/>
      <sheetData sheetId="2"/>
      <sheetData sheetId="3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合计"/>
      <sheetName val="行政"/>
      <sheetName val="公检法司"/>
      <sheetName val="教育"/>
      <sheetName val="其他事业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1"/>
      <sheetName val="单位信息2"/>
      <sheetName val="非税征收"/>
      <sheetName val="政府采购"/>
      <sheetName val="基本支出预算"/>
      <sheetName val="项目预算"/>
      <sheetName val="成本性预算"/>
      <sheetName val="收支预算总表"/>
      <sheetName val="编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农业人口"/>
    </sheetNames>
    <sheetDataSet>
      <sheetData sheetId="0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农业用地"/>
    </sheetNames>
    <sheetDataSet>
      <sheetData sheetId="0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</sheetNames>
    <sheetDataSet>
      <sheetData sheetId="0"/>
      <sheetData sheetId="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人员支出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事业发展"/>
    </sheetNames>
    <sheetDataSet>
      <sheetData sheetId="0"/>
      <sheetData sheetId="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四月份月报"/>
    </sheetNames>
    <sheetDataSet>
      <sheetData sheetId="0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行政区划"/>
    </sheetNames>
    <sheetDataSet>
      <sheetData sheetId="0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录入表"/>
      <sheetName val="人员信息录入表"/>
      <sheetName val="基础编码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2002年一般预算收入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</sheetNames>
    <sheetDataSet>
      <sheetData sheetId="0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中小学生"/>
    </sheetNames>
    <sheetDataSet>
      <sheetData sheetId="0"/>
      <sheetData sheetId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总人口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"/>
      <sheetName val="00000ppy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本年收入合计"/>
      <sheetName val="01.增值税"/>
      <sheetName val="03.营业税"/>
      <sheetName val="04.企业所得税"/>
      <sheetName val="07.个人所得税"/>
      <sheetName val="08.资源税"/>
      <sheetName val="09.投调税"/>
      <sheetName val="10.城建税"/>
      <sheetName val="11.房产税"/>
      <sheetName val="12.印花税"/>
      <sheetName val="13.城镇土地使用税"/>
      <sheetName val="14.土地增值税"/>
      <sheetName val="15.车船使用和牌照税"/>
      <sheetName val="25.屠宰税"/>
      <sheetName val="30.农业税"/>
      <sheetName val="31.烟叶农特税"/>
      <sheetName val="33.耕地占用税"/>
      <sheetName val="34.契税"/>
      <sheetName val="40.经营收益"/>
      <sheetName val="41.亏损补贴"/>
      <sheetName val="42.行政性收费"/>
      <sheetName val="43.罚没收入"/>
      <sheetName val="70.专项收入"/>
      <sheetName val="71.其他收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月报"/>
      <sheetName val="1月报"/>
      <sheetName val="2月报"/>
      <sheetName val="3月报"/>
      <sheetName val="4月报"/>
      <sheetName val="5月报"/>
      <sheetName val="6月报"/>
      <sheetName val="7月报"/>
      <sheetName val="8月报"/>
      <sheetName val="9月报"/>
      <sheetName val="10月报"/>
      <sheetName val="11月报"/>
      <sheetName val="12月报"/>
      <sheetName val="汇总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财政供养人员增幅"/>
    </sheetNames>
    <sheetDataSet>
      <sheetData sheetId="0"/>
      <sheetData sheetId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村级支出"/>
    </sheetNames>
    <sheetDataSet>
      <sheetData sheetId="0"/>
      <sheetData sheetId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Sheet3"/>
      <sheetName val="Sheet4"/>
      <sheetName val="laroux"/>
      <sheetName val="评估结果汇总表"/>
      <sheetName val="评估分类汇总表"/>
      <sheetName val="流动资产汇总表"/>
      <sheetName val="4货币现金"/>
      <sheetName val="5银行存款"/>
      <sheetName val="11应收帐款"/>
      <sheetName val="14预付帐"/>
      <sheetName val="16其他应收"/>
      <sheetName val="存货汇总"/>
      <sheetName val="23产成品 "/>
      <sheetName val="长期投资汇总表"/>
      <sheetName val="其他投资"/>
      <sheetName val="固定资产汇总表"/>
      <sheetName val="38房屋建筑"/>
      <sheetName val="41机器设备"/>
      <sheetName val="42车辆"/>
      <sheetName val="流动负债汇总表"/>
      <sheetName val="58应付帐"/>
      <sheetName val="61其他应付"/>
      <sheetName val="62应付工资"/>
      <sheetName val="63应付福利费"/>
      <sheetName val="64应交税金"/>
      <sheetName val="应付利润"/>
      <sheetName val="其他应交款"/>
      <sheetName val="长期负债汇总表"/>
      <sheetName val="在建"/>
      <sheetName val=""/>
      <sheetName val="13 铁路配件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目录"/>
      <sheetName val="A01"/>
      <sheetName val="A02"/>
      <sheetName val="A03"/>
      <sheetName val="A04"/>
      <sheetName val="A05"/>
      <sheetName val="A06"/>
      <sheetName val="A0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I24"/>
  <sheetViews>
    <sheetView zoomScale="90" zoomScaleNormal="90" workbookViewId="0">
      <selection activeCell="H34" sqref="H34"/>
    </sheetView>
  </sheetViews>
  <sheetFormatPr defaultColWidth="9" defaultRowHeight="14.25"/>
  <cols>
    <col min="1" max="1" width="32.375" style="557" customWidth="1"/>
    <col min="2" max="2" width="12" style="557" customWidth="1"/>
    <col min="3" max="3" width="10.625" style="557" customWidth="1"/>
    <col min="4" max="4" width="12.125" style="524" customWidth="1"/>
    <col min="5" max="5" width="10.625" style="557" customWidth="1"/>
    <col min="6" max="6" width="9" style="557"/>
    <col min="7" max="7" width="10.5" style="557" customWidth="1"/>
    <col min="8" max="8" width="9.75" style="557" customWidth="1"/>
    <col min="9" max="9" width="11.75" style="557" customWidth="1"/>
    <col min="10" max="16384" width="9" style="557"/>
  </cols>
  <sheetData>
    <row r="1" ht="28.5" customHeight="1" spans="1:9">
      <c r="A1" s="527" t="s">
        <v>155</v>
      </c>
      <c r="B1" s="527"/>
      <c r="C1" s="527"/>
      <c r="D1" s="527"/>
      <c r="E1" s="527"/>
    </row>
    <row r="2" ht="19.5" customHeight="1" spans="1:9">
      <c r="A2" s="612"/>
      <c r="B2" s="612"/>
      <c r="C2" s="612"/>
      <c r="D2" s="613" t="s">
        <v>39</v>
      </c>
      <c r="E2" s="614"/>
    </row>
    <row r="3" ht="35.25" customHeight="1" spans="1:9">
      <c r="A3" s="615" t="s">
        <v>40</v>
      </c>
      <c r="B3" s="572" t="s">
        <v>81</v>
      </c>
      <c r="C3" s="573" t="s">
        <v>82</v>
      </c>
      <c r="D3" s="430" t="s">
        <v>83</v>
      </c>
      <c r="E3" s="573" t="s">
        <v>82</v>
      </c>
      <c r="G3" s="593"/>
      <c r="I3" s="593"/>
    </row>
    <row r="4" ht="20.1" customHeight="1" spans="1:9">
      <c r="A4" s="616" t="s">
        <v>156</v>
      </c>
      <c r="B4" s="576">
        <v>0.152</v>
      </c>
      <c r="C4" s="577">
        <v>-22.7</v>
      </c>
      <c r="D4" s="617">
        <v>0.3229</v>
      </c>
      <c r="E4" s="438">
        <v>-40.4</v>
      </c>
      <c r="G4" s="593"/>
      <c r="I4" s="593"/>
    </row>
    <row r="5" ht="20.1" customHeight="1" spans="1:9">
      <c r="A5" s="580" t="s">
        <v>157</v>
      </c>
      <c r="B5" s="576">
        <v>29.3725</v>
      </c>
      <c r="C5" s="577">
        <v>24.4</v>
      </c>
      <c r="D5" s="617">
        <v>73.2566</v>
      </c>
      <c r="E5" s="438">
        <v>8.7</v>
      </c>
      <c r="G5" s="593"/>
      <c r="I5" s="593"/>
    </row>
    <row r="6" ht="20.1" customHeight="1" spans="1:9">
      <c r="A6" s="580" t="s">
        <v>158</v>
      </c>
      <c r="B6" s="576">
        <v>7.0093</v>
      </c>
      <c r="C6" s="577">
        <v>60.4</v>
      </c>
      <c r="D6" s="617">
        <v>16.5403</v>
      </c>
      <c r="E6" s="438">
        <v>45.2</v>
      </c>
      <c r="G6" s="593"/>
      <c r="I6" s="593"/>
    </row>
    <row r="7" ht="20.1" customHeight="1" spans="1:9">
      <c r="A7" s="580" t="s">
        <v>159</v>
      </c>
      <c r="B7" s="576">
        <v>2.9932</v>
      </c>
      <c r="C7" s="577">
        <v>28.4</v>
      </c>
      <c r="D7" s="617">
        <v>6.5343</v>
      </c>
      <c r="E7" s="438">
        <v>26.9</v>
      </c>
      <c r="G7" s="593"/>
      <c r="I7" s="593"/>
    </row>
    <row r="8" ht="20.1" customHeight="1" spans="1:9">
      <c r="A8" s="580" t="s">
        <v>160</v>
      </c>
      <c r="B8" s="576">
        <v>1.9676</v>
      </c>
      <c r="C8" s="577">
        <v>8.9</v>
      </c>
      <c r="D8" s="617">
        <v>4.4778</v>
      </c>
      <c r="E8" s="438">
        <v>2.7</v>
      </c>
      <c r="G8" s="593"/>
      <c r="I8" s="593"/>
    </row>
    <row r="9" ht="20.1" customHeight="1" spans="1:9">
      <c r="A9" s="580" t="s">
        <v>161</v>
      </c>
      <c r="B9" s="576">
        <v>11.7991</v>
      </c>
      <c r="C9" s="577">
        <v>30.8</v>
      </c>
      <c r="D9" s="617">
        <v>29.7192</v>
      </c>
      <c r="E9" s="438">
        <v>18.8</v>
      </c>
      <c r="G9" s="618"/>
      <c r="I9" s="593"/>
    </row>
    <row r="10" ht="20.1" customHeight="1" spans="1:9">
      <c r="A10" s="580" t="s">
        <v>162</v>
      </c>
      <c r="B10" s="576">
        <v>32.4254</v>
      </c>
      <c r="C10" s="577">
        <v>-3.7</v>
      </c>
      <c r="D10" s="617">
        <v>87.865</v>
      </c>
      <c r="E10" s="438">
        <v>-4.7</v>
      </c>
      <c r="G10" s="593"/>
      <c r="I10" s="593"/>
    </row>
    <row r="11" ht="20.1" customHeight="1" spans="1:9">
      <c r="A11" s="580" t="s">
        <v>163</v>
      </c>
      <c r="B11" s="576">
        <v>0.1958</v>
      </c>
      <c r="C11" s="577">
        <v>85.2</v>
      </c>
      <c r="D11" s="617">
        <v>0.5704</v>
      </c>
      <c r="E11" s="438">
        <v>78</v>
      </c>
      <c r="G11" s="593"/>
      <c r="I11" s="593"/>
    </row>
    <row r="12" ht="20.1" customHeight="1" spans="1:9">
      <c r="A12" s="580" t="s">
        <v>164</v>
      </c>
      <c r="B12" s="576">
        <v>4.911</v>
      </c>
      <c r="C12" s="577">
        <v>10.4</v>
      </c>
      <c r="D12" s="617">
        <v>10.3406</v>
      </c>
      <c r="E12" s="438">
        <v>8.1</v>
      </c>
      <c r="G12" s="593"/>
      <c r="I12" s="593"/>
    </row>
    <row r="13" ht="20.1" customHeight="1" spans="1:9">
      <c r="A13" s="580" t="s">
        <v>165</v>
      </c>
      <c r="B13" s="576">
        <v>0.4683</v>
      </c>
      <c r="C13" s="577">
        <v>8.9</v>
      </c>
      <c r="D13" s="617">
        <v>1.0673</v>
      </c>
      <c r="E13" s="438">
        <v>-2</v>
      </c>
      <c r="G13" s="593"/>
      <c r="I13" s="593"/>
    </row>
    <row r="14" ht="20.1" customHeight="1" spans="1:9">
      <c r="A14" s="583" t="s">
        <v>166</v>
      </c>
      <c r="B14" s="576">
        <v>1.5976</v>
      </c>
      <c r="C14" s="619">
        <v>-47.4</v>
      </c>
      <c r="D14" s="617">
        <v>3.0999</v>
      </c>
      <c r="E14" s="438">
        <v>-58.4</v>
      </c>
      <c r="G14" s="593"/>
      <c r="I14" s="593"/>
    </row>
    <row r="15" ht="20.1" customHeight="1" spans="1:9">
      <c r="A15" s="583" t="s">
        <v>167</v>
      </c>
      <c r="B15" s="576">
        <v>0.5349</v>
      </c>
      <c r="C15" s="619">
        <v>4.3</v>
      </c>
      <c r="D15" s="617">
        <v>1.7041</v>
      </c>
      <c r="E15" s="438">
        <v>3.9</v>
      </c>
      <c r="G15" s="593"/>
      <c r="I15" s="593"/>
    </row>
    <row r="16" ht="20.1" customHeight="1" spans="1:9">
      <c r="A16" s="580" t="s">
        <v>168</v>
      </c>
      <c r="B16" s="576">
        <v>0.1675</v>
      </c>
      <c r="C16" s="577">
        <v>-4.4</v>
      </c>
      <c r="D16" s="617">
        <v>0.5825</v>
      </c>
      <c r="E16" s="438">
        <v>-5.3</v>
      </c>
      <c r="G16" s="593"/>
      <c r="I16" s="593"/>
    </row>
    <row r="17" ht="20.1" customHeight="1" spans="1:9">
      <c r="A17" s="580" t="s">
        <v>169</v>
      </c>
      <c r="B17" s="576">
        <v>15.9357</v>
      </c>
      <c r="C17" s="577">
        <v>-3.5</v>
      </c>
      <c r="D17" s="617">
        <v>35.3021</v>
      </c>
      <c r="E17" s="438">
        <v>8.1</v>
      </c>
      <c r="F17" s="157"/>
      <c r="G17" s="597"/>
      <c r="I17" s="593"/>
    </row>
    <row r="18" ht="20.1" customHeight="1" spans="1:9">
      <c r="A18" s="580" t="s">
        <v>170</v>
      </c>
      <c r="B18" s="576">
        <v>0.515</v>
      </c>
      <c r="C18" s="577">
        <v>-25.5</v>
      </c>
      <c r="D18" s="617">
        <v>1.087</v>
      </c>
      <c r="E18" s="438">
        <v>-31</v>
      </c>
      <c r="F18" s="157"/>
      <c r="G18" s="593"/>
      <c r="I18" s="593"/>
    </row>
    <row r="19" ht="20.1" customHeight="1" spans="1:9">
      <c r="A19" s="580" t="s">
        <v>171</v>
      </c>
      <c r="B19" s="576">
        <v>0.0979</v>
      </c>
      <c r="C19" s="577">
        <v>223.5</v>
      </c>
      <c r="D19" s="617">
        <v>0.1506</v>
      </c>
      <c r="E19" s="438">
        <v>45.3</v>
      </c>
      <c r="F19" s="157"/>
      <c r="G19" s="593"/>
      <c r="I19" s="593"/>
    </row>
    <row r="20" ht="20.1" customHeight="1" spans="1:9">
      <c r="A20" s="580" t="s">
        <v>172</v>
      </c>
      <c r="B20" s="576">
        <v>1.6082</v>
      </c>
      <c r="C20" s="577">
        <v>-11.7</v>
      </c>
      <c r="D20" s="617">
        <v>4.0479</v>
      </c>
      <c r="E20" s="438">
        <v>-7.7</v>
      </c>
      <c r="G20" s="593"/>
      <c r="I20" s="593"/>
    </row>
    <row r="21" ht="20.1" customHeight="1" spans="1:9">
      <c r="A21" s="580" t="s">
        <v>173</v>
      </c>
      <c r="B21" s="576">
        <v>0.3238</v>
      </c>
      <c r="C21" s="577">
        <v>98.7</v>
      </c>
      <c r="D21" s="617">
        <v>0.6046</v>
      </c>
      <c r="E21" s="438">
        <v>7.5</v>
      </c>
      <c r="G21" s="593"/>
      <c r="I21" s="593"/>
    </row>
    <row r="22" ht="20.1" customHeight="1" spans="1:9">
      <c r="A22" s="580" t="s">
        <v>174</v>
      </c>
      <c r="B22" s="576">
        <v>9.8329</v>
      </c>
      <c r="C22" s="577">
        <v>5.4</v>
      </c>
      <c r="D22" s="617">
        <v>31.1693</v>
      </c>
      <c r="E22" s="438">
        <v>3.6</v>
      </c>
      <c r="G22" s="593"/>
      <c r="I22" s="593"/>
    </row>
    <row r="23" ht="20.1" customHeight="1" spans="1:9">
      <c r="A23" s="580" t="s">
        <v>175</v>
      </c>
      <c r="B23" s="576">
        <v>0.7249</v>
      </c>
      <c r="C23" s="577">
        <v>2.3</v>
      </c>
      <c r="D23" s="617">
        <v>1.8003</v>
      </c>
      <c r="E23" s="438">
        <v>16</v>
      </c>
      <c r="G23" s="593"/>
      <c r="I23" s="593"/>
    </row>
    <row r="24" ht="20.1" customHeight="1" spans="1:9">
      <c r="A24" s="587" t="s">
        <v>176</v>
      </c>
      <c r="B24" s="589">
        <v>0.6208</v>
      </c>
      <c r="C24" s="590">
        <v>14.6</v>
      </c>
      <c r="D24" s="620">
        <v>1.8311</v>
      </c>
      <c r="E24" s="449">
        <v>9.2</v>
      </c>
      <c r="G24" s="593"/>
      <c r="I24" s="593"/>
    </row>
  </sheetData>
  <mergeCells count="2">
    <mergeCell ref="A1:E1"/>
    <mergeCell ref="D2:E2"/>
  </mergeCells>
  <pageMargins left="0.75" right="0.75" top="1" bottom="1" header="0.5" footer="0.5"/>
  <pageSetup paperSize="9" orientation="portrait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C00000"/>
  </sheetPr>
  <dimension ref="A1:J21"/>
  <sheetViews>
    <sheetView zoomScale="90" zoomScaleNormal="90" workbookViewId="0">
      <selection activeCell="J27" sqref="J27"/>
    </sheetView>
  </sheetViews>
  <sheetFormatPr defaultColWidth="9" defaultRowHeight="14.25"/>
  <cols>
    <col min="1" max="1" width="25" style="492" customWidth="1"/>
    <col min="2" max="2" width="10.625" style="492" customWidth="1"/>
    <col min="3" max="3" width="12" style="492" customWidth="1"/>
    <col min="4" max="4" width="10.625" style="492" customWidth="1"/>
    <col min="5" max="5" width="12.125" style="570" customWidth="1"/>
    <col min="6" max="6" width="10.625" style="492" customWidth="1"/>
    <col min="7" max="7" width="9" style="492"/>
    <col min="8" max="8" width="10.5" style="492" customWidth="1"/>
    <col min="9" max="9" width="9.75" style="492" customWidth="1"/>
    <col min="10" max="10" width="11.75" style="492" customWidth="1"/>
    <col min="11" max="16384" width="9" style="492"/>
  </cols>
  <sheetData>
    <row r="1" ht="28.5" customHeight="1" spans="1:10">
      <c r="A1" s="558" t="s">
        <v>177</v>
      </c>
      <c r="B1" s="527"/>
      <c r="C1" s="527"/>
      <c r="D1" s="527"/>
      <c r="E1" s="571"/>
      <c r="F1" s="571"/>
    </row>
    <row r="2" ht="35.25" customHeight="1" spans="1:10">
      <c r="A2" s="572" t="s">
        <v>40</v>
      </c>
      <c r="B2" s="572" t="s">
        <v>108</v>
      </c>
      <c r="C2" s="572" t="s">
        <v>81</v>
      </c>
      <c r="D2" s="573" t="s">
        <v>82</v>
      </c>
      <c r="E2" s="430" t="s">
        <v>83</v>
      </c>
      <c r="F2" s="573" t="s">
        <v>82</v>
      </c>
      <c r="H2" s="510"/>
      <c r="J2" s="510"/>
    </row>
    <row r="3" ht="21" customHeight="1" spans="1:10">
      <c r="A3" s="511" t="s">
        <v>178</v>
      </c>
      <c r="B3" s="505" t="s">
        <v>70</v>
      </c>
      <c r="C3" s="600">
        <v>0.0888</v>
      </c>
      <c r="D3" s="601">
        <v>-67.2</v>
      </c>
      <c r="E3" s="600">
        <v>0.2848</v>
      </c>
      <c r="F3" s="438">
        <v>-25.6</v>
      </c>
      <c r="H3" s="510"/>
      <c r="J3" s="510"/>
    </row>
    <row r="4" ht="21" customHeight="1" spans="1:10">
      <c r="A4" s="511" t="s">
        <v>179</v>
      </c>
      <c r="B4" s="505" t="s">
        <v>70</v>
      </c>
      <c r="C4" s="600">
        <v>22.1852</v>
      </c>
      <c r="D4" s="601">
        <v>21.6</v>
      </c>
      <c r="E4" s="600">
        <v>61.1488</v>
      </c>
      <c r="F4" s="438">
        <v>22.5</v>
      </c>
      <c r="H4" s="510"/>
      <c r="J4" s="510"/>
    </row>
    <row r="5" ht="21" customHeight="1" spans="1:10">
      <c r="A5" s="511" t="s">
        <v>180</v>
      </c>
      <c r="B5" s="505" t="s">
        <v>70</v>
      </c>
      <c r="C5" s="600">
        <v>7.1025</v>
      </c>
      <c r="D5" s="601">
        <v>57.4</v>
      </c>
      <c r="E5" s="600">
        <v>15.4413</v>
      </c>
      <c r="F5" s="438">
        <v>62.6</v>
      </c>
      <c r="H5" s="510"/>
      <c r="J5" s="510"/>
    </row>
    <row r="6" ht="21" customHeight="1" spans="1:10">
      <c r="A6" s="511" t="s">
        <v>181</v>
      </c>
      <c r="B6" s="505" t="s">
        <v>70</v>
      </c>
      <c r="C6" s="600">
        <v>0.5967</v>
      </c>
      <c r="D6" s="601">
        <v>19</v>
      </c>
      <c r="E6" s="600">
        <v>1.5288</v>
      </c>
      <c r="F6" s="438">
        <v>-4.1</v>
      </c>
      <c r="H6" s="510"/>
      <c r="J6" s="510"/>
    </row>
    <row r="7" ht="21" customHeight="1" spans="1:10">
      <c r="A7" s="511" t="s">
        <v>182</v>
      </c>
      <c r="B7" s="505" t="s">
        <v>70</v>
      </c>
      <c r="C7" s="600">
        <v>1.1314</v>
      </c>
      <c r="D7" s="601">
        <v>-7.6</v>
      </c>
      <c r="E7" s="600">
        <v>3.6123</v>
      </c>
      <c r="F7" s="438">
        <v>-7.3</v>
      </c>
      <c r="H7" s="510"/>
      <c r="J7" s="510"/>
    </row>
    <row r="8" ht="21" customHeight="1" spans="1:10">
      <c r="A8" s="499" t="s">
        <v>183</v>
      </c>
      <c r="B8" s="505" t="s">
        <v>70</v>
      </c>
      <c r="C8" s="600">
        <v>14.6461</v>
      </c>
      <c r="D8" s="602">
        <v>-16.4</v>
      </c>
      <c r="E8" s="600">
        <v>57.8901</v>
      </c>
      <c r="F8" s="438">
        <v>-5.7</v>
      </c>
      <c r="H8" s="510"/>
      <c r="J8" s="510"/>
    </row>
    <row r="9" ht="21" customHeight="1" spans="1:10">
      <c r="A9" s="511" t="s">
        <v>184</v>
      </c>
      <c r="B9" s="505" t="s">
        <v>70</v>
      </c>
      <c r="C9" s="600">
        <v>0.5242</v>
      </c>
      <c r="D9" s="601">
        <v>-29.2</v>
      </c>
      <c r="E9" s="600">
        <v>1.5111</v>
      </c>
      <c r="F9" s="438">
        <v>-36.6</v>
      </c>
      <c r="G9" s="512"/>
      <c r="H9" s="586"/>
      <c r="J9" s="510"/>
    </row>
    <row r="10" ht="21" customHeight="1" spans="1:10">
      <c r="A10" s="511" t="s">
        <v>185</v>
      </c>
      <c r="B10" s="505" t="s">
        <v>186</v>
      </c>
      <c r="C10" s="603">
        <v>6763</v>
      </c>
      <c r="D10" s="601">
        <v>-33.3</v>
      </c>
      <c r="E10" s="444">
        <v>25336</v>
      </c>
      <c r="F10" s="438">
        <v>17.7</v>
      </c>
      <c r="H10" s="510"/>
      <c r="J10" s="510"/>
    </row>
    <row r="11" ht="21" customHeight="1" spans="1:10">
      <c r="A11" s="511" t="s">
        <v>187</v>
      </c>
      <c r="B11" s="505" t="s">
        <v>186</v>
      </c>
      <c r="C11" s="603">
        <v>3078</v>
      </c>
      <c r="D11" s="601">
        <v>-74.6</v>
      </c>
      <c r="E11" s="444">
        <v>32748</v>
      </c>
      <c r="F11" s="438">
        <v>-17.8</v>
      </c>
      <c r="H11" s="510"/>
      <c r="J11" s="510"/>
    </row>
    <row r="12" ht="21" customHeight="1" spans="1:10">
      <c r="A12" s="511" t="s">
        <v>188</v>
      </c>
      <c r="B12" s="505" t="s">
        <v>186</v>
      </c>
      <c r="C12" s="603">
        <v>2312</v>
      </c>
      <c r="D12" s="601">
        <v>-27.5</v>
      </c>
      <c r="E12" s="444">
        <v>6562</v>
      </c>
      <c r="F12" s="438">
        <v>-25.9</v>
      </c>
      <c r="H12" s="510"/>
      <c r="J12" s="510"/>
    </row>
    <row r="13" ht="21" customHeight="1" spans="1:10">
      <c r="A13" s="511" t="s">
        <v>189</v>
      </c>
      <c r="B13" s="505" t="s">
        <v>186</v>
      </c>
      <c r="C13" s="603">
        <v>0</v>
      </c>
      <c r="D13" s="601">
        <v>-100</v>
      </c>
      <c r="E13" s="444">
        <v>22618</v>
      </c>
      <c r="F13" s="438">
        <v>-16.2</v>
      </c>
    </row>
    <row r="14" ht="21" customHeight="1" spans="1:10">
      <c r="A14" s="604" t="s">
        <v>190</v>
      </c>
      <c r="B14" s="505" t="s">
        <v>70</v>
      </c>
      <c r="C14" s="600">
        <v>0.1617</v>
      </c>
      <c r="D14" s="601">
        <v>-2.3</v>
      </c>
      <c r="E14" s="600">
        <v>0.3388</v>
      </c>
      <c r="F14" s="605">
        <v>-1.1</v>
      </c>
    </row>
    <row r="15" ht="21" customHeight="1" spans="1:10">
      <c r="A15" s="604" t="s">
        <v>191</v>
      </c>
      <c r="B15" s="505" t="s">
        <v>70</v>
      </c>
      <c r="C15" s="600">
        <v>2.9092</v>
      </c>
      <c r="D15" s="601">
        <v>-14</v>
      </c>
      <c r="E15" s="600">
        <v>9.3527</v>
      </c>
      <c r="F15" s="605">
        <v>-7.7</v>
      </c>
    </row>
    <row r="16" ht="21" customHeight="1" spans="1:10">
      <c r="A16" s="499" t="s">
        <v>192</v>
      </c>
      <c r="B16" s="505" t="s">
        <v>70</v>
      </c>
      <c r="C16" s="600">
        <v>2.6481</v>
      </c>
      <c r="D16" s="602">
        <v>56.3</v>
      </c>
      <c r="E16" s="600">
        <v>5.4266</v>
      </c>
      <c r="F16" s="605">
        <v>24.6</v>
      </c>
    </row>
    <row r="17" ht="21" customHeight="1" spans="1:6">
      <c r="A17" s="499" t="s">
        <v>193</v>
      </c>
      <c r="B17" s="505" t="s">
        <v>194</v>
      </c>
      <c r="C17" s="606">
        <v>7.5</v>
      </c>
      <c r="D17" s="602">
        <v>11.1</v>
      </c>
      <c r="E17" s="606">
        <v>31.0002</v>
      </c>
      <c r="F17" s="605">
        <v>0.9</v>
      </c>
    </row>
    <row r="18" ht="21" customHeight="1" spans="1:6">
      <c r="A18" s="499" t="s">
        <v>195</v>
      </c>
      <c r="B18" s="505" t="s">
        <v>70</v>
      </c>
      <c r="C18" s="600">
        <v>0.1143</v>
      </c>
      <c r="D18" s="602">
        <v>5.1</v>
      </c>
      <c r="E18" s="600">
        <v>0.3095</v>
      </c>
      <c r="F18" s="605">
        <v>10.7</v>
      </c>
    </row>
    <row r="19" ht="21" customHeight="1" spans="1:6">
      <c r="A19" s="499" t="s">
        <v>196</v>
      </c>
      <c r="B19" s="505" t="s">
        <v>197</v>
      </c>
      <c r="C19" s="603">
        <v>7376</v>
      </c>
      <c r="D19" s="602">
        <v>31.5</v>
      </c>
      <c r="E19" s="444">
        <v>12708</v>
      </c>
      <c r="F19" s="605">
        <v>28.8</v>
      </c>
    </row>
    <row r="20" ht="21" customHeight="1" spans="1:6">
      <c r="A20" s="607" t="s">
        <v>198</v>
      </c>
      <c r="B20" s="608" t="s">
        <v>199</v>
      </c>
      <c r="C20" s="609">
        <v>54</v>
      </c>
      <c r="D20" s="610">
        <v>-2.3</v>
      </c>
      <c r="E20" s="448">
        <v>127</v>
      </c>
      <c r="F20" s="611">
        <v>4</v>
      </c>
    </row>
    <row r="21" spans="1:6">
      <c r="A21" s="557"/>
      <c r="B21" s="557"/>
      <c r="C21" s="557"/>
      <c r="D21" s="557"/>
      <c r="E21" s="524"/>
      <c r="F21" s="557"/>
    </row>
  </sheetData>
  <mergeCells count="1">
    <mergeCell ref="A1:F1"/>
  </mergeCells>
  <pageMargins left="0.75" right="0.75" top="1" bottom="1" header="0.5" footer="0.5"/>
  <pageSetup paperSize="9" orientation="portrait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J22"/>
  <sheetViews>
    <sheetView zoomScale="90" zoomScaleNormal="90" workbookViewId="0">
      <selection activeCell="A1" sqref="A1:F22"/>
    </sheetView>
  </sheetViews>
  <sheetFormatPr defaultColWidth="9" defaultRowHeight="14.25"/>
  <cols>
    <col min="1" max="1" width="25" style="557" customWidth="1"/>
    <col min="2" max="2" width="10.625" style="557" customWidth="1"/>
    <col min="3" max="3" width="12" style="557" customWidth="1"/>
    <col min="4" max="4" width="10.625" style="557" customWidth="1"/>
    <col min="5" max="5" width="12.125" style="524" customWidth="1"/>
    <col min="6" max="6" width="10.625" style="557" customWidth="1"/>
    <col min="7" max="7" width="9" style="557"/>
    <col min="8" max="8" width="10.5" style="557" customWidth="1"/>
    <col min="9" max="9" width="9.75" style="557" customWidth="1"/>
    <col min="10" max="10" width="11.75" style="557" customWidth="1"/>
    <col min="11" max="16384" width="9" style="557"/>
  </cols>
  <sheetData>
    <row r="1" ht="28.5" customHeight="1" spans="1:10">
      <c r="A1" s="558" t="s">
        <v>200</v>
      </c>
      <c r="B1" s="527"/>
      <c r="C1" s="527"/>
      <c r="D1" s="527"/>
      <c r="E1" s="571"/>
      <c r="F1" s="571"/>
    </row>
    <row r="2" ht="35.25" customHeight="1" spans="1:10">
      <c r="A2" s="572" t="s">
        <v>40</v>
      </c>
      <c r="B2" s="572" t="s">
        <v>108</v>
      </c>
      <c r="C2" s="572" t="s">
        <v>81</v>
      </c>
      <c r="D2" s="573" t="s">
        <v>82</v>
      </c>
      <c r="E2" s="430" t="s">
        <v>83</v>
      </c>
      <c r="F2" s="573" t="s">
        <v>82</v>
      </c>
      <c r="H2" s="593"/>
      <c r="J2" s="593"/>
    </row>
    <row r="3" ht="18" customHeight="1" spans="1:10">
      <c r="A3" s="574" t="s">
        <v>201</v>
      </c>
      <c r="B3" s="594" t="s">
        <v>70</v>
      </c>
      <c r="C3" s="576">
        <v>5.0858</v>
      </c>
      <c r="D3" s="577">
        <v>16.7</v>
      </c>
      <c r="E3" s="578">
        <v>11.5874</v>
      </c>
      <c r="F3" s="579">
        <v>16.7</v>
      </c>
      <c r="H3" s="593"/>
      <c r="J3" s="593"/>
    </row>
    <row r="4" ht="18" customHeight="1" spans="1:10">
      <c r="A4" s="574" t="s">
        <v>202</v>
      </c>
      <c r="B4" s="594" t="s">
        <v>203</v>
      </c>
      <c r="C4" s="576">
        <v>11.4854</v>
      </c>
      <c r="D4" s="577">
        <v>18.9</v>
      </c>
      <c r="E4" s="578">
        <v>24.9871</v>
      </c>
      <c r="F4" s="579">
        <v>32.4</v>
      </c>
      <c r="H4" s="593"/>
      <c r="J4" s="593"/>
    </row>
    <row r="5" ht="18" customHeight="1" spans="1:10">
      <c r="A5" s="580" t="s">
        <v>204</v>
      </c>
      <c r="B5" s="575" t="s">
        <v>199</v>
      </c>
      <c r="C5" s="576">
        <v>22.6989</v>
      </c>
      <c r="D5" s="595">
        <v>-18.9</v>
      </c>
      <c r="E5" s="578">
        <v>64.4048</v>
      </c>
      <c r="F5" s="579">
        <v>-13.4</v>
      </c>
      <c r="H5" s="593"/>
      <c r="J5" s="593"/>
    </row>
    <row r="6" ht="18" customHeight="1" spans="1:10">
      <c r="A6" s="580" t="s">
        <v>205</v>
      </c>
      <c r="B6" s="594" t="s">
        <v>70</v>
      </c>
      <c r="C6" s="576">
        <v>4.7573</v>
      </c>
      <c r="D6" s="595">
        <v>0.3</v>
      </c>
      <c r="E6" s="578">
        <v>13.4978</v>
      </c>
      <c r="F6" s="579">
        <v>2.9</v>
      </c>
      <c r="H6" s="593"/>
      <c r="J6" s="593"/>
    </row>
    <row r="7" ht="18" customHeight="1" spans="1:10">
      <c r="A7" s="580" t="s">
        <v>206</v>
      </c>
      <c r="B7" s="594" t="s">
        <v>70</v>
      </c>
      <c r="C7" s="576">
        <v>21.0424</v>
      </c>
      <c r="D7" s="595">
        <v>27.8</v>
      </c>
      <c r="E7" s="578">
        <v>47.1123</v>
      </c>
      <c r="F7" s="579">
        <v>25</v>
      </c>
      <c r="H7" s="593"/>
      <c r="J7" s="593"/>
    </row>
    <row r="8" ht="18" customHeight="1" spans="1:10">
      <c r="A8" s="580" t="s">
        <v>207</v>
      </c>
      <c r="B8" s="594" t="s">
        <v>70</v>
      </c>
      <c r="C8" s="576">
        <v>45.6458</v>
      </c>
      <c r="D8" s="595">
        <v>4.2</v>
      </c>
      <c r="E8" s="578">
        <v>128.1964</v>
      </c>
      <c r="F8" s="579">
        <v>4.7</v>
      </c>
      <c r="H8" s="593"/>
      <c r="J8" s="593"/>
    </row>
    <row r="9" ht="18" customHeight="1" spans="1:10">
      <c r="A9" s="580" t="s">
        <v>208</v>
      </c>
      <c r="B9" s="594" t="s">
        <v>70</v>
      </c>
      <c r="C9" s="576">
        <v>15.4279</v>
      </c>
      <c r="D9" s="595">
        <v>6.9</v>
      </c>
      <c r="E9" s="578">
        <v>45.54</v>
      </c>
      <c r="F9" s="579">
        <v>2.9</v>
      </c>
      <c r="H9" s="593"/>
      <c r="J9" s="593"/>
    </row>
    <row r="10" ht="18" customHeight="1" spans="1:10">
      <c r="A10" s="581" t="s">
        <v>209</v>
      </c>
      <c r="B10" s="505" t="s">
        <v>70</v>
      </c>
      <c r="C10" s="576">
        <v>16.3354</v>
      </c>
      <c r="D10" s="595">
        <v>-2.9</v>
      </c>
      <c r="E10" s="578">
        <v>49.9817</v>
      </c>
      <c r="F10" s="579">
        <v>2.3</v>
      </c>
      <c r="H10" s="593"/>
      <c r="J10" s="593"/>
    </row>
    <row r="11" ht="18" customHeight="1" spans="1:10">
      <c r="A11" s="580" t="s">
        <v>210</v>
      </c>
      <c r="B11" s="594" t="s">
        <v>70</v>
      </c>
      <c r="C11" s="576">
        <v>1.5064</v>
      </c>
      <c r="D11" s="595">
        <v>46.7</v>
      </c>
      <c r="E11" s="578">
        <v>3.5438</v>
      </c>
      <c r="F11" s="579">
        <v>177.9</v>
      </c>
      <c r="H11" s="593"/>
      <c r="J11" s="593"/>
    </row>
    <row r="12" ht="18" customHeight="1" spans="1:10">
      <c r="A12" s="580" t="s">
        <v>211</v>
      </c>
      <c r="B12" s="594" t="s">
        <v>70</v>
      </c>
      <c r="C12" s="576">
        <v>0.0917</v>
      </c>
      <c r="D12" s="595">
        <v>-72.1</v>
      </c>
      <c r="E12" s="578">
        <v>0.7914</v>
      </c>
      <c r="F12" s="579">
        <v>-2</v>
      </c>
      <c r="H12" s="593"/>
      <c r="J12" s="593"/>
    </row>
    <row r="13" ht="18" customHeight="1" spans="1:10">
      <c r="A13" s="580" t="s">
        <v>212</v>
      </c>
      <c r="B13" s="594" t="s">
        <v>70</v>
      </c>
      <c r="C13" s="576">
        <v>4.7082</v>
      </c>
      <c r="D13" s="595">
        <v>5.4</v>
      </c>
      <c r="E13" s="578">
        <v>8.2151</v>
      </c>
      <c r="F13" s="579">
        <v>43.6</v>
      </c>
      <c r="H13" s="593"/>
      <c r="J13" s="593"/>
    </row>
    <row r="14" ht="18" customHeight="1" spans="1:10">
      <c r="A14" s="580" t="s">
        <v>213</v>
      </c>
      <c r="B14" s="594" t="s">
        <v>70</v>
      </c>
      <c r="C14" s="576">
        <v>2.8276</v>
      </c>
      <c r="D14" s="595">
        <v>13.5</v>
      </c>
      <c r="E14" s="578">
        <v>7.4003</v>
      </c>
      <c r="F14" s="579">
        <v>-0.1</v>
      </c>
      <c r="H14" s="593"/>
      <c r="J14" s="593"/>
    </row>
    <row r="15" ht="18" customHeight="1" spans="1:10">
      <c r="A15" s="583" t="s">
        <v>214</v>
      </c>
      <c r="B15" s="594" t="s">
        <v>70</v>
      </c>
      <c r="C15" s="576">
        <v>1.3012</v>
      </c>
      <c r="D15" s="596">
        <v>-48.7</v>
      </c>
      <c r="E15" s="578">
        <v>7.5982</v>
      </c>
      <c r="F15" s="579">
        <v>19.6</v>
      </c>
      <c r="H15" s="593"/>
      <c r="J15" s="593"/>
    </row>
    <row r="16" ht="18" customHeight="1" spans="1:10">
      <c r="A16" s="580" t="s">
        <v>215</v>
      </c>
      <c r="B16" s="594" t="s">
        <v>70</v>
      </c>
      <c r="C16" s="576">
        <v>0.0708</v>
      </c>
      <c r="D16" s="595">
        <v>0</v>
      </c>
      <c r="E16" s="578">
        <v>0.2217</v>
      </c>
      <c r="F16" s="579">
        <v>307.5</v>
      </c>
      <c r="H16" s="593"/>
      <c r="J16" s="593"/>
    </row>
    <row r="17" ht="18" customHeight="1" spans="1:10">
      <c r="A17" s="580" t="s">
        <v>216</v>
      </c>
      <c r="B17" s="594" t="s">
        <v>70</v>
      </c>
      <c r="C17" s="576">
        <v>2.1037</v>
      </c>
      <c r="D17" s="595">
        <v>41.7</v>
      </c>
      <c r="E17" s="578">
        <v>4.8404</v>
      </c>
      <c r="F17" s="579">
        <v>28.6</v>
      </c>
      <c r="H17" s="593"/>
      <c r="J17" s="593"/>
    </row>
    <row r="18" ht="18" customHeight="1" spans="1:10">
      <c r="A18" s="580" t="s">
        <v>217</v>
      </c>
      <c r="B18" s="594" t="s">
        <v>70</v>
      </c>
      <c r="C18" s="576">
        <v>3.5322</v>
      </c>
      <c r="D18" s="595">
        <v>114.7</v>
      </c>
      <c r="E18" s="578">
        <v>7.3982</v>
      </c>
      <c r="F18" s="579">
        <v>65.3</v>
      </c>
      <c r="H18" s="593"/>
      <c r="J18" s="593"/>
    </row>
    <row r="19" ht="18" customHeight="1" spans="1:10">
      <c r="A19" s="580" t="s">
        <v>218</v>
      </c>
      <c r="B19" s="594" t="s">
        <v>70</v>
      </c>
      <c r="C19" s="576">
        <v>1.8852</v>
      </c>
      <c r="D19" s="595">
        <v>5.8</v>
      </c>
      <c r="E19" s="578">
        <v>5.1245</v>
      </c>
      <c r="F19" s="579">
        <v>3.3</v>
      </c>
      <c r="H19" s="593"/>
      <c r="J19" s="593"/>
    </row>
    <row r="20" ht="18" customHeight="1" spans="1:10">
      <c r="A20" s="580" t="s">
        <v>219</v>
      </c>
      <c r="B20" s="594" t="s">
        <v>70</v>
      </c>
      <c r="C20" s="576">
        <v>0.1081</v>
      </c>
      <c r="D20" s="595">
        <v>20.7</v>
      </c>
      <c r="E20" s="578">
        <v>0.2319</v>
      </c>
      <c r="F20" s="579">
        <v>13.9</v>
      </c>
      <c r="G20" s="157"/>
      <c r="H20" s="597"/>
      <c r="J20" s="593"/>
    </row>
    <row r="21" ht="18" customHeight="1" spans="1:10">
      <c r="A21" s="580" t="s">
        <v>220</v>
      </c>
      <c r="B21" s="594" t="s">
        <v>70</v>
      </c>
      <c r="C21" s="576">
        <v>0</v>
      </c>
      <c r="D21" s="595">
        <v>0</v>
      </c>
      <c r="E21" s="578">
        <v>0</v>
      </c>
      <c r="F21" s="579">
        <v>0</v>
      </c>
      <c r="G21" s="157"/>
      <c r="H21" s="593"/>
      <c r="J21" s="593"/>
    </row>
    <row r="22" ht="18" customHeight="1" spans="1:10">
      <c r="A22" s="587" t="s">
        <v>221</v>
      </c>
      <c r="B22" s="598" t="s">
        <v>70</v>
      </c>
      <c r="C22" s="589">
        <v>0.0504</v>
      </c>
      <c r="D22" s="599">
        <v>-6.4</v>
      </c>
      <c r="E22" s="591">
        <v>0.1513</v>
      </c>
      <c r="F22" s="592">
        <v>3.2</v>
      </c>
      <c r="G22" s="157"/>
      <c r="H22" s="593"/>
      <c r="J22" s="593"/>
    </row>
  </sheetData>
  <mergeCells count="1">
    <mergeCell ref="A1:F1"/>
  </mergeCells>
  <pageMargins left="0.75" right="0.75" top="1" bottom="1" header="0.5" footer="0.5"/>
  <pageSetup paperSize="9" scale="98" orientation="portrait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J23"/>
  <sheetViews>
    <sheetView zoomScale="90" zoomScaleNormal="90" workbookViewId="0">
      <selection activeCell="A1" sqref="A1:F22"/>
    </sheetView>
  </sheetViews>
  <sheetFormatPr defaultColWidth="9" defaultRowHeight="14.25"/>
  <cols>
    <col min="1" max="1" width="25" style="492" customWidth="1"/>
    <col min="2" max="2" width="10.625" style="492" customWidth="1"/>
    <col min="3" max="3" width="12" style="492" customWidth="1"/>
    <col min="4" max="4" width="10.625" style="492" customWidth="1"/>
    <col min="5" max="5" width="12.125" style="570" customWidth="1"/>
    <col min="6" max="6" width="10.625" style="492" customWidth="1"/>
    <col min="7" max="7" width="9" style="492"/>
    <col min="8" max="8" width="10.5" style="492" customWidth="1"/>
    <col min="9" max="9" width="9.75" style="492" customWidth="1"/>
    <col min="10" max="10" width="11.75" style="492" customWidth="1"/>
    <col min="11" max="16384" width="9" style="492"/>
  </cols>
  <sheetData>
    <row r="1" ht="28.5" customHeight="1" spans="1:10">
      <c r="A1" s="558" t="s">
        <v>222</v>
      </c>
      <c r="B1" s="527"/>
      <c r="C1" s="527"/>
      <c r="D1" s="527"/>
      <c r="E1" s="571"/>
      <c r="F1" s="571"/>
    </row>
    <row r="2" ht="35.25" customHeight="1" spans="1:10">
      <c r="A2" s="572" t="s">
        <v>40</v>
      </c>
      <c r="B2" s="572" t="s">
        <v>108</v>
      </c>
      <c r="C2" s="572" t="s">
        <v>81</v>
      </c>
      <c r="D2" s="573" t="s">
        <v>82</v>
      </c>
      <c r="E2" s="430" t="s">
        <v>83</v>
      </c>
      <c r="F2" s="573" t="s">
        <v>82</v>
      </c>
      <c r="H2" s="510"/>
      <c r="J2" s="510"/>
    </row>
    <row r="3" ht="20.1" customHeight="1" spans="1:10">
      <c r="A3" s="574" t="s">
        <v>223</v>
      </c>
      <c r="B3" s="575" t="s">
        <v>70</v>
      </c>
      <c r="C3" s="576">
        <v>0.9524</v>
      </c>
      <c r="D3" s="577">
        <v>24.2</v>
      </c>
      <c r="E3" s="578">
        <v>2.7268</v>
      </c>
      <c r="F3" s="579">
        <v>-6.2</v>
      </c>
      <c r="H3" s="510"/>
      <c r="J3" s="510"/>
    </row>
    <row r="4" ht="20.1" customHeight="1" spans="1:10">
      <c r="A4" s="574" t="s">
        <v>224</v>
      </c>
      <c r="B4" s="575" t="s">
        <v>70</v>
      </c>
      <c r="C4" s="576">
        <v>0.1789</v>
      </c>
      <c r="D4" s="577">
        <v>-13.3</v>
      </c>
      <c r="E4" s="578">
        <v>0.4415</v>
      </c>
      <c r="F4" s="579">
        <v>6.8</v>
      </c>
      <c r="H4" s="510"/>
      <c r="J4" s="510"/>
    </row>
    <row r="5" ht="20.1" customHeight="1" spans="1:10">
      <c r="A5" s="580" t="s">
        <v>225</v>
      </c>
      <c r="B5" s="575" t="s">
        <v>226</v>
      </c>
      <c r="C5" s="576">
        <v>0</v>
      </c>
      <c r="D5" s="577">
        <v>0</v>
      </c>
      <c r="E5" s="578">
        <v>0</v>
      </c>
      <c r="F5" s="579">
        <v>0</v>
      </c>
      <c r="H5" s="510"/>
      <c r="J5" s="510"/>
    </row>
    <row r="6" ht="20.1" customHeight="1" spans="1:10">
      <c r="A6" s="580" t="s">
        <v>227</v>
      </c>
      <c r="B6" s="575" t="s">
        <v>70</v>
      </c>
      <c r="C6" s="576">
        <v>79.3325</v>
      </c>
      <c r="D6" s="577">
        <v>-7.3</v>
      </c>
      <c r="E6" s="578">
        <v>200.5076</v>
      </c>
      <c r="F6" s="579">
        <v>0.6</v>
      </c>
      <c r="H6" s="510"/>
      <c r="J6" s="510"/>
    </row>
    <row r="7" ht="20.1" customHeight="1" spans="1:10">
      <c r="A7" s="580" t="s">
        <v>228</v>
      </c>
      <c r="B7" s="575" t="s">
        <v>203</v>
      </c>
      <c r="C7" s="576">
        <v>87.1886</v>
      </c>
      <c r="D7" s="577">
        <v>6.7</v>
      </c>
      <c r="E7" s="578">
        <v>225.5164</v>
      </c>
      <c r="F7" s="579">
        <v>17.1</v>
      </c>
      <c r="H7" s="510"/>
      <c r="J7" s="510"/>
    </row>
    <row r="8" ht="20.1" customHeight="1" spans="1:10">
      <c r="A8" s="580" t="s">
        <v>229</v>
      </c>
      <c r="B8" s="575" t="s">
        <v>230</v>
      </c>
      <c r="C8" s="576">
        <v>0.8698</v>
      </c>
      <c r="D8" s="577">
        <v>34.9</v>
      </c>
      <c r="E8" s="578">
        <v>1.8368</v>
      </c>
      <c r="F8" s="579">
        <v>20.5</v>
      </c>
      <c r="H8" s="510"/>
      <c r="J8" s="510"/>
    </row>
    <row r="9" ht="20.1" customHeight="1" spans="1:10">
      <c r="A9" s="580" t="s">
        <v>231</v>
      </c>
      <c r="B9" s="575" t="s">
        <v>70</v>
      </c>
      <c r="C9" s="576">
        <v>0.2314</v>
      </c>
      <c r="D9" s="577">
        <v>31.4</v>
      </c>
      <c r="E9" s="578">
        <v>0.6891</v>
      </c>
      <c r="F9" s="579">
        <v>-24.7</v>
      </c>
      <c r="H9" s="510"/>
      <c r="J9" s="510"/>
    </row>
    <row r="10" ht="20.1" customHeight="1" spans="1:10">
      <c r="A10" s="581" t="s">
        <v>232</v>
      </c>
      <c r="B10" s="582" t="s">
        <v>15</v>
      </c>
      <c r="C10" s="576">
        <v>7.7504</v>
      </c>
      <c r="D10" s="577">
        <v>-10.2</v>
      </c>
      <c r="E10" s="578">
        <v>33.5802</v>
      </c>
      <c r="F10" s="579">
        <v>-54.6</v>
      </c>
      <c r="H10" s="510"/>
      <c r="J10" s="510"/>
    </row>
    <row r="11" ht="20.1" customHeight="1" spans="1:10">
      <c r="A11" s="580" t="s">
        <v>233</v>
      </c>
      <c r="B11" s="575" t="s">
        <v>70</v>
      </c>
      <c r="C11" s="576">
        <v>70.8107</v>
      </c>
      <c r="D11" s="577">
        <v>-1.8</v>
      </c>
      <c r="E11" s="578">
        <v>203.7044</v>
      </c>
      <c r="F11" s="579">
        <v>0.3</v>
      </c>
      <c r="H11" s="510"/>
      <c r="J11" s="510"/>
    </row>
    <row r="12" ht="20.1" customHeight="1" spans="1:10">
      <c r="A12" s="580" t="s">
        <v>234</v>
      </c>
      <c r="B12" s="575" t="s">
        <v>70</v>
      </c>
      <c r="C12" s="576">
        <v>69.7521</v>
      </c>
      <c r="D12" s="577">
        <v>-1.5</v>
      </c>
      <c r="E12" s="578">
        <v>211.2888</v>
      </c>
      <c r="F12" s="579">
        <v>-4.2</v>
      </c>
      <c r="H12" s="510"/>
      <c r="J12" s="510"/>
    </row>
    <row r="13" ht="20.1" customHeight="1" spans="1:10">
      <c r="A13" s="580" t="s">
        <v>235</v>
      </c>
      <c r="B13" s="575" t="s">
        <v>70</v>
      </c>
      <c r="C13" s="576">
        <v>68.2319</v>
      </c>
      <c r="D13" s="577">
        <v>10.7</v>
      </c>
      <c r="E13" s="578">
        <v>204.3392</v>
      </c>
      <c r="F13" s="579">
        <v>5.9</v>
      </c>
      <c r="H13" s="510"/>
      <c r="J13" s="510"/>
    </row>
    <row r="14" ht="20.1" customHeight="1" spans="1:10">
      <c r="A14" s="580" t="s">
        <v>236</v>
      </c>
      <c r="B14" s="575" t="s">
        <v>70</v>
      </c>
      <c r="C14" s="576">
        <v>2.4551</v>
      </c>
      <c r="D14" s="577">
        <v>84</v>
      </c>
      <c r="E14" s="578">
        <v>5.8347</v>
      </c>
      <c r="F14" s="579">
        <v>85</v>
      </c>
      <c r="H14" s="510"/>
      <c r="J14" s="510"/>
    </row>
    <row r="15" ht="20.1" customHeight="1" spans="1:10">
      <c r="A15" s="580" t="s">
        <v>237</v>
      </c>
      <c r="B15" s="575" t="s">
        <v>70</v>
      </c>
      <c r="C15" s="576">
        <v>0.0521</v>
      </c>
      <c r="D15" s="577">
        <v>77.2</v>
      </c>
      <c r="E15" s="578">
        <v>0.1946</v>
      </c>
      <c r="F15" s="579">
        <v>45.1</v>
      </c>
      <c r="H15" s="510"/>
      <c r="J15" s="510"/>
    </row>
    <row r="16" ht="20.1" customHeight="1" spans="1:10">
      <c r="A16" s="583" t="s">
        <v>238</v>
      </c>
      <c r="B16" s="575" t="s">
        <v>70</v>
      </c>
      <c r="C16" s="576">
        <v>0.0741</v>
      </c>
      <c r="D16" s="577">
        <v>-5.4</v>
      </c>
      <c r="E16" s="578">
        <v>0.2028</v>
      </c>
      <c r="F16" s="579">
        <v>-15.5</v>
      </c>
      <c r="H16" s="510"/>
      <c r="J16" s="510"/>
    </row>
    <row r="17" ht="20.1" customHeight="1" spans="1:10">
      <c r="A17" s="580" t="s">
        <v>239</v>
      </c>
      <c r="B17" s="575" t="s">
        <v>240</v>
      </c>
      <c r="C17" s="584">
        <v>15</v>
      </c>
      <c r="D17" s="577">
        <v>-96.4</v>
      </c>
      <c r="E17" s="585">
        <v>40</v>
      </c>
      <c r="F17" s="579">
        <v>-91.9</v>
      </c>
      <c r="H17" s="510"/>
      <c r="J17" s="510"/>
    </row>
    <row r="18" ht="20.1" customHeight="1" spans="1:10">
      <c r="A18" s="580" t="s">
        <v>241</v>
      </c>
      <c r="B18" s="575" t="s">
        <v>242</v>
      </c>
      <c r="C18" s="576">
        <v>0.019</v>
      </c>
      <c r="D18" s="577">
        <v>-36.2</v>
      </c>
      <c r="E18" s="578">
        <v>1.4826</v>
      </c>
      <c r="F18" s="579">
        <v>-97.7</v>
      </c>
      <c r="H18" s="510"/>
      <c r="J18" s="510"/>
    </row>
    <row r="19" ht="20.1" customHeight="1" spans="1:10">
      <c r="A19" s="580" t="s">
        <v>243</v>
      </c>
      <c r="B19" s="575" t="s">
        <v>244</v>
      </c>
      <c r="C19" s="584">
        <v>1060.4827</v>
      </c>
      <c r="D19" s="577">
        <v>14</v>
      </c>
      <c r="E19" s="585">
        <v>2438.8257</v>
      </c>
      <c r="F19" s="579">
        <v>4.7</v>
      </c>
      <c r="H19" s="510"/>
      <c r="J19" s="510"/>
    </row>
    <row r="20" ht="20.1" customHeight="1" spans="1:10">
      <c r="A20" s="580" t="s">
        <v>245</v>
      </c>
      <c r="B20" s="575" t="s">
        <v>246</v>
      </c>
      <c r="C20" s="576">
        <v>13.19</v>
      </c>
      <c r="D20" s="577">
        <v>13.5</v>
      </c>
      <c r="E20" s="578">
        <v>43.4179</v>
      </c>
      <c r="F20" s="579">
        <v>48.4</v>
      </c>
      <c r="G20" s="512"/>
      <c r="H20" s="586"/>
      <c r="J20" s="510"/>
    </row>
    <row r="21" ht="20.1" customHeight="1" spans="1:10">
      <c r="A21" s="580" t="s">
        <v>247</v>
      </c>
      <c r="B21" s="575" t="s">
        <v>32</v>
      </c>
      <c r="C21" s="576">
        <v>14.9361</v>
      </c>
      <c r="D21" s="577">
        <v>-10</v>
      </c>
      <c r="E21" s="578">
        <v>43.2303</v>
      </c>
      <c r="F21" s="579">
        <v>-9.8</v>
      </c>
      <c r="G21" s="512"/>
      <c r="H21" s="510"/>
      <c r="J21" s="510"/>
    </row>
    <row r="22" ht="20.1" customHeight="1" spans="1:10">
      <c r="A22" s="587" t="s">
        <v>248</v>
      </c>
      <c r="B22" s="588" t="s">
        <v>32</v>
      </c>
      <c r="C22" s="589">
        <v>8.0041</v>
      </c>
      <c r="D22" s="590">
        <v>10.4</v>
      </c>
      <c r="E22" s="591">
        <v>28.7809</v>
      </c>
      <c r="F22" s="592">
        <v>16.6</v>
      </c>
      <c r="G22" s="512"/>
      <c r="H22" s="510"/>
      <c r="J22" s="510"/>
    </row>
    <row r="23" spans="1:10">
      <c r="A23" s="557"/>
      <c r="B23" s="557"/>
      <c r="C23" s="557"/>
      <c r="D23" s="557"/>
      <c r="E23" s="524"/>
      <c r="F23" s="557"/>
    </row>
  </sheetData>
  <mergeCells count="1">
    <mergeCell ref="A1:F1"/>
  </mergeCells>
  <pageMargins left="0.75" right="0.75" top="1" bottom="1" header="0.5" footer="0.5"/>
  <pageSetup paperSize="9" orientation="portrait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C15"/>
  <sheetViews>
    <sheetView zoomScale="90" zoomScaleNormal="90" workbookViewId="0">
      <selection activeCell="F19" sqref="F19"/>
    </sheetView>
  </sheetViews>
  <sheetFormatPr defaultColWidth="9" defaultRowHeight="14.25" outlineLevelCol="2"/>
  <cols>
    <col min="1" max="1" width="46.25" style="557" customWidth="1"/>
    <col min="2" max="3" width="14.5" style="525" customWidth="1"/>
    <col min="4" max="16384" width="9" style="557"/>
  </cols>
  <sheetData>
    <row r="1" ht="28.5" customHeight="1" spans="1:3">
      <c r="A1" s="558" t="s">
        <v>249</v>
      </c>
      <c r="B1" s="527"/>
      <c r="C1" s="527"/>
    </row>
    <row r="2" ht="23" customHeight="1" spans="1:3">
      <c r="A2" s="559"/>
      <c r="B2" s="221" t="s">
        <v>250</v>
      </c>
      <c r="C2" s="221"/>
    </row>
    <row r="3" ht="40.5" customHeight="1" spans="1:3">
      <c r="A3" s="560" t="s">
        <v>40</v>
      </c>
      <c r="B3" s="92" t="s">
        <v>83</v>
      </c>
      <c r="C3" s="561" t="s">
        <v>6</v>
      </c>
    </row>
    <row r="4" s="556" customFormat="1" ht="30" customHeight="1" spans="1:3">
      <c r="A4" s="562" t="s">
        <v>251</v>
      </c>
      <c r="B4" s="563">
        <v>278.71</v>
      </c>
      <c r="C4" s="235">
        <v>-3.8</v>
      </c>
    </row>
    <row r="5" s="556" customFormat="1" ht="30" customHeight="1" spans="1:3">
      <c r="A5" s="562" t="s">
        <v>252</v>
      </c>
      <c r="B5" s="563">
        <v>11.84</v>
      </c>
      <c r="C5" s="235">
        <v>15.1</v>
      </c>
    </row>
    <row r="6" ht="30" customHeight="1" spans="1:3">
      <c r="A6" s="562" t="s">
        <v>253</v>
      </c>
      <c r="B6" s="563">
        <v>225.14</v>
      </c>
      <c r="C6" s="235">
        <v>-2.4</v>
      </c>
    </row>
    <row r="7" ht="30" customHeight="1" spans="1:3">
      <c r="A7" s="564" t="s">
        <v>254</v>
      </c>
      <c r="B7" s="563">
        <v>41.73</v>
      </c>
      <c r="C7" s="235">
        <v>-14.8</v>
      </c>
    </row>
    <row r="8" ht="30" customHeight="1" spans="1:3">
      <c r="A8" s="564" t="s">
        <v>255</v>
      </c>
      <c r="B8" s="563">
        <v>216.89</v>
      </c>
      <c r="C8" s="235">
        <v>-4.8</v>
      </c>
    </row>
    <row r="9" ht="30" customHeight="1" spans="1:3">
      <c r="A9" s="564" t="s">
        <v>256</v>
      </c>
      <c r="B9" s="563">
        <v>20.06</v>
      </c>
      <c r="C9" s="235">
        <v>0.2</v>
      </c>
    </row>
    <row r="10" ht="30" customHeight="1" spans="1:3">
      <c r="A10" s="564" t="s">
        <v>257</v>
      </c>
      <c r="B10" s="563">
        <v>0.94</v>
      </c>
      <c r="C10" s="235">
        <v>32.1</v>
      </c>
    </row>
    <row r="11" ht="30" customHeight="1" spans="1:3">
      <c r="A11" s="564" t="s">
        <v>258</v>
      </c>
      <c r="B11" s="563">
        <v>8.34</v>
      </c>
      <c r="C11" s="235">
        <v>-5.1</v>
      </c>
    </row>
    <row r="12" ht="30" customHeight="1" spans="1:3">
      <c r="A12" s="564" t="s">
        <v>259</v>
      </c>
      <c r="B12" s="563">
        <v>146.13</v>
      </c>
      <c r="C12" s="235">
        <v>-2.4</v>
      </c>
    </row>
    <row r="13" ht="30" customHeight="1" spans="1:3">
      <c r="A13" s="565" t="s">
        <v>260</v>
      </c>
      <c r="B13" s="563">
        <v>0.02</v>
      </c>
      <c r="C13" s="235">
        <v>57.9</v>
      </c>
    </row>
    <row r="14" ht="30" customHeight="1" spans="1:3">
      <c r="A14" s="565" t="s">
        <v>261</v>
      </c>
      <c r="B14" s="566">
        <v>41.41</v>
      </c>
      <c r="C14" s="567">
        <v>-14.9</v>
      </c>
    </row>
    <row r="15" ht="25.5" customHeight="1" spans="1:3">
      <c r="A15" s="568" t="s">
        <v>262</v>
      </c>
      <c r="B15" s="568"/>
      <c r="C15" s="569"/>
    </row>
  </sheetData>
  <mergeCells count="3">
    <mergeCell ref="A1:C1"/>
    <mergeCell ref="B2:C2"/>
    <mergeCell ref="A15:C15"/>
  </mergeCells>
  <pageMargins left="0.75" right="0.75" top="1" bottom="1" header="0.5" footer="0.5"/>
  <pageSetup paperSize="9" orientation="portrait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C00000"/>
  </sheetPr>
  <dimension ref="A1:H16"/>
  <sheetViews>
    <sheetView zoomScale="90" zoomScaleNormal="90" workbookViewId="0">
      <selection activeCell="C4" sqref="C4"/>
    </sheetView>
  </sheetViews>
  <sheetFormatPr defaultColWidth="9" defaultRowHeight="14.25" outlineLevelCol="7"/>
  <cols>
    <col min="1" max="1" width="29.75" style="241" customWidth="1"/>
    <col min="2" max="2" width="13.375" style="241" customWidth="1"/>
    <col min="3" max="3" width="12.875" style="241" customWidth="1"/>
    <col min="4" max="4" width="13.125" style="241" customWidth="1"/>
    <col min="5" max="16384" width="9" style="241"/>
  </cols>
  <sheetData>
    <row r="1" ht="34.5" customHeight="1" spans="1:8">
      <c r="A1" s="526" t="s">
        <v>263</v>
      </c>
      <c r="B1" s="526"/>
      <c r="C1" s="526"/>
      <c r="D1" s="527"/>
      <c r="E1" s="528"/>
      <c r="F1" s="529"/>
      <c r="G1" s="529"/>
      <c r="H1" s="529"/>
    </row>
    <row r="2" ht="32.25" customHeight="1" spans="1:8">
      <c r="A2" s="457" t="s">
        <v>40</v>
      </c>
      <c r="B2" s="430" t="s">
        <v>108</v>
      </c>
      <c r="C2" s="430" t="s">
        <v>83</v>
      </c>
      <c r="D2" s="457" t="s">
        <v>6</v>
      </c>
      <c r="E2" s="405"/>
      <c r="F2" s="246"/>
      <c r="G2" s="246"/>
      <c r="H2" s="246"/>
    </row>
    <row r="3" ht="29.1" customHeight="1" spans="1:8">
      <c r="A3" s="530" t="s">
        <v>264</v>
      </c>
      <c r="B3" s="531"/>
      <c r="C3" s="532"/>
      <c r="D3" s="533"/>
      <c r="E3" s="405"/>
      <c r="F3" s="246"/>
      <c r="G3" s="246"/>
      <c r="H3" s="246"/>
    </row>
    <row r="4" ht="29.1" customHeight="1" spans="1:8">
      <c r="A4" s="534" t="s">
        <v>265</v>
      </c>
      <c r="B4" s="535" t="s">
        <v>70</v>
      </c>
      <c r="C4" s="536">
        <v>5644</v>
      </c>
      <c r="D4" s="537">
        <v>-1.96</v>
      </c>
      <c r="E4" s="405"/>
      <c r="F4" s="246"/>
      <c r="G4" s="246"/>
      <c r="H4" s="246"/>
    </row>
    <row r="5" ht="29.1" customHeight="1" spans="1:8">
      <c r="A5" s="534" t="s">
        <v>266</v>
      </c>
      <c r="B5" s="538" t="s">
        <v>267</v>
      </c>
      <c r="C5" s="539">
        <v>25.5882</v>
      </c>
      <c r="D5" s="537">
        <v>23.27</v>
      </c>
      <c r="E5" s="284"/>
      <c r="F5" s="284"/>
    </row>
    <row r="6" s="284" customFormat="1" ht="29.1" customHeight="1" spans="1:8">
      <c r="A6" s="540" t="s">
        <v>268</v>
      </c>
      <c r="B6" s="541"/>
      <c r="C6" s="542"/>
      <c r="D6" s="537"/>
    </row>
    <row r="7" ht="29.1" customHeight="1" spans="1:8">
      <c r="A7" s="482" t="s">
        <v>269</v>
      </c>
      <c r="B7" s="535"/>
      <c r="C7" s="542"/>
      <c r="D7" s="537"/>
      <c r="E7" s="543"/>
      <c r="F7" s="543"/>
    </row>
    <row r="8" ht="29.1" customHeight="1" spans="1:8">
      <c r="A8" s="482" t="s">
        <v>270</v>
      </c>
      <c r="B8" s="535" t="s">
        <v>271</v>
      </c>
      <c r="C8" s="544">
        <v>0.325401573459136</v>
      </c>
      <c r="D8" s="545">
        <v>12.4836057697297</v>
      </c>
      <c r="E8" s="546"/>
      <c r="F8" s="543"/>
    </row>
    <row r="9" ht="29.1" customHeight="1" spans="1:8">
      <c r="A9" s="482" t="s">
        <v>272</v>
      </c>
      <c r="B9" s="535" t="s">
        <v>273</v>
      </c>
      <c r="C9" s="544">
        <v>74.1356</v>
      </c>
      <c r="D9" s="545">
        <v>13.1799508946342</v>
      </c>
      <c r="E9" s="284"/>
      <c r="F9" s="543"/>
    </row>
    <row r="10" ht="29.1" customHeight="1" spans="1:8">
      <c r="A10" s="482" t="s">
        <v>274</v>
      </c>
      <c r="B10" s="535" t="s">
        <v>123</v>
      </c>
      <c r="C10" s="547">
        <v>1971</v>
      </c>
      <c r="D10" s="545">
        <v>-8.75</v>
      </c>
      <c r="E10" s="546"/>
      <c r="F10" s="543"/>
    </row>
    <row r="11" ht="29.1" customHeight="1" spans="1:8">
      <c r="A11" s="482" t="s">
        <v>275</v>
      </c>
      <c r="B11" s="535" t="s">
        <v>276</v>
      </c>
      <c r="C11" s="544">
        <v>22.6394</v>
      </c>
      <c r="D11" s="545">
        <v>-7.97403368142075</v>
      </c>
      <c r="E11" s="548"/>
      <c r="F11" s="548"/>
    </row>
    <row r="12" ht="29.1" customHeight="1" spans="1:8">
      <c r="A12" s="482" t="s">
        <v>277</v>
      </c>
      <c r="B12" s="541"/>
      <c r="C12" s="549"/>
      <c r="D12" s="550"/>
      <c r="E12" s="543"/>
      <c r="F12" s="543"/>
    </row>
    <row r="13" ht="29.1" customHeight="1" spans="1:8">
      <c r="A13" s="482" t="s">
        <v>270</v>
      </c>
      <c r="B13" s="535" t="s">
        <v>70</v>
      </c>
      <c r="C13" s="551">
        <v>1070.5426547</v>
      </c>
      <c r="D13" s="537">
        <v>11.5098883820597</v>
      </c>
      <c r="E13" s="546"/>
      <c r="F13" s="543"/>
    </row>
    <row r="14" ht="29.1" customHeight="1" spans="1:8">
      <c r="A14" s="482" t="s">
        <v>272</v>
      </c>
      <c r="B14" s="535" t="s">
        <v>273</v>
      </c>
      <c r="C14" s="552">
        <v>42.10413307857</v>
      </c>
      <c r="D14" s="537">
        <v>1.52966162753991</v>
      </c>
      <c r="E14" s="543"/>
      <c r="F14" s="543"/>
    </row>
    <row r="15" ht="29.1" customHeight="1" spans="1:8">
      <c r="A15" s="482" t="s">
        <v>274</v>
      </c>
      <c r="B15" s="535" t="s">
        <v>123</v>
      </c>
      <c r="C15" s="551">
        <v>272.4616</v>
      </c>
      <c r="D15" s="537">
        <v>4.63170975796523</v>
      </c>
      <c r="E15" s="546"/>
      <c r="F15" s="543"/>
    </row>
    <row r="16" ht="29.1" customHeight="1" spans="1:8">
      <c r="A16" s="446" t="s">
        <v>275</v>
      </c>
      <c r="B16" s="553" t="s">
        <v>276</v>
      </c>
      <c r="C16" s="554">
        <v>0.79380672904</v>
      </c>
      <c r="D16" s="555">
        <v>8.12379416226359</v>
      </c>
      <c r="E16" s="548"/>
      <c r="F16" s="548"/>
    </row>
  </sheetData>
  <mergeCells count="1">
    <mergeCell ref="A1:D1"/>
  </mergeCells>
  <printOptions horizontalCentered="1"/>
  <pageMargins left="0.75" right="0.75" top="0.979166666666667" bottom="0.979166666666667" header="0.509027777777778" footer="0.509027777777778"/>
  <pageSetup paperSize="9" orientation="portrait" blackAndWhite="1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C00000"/>
  </sheetPr>
  <dimension ref="A1:I25"/>
  <sheetViews>
    <sheetView zoomScale="80" zoomScaleNormal="80" workbookViewId="0">
      <selection activeCell="A1" sqref="A1:D24"/>
    </sheetView>
  </sheetViews>
  <sheetFormatPr defaultColWidth="9" defaultRowHeight="14.25"/>
  <cols>
    <col min="1" max="1" width="41.875" style="492" customWidth="1"/>
    <col min="2" max="2" width="11.875" style="492" customWidth="1"/>
    <col min="3" max="4" width="14.5" style="493" customWidth="1"/>
    <col min="5" max="5" width="12.625" style="492" customWidth="1"/>
    <col min="6" max="9" width="14.125" style="492" customWidth="1"/>
    <col min="10" max="16384" width="9" style="492"/>
  </cols>
  <sheetData>
    <row r="1" ht="28.5" customHeight="1" spans="1:9">
      <c r="A1" s="494" t="s">
        <v>278</v>
      </c>
      <c r="B1" s="495"/>
      <c r="C1" s="86"/>
      <c r="D1" s="86"/>
    </row>
    <row r="2" ht="23.1" customHeight="1" spans="1:9">
      <c r="A2" s="496" t="s">
        <v>40</v>
      </c>
      <c r="B2" s="497" t="s">
        <v>2</v>
      </c>
      <c r="C2" s="498" t="s">
        <v>83</v>
      </c>
      <c r="D2" s="496" t="s">
        <v>6</v>
      </c>
    </row>
    <row r="3" s="491" customFormat="1" ht="24.95" customHeight="1" spans="1:9">
      <c r="A3" s="499" t="s">
        <v>279</v>
      </c>
      <c r="B3" s="500" t="s">
        <v>8</v>
      </c>
      <c r="C3" s="501"/>
      <c r="D3" s="502">
        <v>17.6</v>
      </c>
      <c r="F3" s="503"/>
      <c r="G3" s="504"/>
    </row>
    <row r="4" ht="24.95" customHeight="1" spans="1:9">
      <c r="A4" s="499" t="s">
        <v>280</v>
      </c>
      <c r="B4" s="505" t="s">
        <v>8</v>
      </c>
      <c r="C4" s="506"/>
      <c r="D4" s="507">
        <v>26.6</v>
      </c>
      <c r="F4" s="508"/>
      <c r="G4" s="509"/>
      <c r="I4" s="510"/>
    </row>
    <row r="5" ht="24.95" customHeight="1" spans="1:9">
      <c r="A5" s="511" t="s">
        <v>281</v>
      </c>
      <c r="B5" s="505" t="s">
        <v>8</v>
      </c>
      <c r="C5" s="506"/>
      <c r="D5" s="507">
        <v>91.8</v>
      </c>
      <c r="F5" s="512"/>
      <c r="G5" s="509"/>
      <c r="I5" s="510"/>
    </row>
    <row r="6" s="241" customFormat="1" ht="24.95" customHeight="1" spans="1:9">
      <c r="A6" s="511" t="s">
        <v>282</v>
      </c>
      <c r="B6" s="505" t="s">
        <v>8</v>
      </c>
      <c r="C6" s="506"/>
      <c r="D6" s="507">
        <v>7.08207222521664</v>
      </c>
      <c r="E6" s="513"/>
      <c r="F6" s="513"/>
      <c r="G6" s="509"/>
      <c r="I6" s="510"/>
    </row>
    <row r="7" s="491" customFormat="1" ht="24.95" customHeight="1" spans="1:9">
      <c r="A7" s="499" t="s">
        <v>283</v>
      </c>
      <c r="B7" s="505" t="s">
        <v>8</v>
      </c>
      <c r="C7" s="506"/>
      <c r="D7" s="507">
        <v>26.9</v>
      </c>
      <c r="F7" s="503"/>
      <c r="G7" s="514"/>
    </row>
    <row r="8" s="491" customFormat="1" ht="24.95" customHeight="1" spans="1:9">
      <c r="A8" s="515" t="s">
        <v>284</v>
      </c>
      <c r="B8" s="505" t="s">
        <v>8</v>
      </c>
      <c r="C8" s="506"/>
      <c r="D8" s="507">
        <v>4.3</v>
      </c>
      <c r="F8" s="508"/>
    </row>
    <row r="9" s="491" customFormat="1" ht="24.95" customHeight="1" spans="1:9">
      <c r="A9" s="515" t="s">
        <v>285</v>
      </c>
      <c r="B9" s="505" t="s">
        <v>8</v>
      </c>
      <c r="C9" s="506"/>
      <c r="D9" s="507">
        <v>163.9</v>
      </c>
      <c r="F9" s="508"/>
    </row>
    <row r="10" ht="24.95" customHeight="1" spans="1:9">
      <c r="A10" s="511" t="s">
        <v>286</v>
      </c>
      <c r="B10" s="505" t="s">
        <v>8</v>
      </c>
      <c r="C10" s="506"/>
      <c r="D10" s="507">
        <v>19.5</v>
      </c>
      <c r="G10" s="510"/>
      <c r="I10" s="510"/>
    </row>
    <row r="11" ht="24.95" customHeight="1" spans="1:9">
      <c r="A11" s="511" t="s">
        <v>287</v>
      </c>
      <c r="B11" s="505" t="s">
        <v>8</v>
      </c>
      <c r="C11" s="506"/>
      <c r="D11" s="507">
        <v>12.4</v>
      </c>
      <c r="G11" s="510"/>
      <c r="I11" s="510"/>
    </row>
    <row r="12" ht="24.95" customHeight="1" spans="1:9">
      <c r="A12" s="511" t="s">
        <v>288</v>
      </c>
      <c r="B12" s="505" t="s">
        <v>8</v>
      </c>
      <c r="C12" s="506"/>
      <c r="D12" s="507">
        <v>3.1</v>
      </c>
      <c r="G12" s="510"/>
      <c r="I12" s="510"/>
    </row>
    <row r="13" ht="24.95" customHeight="1" spans="1:9">
      <c r="A13" s="511" t="s">
        <v>289</v>
      </c>
      <c r="B13" s="505" t="s">
        <v>8</v>
      </c>
      <c r="C13" s="506"/>
      <c r="D13" s="507">
        <v>15.9</v>
      </c>
      <c r="G13" s="510"/>
      <c r="I13" s="510"/>
    </row>
    <row r="14" ht="24.95" customHeight="1" spans="1:9">
      <c r="A14" s="515" t="s">
        <v>290</v>
      </c>
      <c r="B14" s="505" t="s">
        <v>8</v>
      </c>
      <c r="C14" s="506"/>
      <c r="D14" s="507">
        <v>4.3</v>
      </c>
      <c r="G14" s="510"/>
      <c r="I14" s="510"/>
    </row>
    <row r="15" ht="24.95" customHeight="1" spans="1:9">
      <c r="A15" s="515" t="s">
        <v>291</v>
      </c>
      <c r="B15" s="505" t="s">
        <v>8</v>
      </c>
      <c r="C15" s="506"/>
      <c r="D15" s="507">
        <v>22.3</v>
      </c>
      <c r="G15" s="510"/>
      <c r="I15" s="510"/>
    </row>
    <row r="16" ht="24.95" customHeight="1" spans="1:9">
      <c r="A16" s="515" t="s">
        <v>292</v>
      </c>
      <c r="B16" s="516" t="s">
        <v>111</v>
      </c>
      <c r="C16" s="517">
        <v>434</v>
      </c>
      <c r="D16" s="507">
        <v>19.6</v>
      </c>
      <c r="F16" s="518"/>
      <c r="G16" s="510"/>
      <c r="I16" s="510"/>
    </row>
    <row r="17" ht="24.95" customHeight="1" spans="1:9">
      <c r="A17" s="515" t="s">
        <v>293</v>
      </c>
      <c r="B17" s="516" t="s">
        <v>111</v>
      </c>
      <c r="C17" s="517">
        <v>165</v>
      </c>
      <c r="D17" s="507">
        <v>52.8</v>
      </c>
      <c r="G17" s="510"/>
      <c r="I17" s="510"/>
    </row>
    <row r="18" ht="24.95" customHeight="1" spans="1:9">
      <c r="A18" s="515" t="s">
        <v>294</v>
      </c>
      <c r="B18" s="516" t="s">
        <v>111</v>
      </c>
      <c r="C18" s="517">
        <v>45</v>
      </c>
      <c r="D18" s="507">
        <v>114.3</v>
      </c>
      <c r="G18" s="510"/>
      <c r="I18" s="510"/>
    </row>
    <row r="19" ht="24.95" customHeight="1" spans="1:9">
      <c r="A19" s="515" t="s">
        <v>295</v>
      </c>
      <c r="B19" s="516" t="s">
        <v>15</v>
      </c>
      <c r="C19" s="519">
        <v>2811.3551</v>
      </c>
      <c r="D19" s="507">
        <v>13</v>
      </c>
      <c r="G19" s="510"/>
      <c r="I19" s="510"/>
    </row>
    <row r="20" ht="24.95" customHeight="1" spans="1:9">
      <c r="A20" s="515" t="s">
        <v>296</v>
      </c>
      <c r="B20" s="516" t="s">
        <v>15</v>
      </c>
      <c r="C20" s="519">
        <v>2007.0859</v>
      </c>
      <c r="D20" s="507">
        <v>16.2</v>
      </c>
      <c r="G20" s="510"/>
      <c r="I20" s="510"/>
    </row>
    <row r="21" ht="24.95" customHeight="1" spans="1:9">
      <c r="A21" s="515" t="s">
        <v>297</v>
      </c>
      <c r="B21" s="516" t="s">
        <v>15</v>
      </c>
      <c r="C21" s="519">
        <v>47.1453</v>
      </c>
      <c r="D21" s="507">
        <v>-27.8</v>
      </c>
    </row>
    <row r="22" ht="24.95" customHeight="1" spans="1:9">
      <c r="A22" s="515" t="s">
        <v>296</v>
      </c>
      <c r="B22" s="516" t="s">
        <v>15</v>
      </c>
      <c r="C22" s="519">
        <v>30.6461</v>
      </c>
      <c r="D22" s="507">
        <v>-27.2</v>
      </c>
    </row>
    <row r="23" ht="24.95" customHeight="1" spans="1:9">
      <c r="A23" s="515" t="s">
        <v>298</v>
      </c>
      <c r="B23" s="516" t="s">
        <v>15</v>
      </c>
      <c r="C23" s="519">
        <v>131.1506</v>
      </c>
      <c r="D23" s="507">
        <v>-0.9</v>
      </c>
    </row>
    <row r="24" ht="24.95" customHeight="1" spans="1:9">
      <c r="A24" s="520" t="s">
        <v>299</v>
      </c>
      <c r="B24" s="521" t="s">
        <v>8</v>
      </c>
      <c r="C24" s="522">
        <v>115.9159</v>
      </c>
      <c r="D24" s="523">
        <v>8.8</v>
      </c>
    </row>
    <row r="25" spans="1:9">
      <c r="A25" s="524"/>
      <c r="B25" s="524"/>
      <c r="C25" s="525"/>
      <c r="D25" s="525"/>
    </row>
  </sheetData>
  <mergeCells count="1">
    <mergeCell ref="A1:D1"/>
  </mergeCells>
  <printOptions horizontalCentered="1"/>
  <pageMargins left="0.55" right="0.55" top="0.979166666666667" bottom="0.979166666666667" header="0.509027777777778" footer="0.509027777777778"/>
  <pageSetup paperSize="9" orientation="portrait" blackAndWhite="1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C31"/>
  <sheetViews>
    <sheetView workbookViewId="0">
      <selection activeCell="F16" sqref="F16"/>
    </sheetView>
  </sheetViews>
  <sheetFormatPr defaultColWidth="9" defaultRowHeight="14.25" outlineLevelCol="2"/>
  <cols>
    <col min="1" max="1" width="43.5" style="44" customWidth="1"/>
    <col min="2" max="2" width="17.375" style="44" customWidth="1"/>
    <col min="3" max="3" width="17.125" style="44" customWidth="1"/>
    <col min="4" max="16384" width="9" style="44"/>
  </cols>
  <sheetData>
    <row r="1" ht="28.5" customHeight="1" spans="1:3">
      <c r="A1" s="371" t="s">
        <v>16</v>
      </c>
      <c r="B1" s="371"/>
      <c r="C1" s="371"/>
    </row>
    <row r="2" ht="16.5" customHeight="1" spans="1:3">
      <c r="A2" s="476"/>
      <c r="B2" s="454"/>
      <c r="C2" s="456" t="s">
        <v>39</v>
      </c>
    </row>
    <row r="3" ht="30.75" customHeight="1" spans="1:3">
      <c r="A3" s="477" t="s">
        <v>40</v>
      </c>
      <c r="B3" s="478" t="s">
        <v>83</v>
      </c>
      <c r="C3" s="478" t="s">
        <v>82</v>
      </c>
    </row>
    <row r="4" ht="15.95" customHeight="1" spans="1:3">
      <c r="A4" s="479" t="s">
        <v>300</v>
      </c>
      <c r="B4" s="480">
        <v>445.4616</v>
      </c>
      <c r="C4" s="481">
        <v>8.1</v>
      </c>
    </row>
    <row r="5" ht="15.95" customHeight="1" spans="1:3">
      <c r="A5" s="482" t="s">
        <v>301</v>
      </c>
      <c r="B5" s="483"/>
      <c r="C5" s="484"/>
    </row>
    <row r="6" ht="15.95" customHeight="1" spans="1:3">
      <c r="A6" s="482" t="s">
        <v>302</v>
      </c>
      <c r="B6" s="483">
        <v>360.9519</v>
      </c>
      <c r="C6" s="484">
        <v>8</v>
      </c>
    </row>
    <row r="7" ht="15.95" customHeight="1" spans="1:3">
      <c r="A7" s="482" t="s">
        <v>303</v>
      </c>
      <c r="B7" s="483">
        <v>84.5097</v>
      </c>
      <c r="C7" s="484">
        <v>8.6</v>
      </c>
    </row>
    <row r="8" ht="15.95" customHeight="1" spans="1:3">
      <c r="A8" s="482" t="s">
        <v>304</v>
      </c>
      <c r="B8" s="483"/>
      <c r="C8" s="484"/>
    </row>
    <row r="9" ht="15.95" customHeight="1" spans="1:3">
      <c r="A9" s="482" t="s">
        <v>305</v>
      </c>
      <c r="B9" s="483">
        <v>394.7316</v>
      </c>
      <c r="C9" s="484">
        <v>8.1</v>
      </c>
    </row>
    <row r="10" ht="15.95" customHeight="1" spans="1:3">
      <c r="A10" s="482" t="s">
        <v>306</v>
      </c>
      <c r="B10" s="483">
        <v>50.7299</v>
      </c>
      <c r="C10" s="484">
        <v>8.2</v>
      </c>
    </row>
    <row r="11" ht="15.95" customHeight="1" spans="1:3">
      <c r="A11" s="485" t="s">
        <v>307</v>
      </c>
      <c r="B11" s="483">
        <v>57.5641</v>
      </c>
      <c r="C11" s="484">
        <v>5.3</v>
      </c>
    </row>
    <row r="12" ht="15.95" customHeight="1" spans="1:3">
      <c r="A12" s="482" t="s">
        <v>308</v>
      </c>
      <c r="B12" s="483">
        <v>10.2064</v>
      </c>
      <c r="C12" s="484">
        <v>11.5</v>
      </c>
    </row>
    <row r="13" ht="15.95" customHeight="1" spans="1:3">
      <c r="A13" s="482" t="s">
        <v>309</v>
      </c>
      <c r="B13" s="483">
        <v>0.7038</v>
      </c>
      <c r="C13" s="484">
        <v>-4.1</v>
      </c>
    </row>
    <row r="14" ht="15.95" customHeight="1" spans="1:3">
      <c r="A14" s="482" t="s">
        <v>310</v>
      </c>
      <c r="B14" s="483">
        <v>0.3906</v>
      </c>
      <c r="C14" s="484">
        <v>1.9</v>
      </c>
    </row>
    <row r="15" ht="15.95" customHeight="1" spans="1:3">
      <c r="A15" s="482" t="s">
        <v>311</v>
      </c>
      <c r="B15" s="483">
        <v>0.4894</v>
      </c>
      <c r="C15" s="484">
        <v>1.2</v>
      </c>
    </row>
    <row r="16" ht="15.95" customHeight="1" spans="1:3">
      <c r="A16" s="486" t="s">
        <v>312</v>
      </c>
      <c r="B16" s="483">
        <v>1.9762</v>
      </c>
      <c r="C16" s="484">
        <v>10.9</v>
      </c>
    </row>
    <row r="17" ht="15.95" customHeight="1" spans="1:3">
      <c r="A17" s="487" t="s">
        <v>313</v>
      </c>
      <c r="B17" s="483">
        <v>0.2035</v>
      </c>
      <c r="C17" s="484">
        <v>-42.1</v>
      </c>
    </row>
    <row r="18" ht="15.95" customHeight="1" spans="1:3">
      <c r="A18" s="487" t="s">
        <v>314</v>
      </c>
      <c r="B18" s="483">
        <v>0.028</v>
      </c>
      <c r="C18" s="484">
        <v>45.4</v>
      </c>
    </row>
    <row r="19" ht="15.95" customHeight="1" spans="1:3">
      <c r="A19" s="487" t="s">
        <v>315</v>
      </c>
      <c r="B19" s="483">
        <v>0.4111</v>
      </c>
      <c r="C19" s="484">
        <v>9.9</v>
      </c>
    </row>
    <row r="20" ht="15.95" customHeight="1" spans="1:3">
      <c r="A20" s="487" t="s">
        <v>316</v>
      </c>
      <c r="B20" s="483">
        <v>0.0171</v>
      </c>
      <c r="C20" s="484">
        <v>4.9</v>
      </c>
    </row>
    <row r="21" ht="15.95" customHeight="1" spans="1:3">
      <c r="A21" s="487" t="s">
        <v>317</v>
      </c>
      <c r="B21" s="483">
        <v>2.8939</v>
      </c>
      <c r="C21" s="484">
        <v>7.4</v>
      </c>
    </row>
    <row r="22" ht="15.95" customHeight="1" spans="1:3">
      <c r="A22" s="487" t="s">
        <v>318</v>
      </c>
      <c r="B22" s="483">
        <v>2.8217</v>
      </c>
      <c r="C22" s="484">
        <v>17.4</v>
      </c>
    </row>
    <row r="23" ht="15.95" customHeight="1" spans="1:3">
      <c r="A23" s="487" t="s">
        <v>319</v>
      </c>
      <c r="B23" s="483">
        <v>0.4439</v>
      </c>
      <c r="C23" s="484">
        <v>1.9</v>
      </c>
    </row>
    <row r="24" ht="15.95" customHeight="1" spans="1:3">
      <c r="A24" s="487" t="s">
        <v>320</v>
      </c>
      <c r="B24" s="483">
        <v>0.6558</v>
      </c>
      <c r="C24" s="484">
        <v>12.8</v>
      </c>
    </row>
    <row r="25" ht="15.95" customHeight="1" spans="1:3">
      <c r="A25" s="487" t="s">
        <v>321</v>
      </c>
      <c r="B25" s="483">
        <v>0.8314</v>
      </c>
      <c r="C25" s="484">
        <v>27.2</v>
      </c>
    </row>
    <row r="26" ht="15.95" customHeight="1" spans="1:3">
      <c r="A26" s="487" t="s">
        <v>322</v>
      </c>
      <c r="B26" s="483">
        <v>16.0763</v>
      </c>
      <c r="C26" s="484">
        <v>-0.3</v>
      </c>
    </row>
    <row r="27" ht="15.95" customHeight="1" spans="1:3">
      <c r="A27" s="487" t="s">
        <v>323</v>
      </c>
      <c r="B27" s="483">
        <v>0.2768</v>
      </c>
      <c r="C27" s="484">
        <v>-47.6</v>
      </c>
    </row>
    <row r="28" ht="15.95" customHeight="1" spans="1:3">
      <c r="A28" s="487" t="s">
        <v>324</v>
      </c>
      <c r="B28" s="483">
        <v>0.7283</v>
      </c>
      <c r="C28" s="484">
        <v>14.1</v>
      </c>
    </row>
    <row r="29" ht="15.95" customHeight="1" spans="1:3">
      <c r="A29" s="487" t="s">
        <v>325</v>
      </c>
      <c r="B29" s="483">
        <v>16.4925</v>
      </c>
      <c r="C29" s="484">
        <v>0.2</v>
      </c>
    </row>
    <row r="30" ht="15.95" customHeight="1" spans="1:3">
      <c r="A30" s="488" t="s">
        <v>326</v>
      </c>
      <c r="B30" s="489">
        <v>1.9176</v>
      </c>
      <c r="C30" s="490">
        <v>124.4</v>
      </c>
    </row>
    <row r="31" ht="15.95" customHeight="1"/>
  </sheetData>
  <mergeCells count="1">
    <mergeCell ref="A1:C1"/>
  </mergeCells>
  <pageMargins left="0.75" right="0.55" top="0.588888888888889" bottom="0.788888888888889" header="0.509027777777778" footer="0.509027777777778"/>
  <pageSetup paperSize="9" scale="111" orientation="portrait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C28"/>
  <sheetViews>
    <sheetView zoomScale="90" zoomScaleNormal="90" workbookViewId="0">
      <selection activeCell="A1" sqref="A1:C24"/>
    </sheetView>
  </sheetViews>
  <sheetFormatPr defaultColWidth="9" defaultRowHeight="14.25" outlineLevelCol="2"/>
  <cols>
    <col min="1" max="1" width="43.5" style="44" customWidth="1"/>
    <col min="2" max="2" width="13.5" style="202" customWidth="1"/>
    <col min="3" max="3" width="13.875" style="44" customWidth="1"/>
    <col min="4" max="16384" width="9" style="44"/>
  </cols>
  <sheetData>
    <row r="1" ht="28.5" customHeight="1" spans="1:3">
      <c r="A1" s="371" t="s">
        <v>327</v>
      </c>
      <c r="B1" s="371"/>
      <c r="C1" s="371"/>
    </row>
    <row r="2" ht="21" customHeight="1" spans="1:3">
      <c r="A2" s="454"/>
      <c r="B2" s="455"/>
      <c r="C2" s="456" t="s">
        <v>328</v>
      </c>
    </row>
    <row r="3" ht="32.1" customHeight="1" spans="1:3">
      <c r="A3" s="457" t="s">
        <v>40</v>
      </c>
      <c r="B3" s="430" t="s">
        <v>83</v>
      </c>
      <c r="C3" s="457" t="s">
        <v>329</v>
      </c>
    </row>
    <row r="4" ht="21.95" customHeight="1" spans="1:3">
      <c r="A4" s="470" t="s">
        <v>330</v>
      </c>
      <c r="B4" s="471">
        <v>34.0085</v>
      </c>
      <c r="C4" s="472">
        <v>12.4</v>
      </c>
    </row>
    <row r="5" ht="21.95" customHeight="1" spans="1:3">
      <c r="A5" s="436" t="s">
        <v>331</v>
      </c>
      <c r="B5" s="471">
        <v>26.1108</v>
      </c>
      <c r="C5" s="472">
        <v>14.4</v>
      </c>
    </row>
    <row r="6" ht="21.95" customHeight="1" spans="1:3">
      <c r="A6" s="436" t="s">
        <v>332</v>
      </c>
      <c r="B6" s="471">
        <v>10.3769</v>
      </c>
      <c r="C6" s="473">
        <v>21.9</v>
      </c>
    </row>
    <row r="7" ht="21.95" customHeight="1" spans="1:3">
      <c r="A7" s="436" t="s">
        <v>333</v>
      </c>
      <c r="B7" s="471">
        <v>3.0945</v>
      </c>
      <c r="C7" s="472">
        <v>65.8</v>
      </c>
    </row>
    <row r="8" ht="21.95" customHeight="1" spans="1:3">
      <c r="A8" s="436" t="s">
        <v>334</v>
      </c>
      <c r="B8" s="471">
        <v>0.9295</v>
      </c>
      <c r="C8" s="472">
        <v>-27.3</v>
      </c>
    </row>
    <row r="9" ht="21.95" customHeight="1" spans="1:3">
      <c r="A9" s="470" t="s">
        <v>335</v>
      </c>
      <c r="B9" s="471">
        <v>7.8977</v>
      </c>
      <c r="C9" s="472">
        <v>6.4</v>
      </c>
    </row>
    <row r="10" ht="21.95" customHeight="1" spans="1:3">
      <c r="A10" s="470" t="s">
        <v>336</v>
      </c>
      <c r="B10" s="471">
        <v>127.0713</v>
      </c>
      <c r="C10" s="472">
        <v>15.5</v>
      </c>
    </row>
    <row r="11" ht="21.95" customHeight="1" spans="1:3">
      <c r="A11" s="470" t="s">
        <v>337</v>
      </c>
      <c r="B11" s="471">
        <v>12.4335</v>
      </c>
      <c r="C11" s="472">
        <v>23</v>
      </c>
    </row>
    <row r="12" ht="21.95" customHeight="1" spans="1:3">
      <c r="A12" s="470" t="s">
        <v>338</v>
      </c>
      <c r="B12" s="471">
        <v>1.4619</v>
      </c>
      <c r="C12" s="472">
        <v>482.9</v>
      </c>
    </row>
    <row r="13" ht="21.95" customHeight="1" spans="1:3">
      <c r="A13" s="470" t="s">
        <v>339</v>
      </c>
      <c r="B13" s="471">
        <v>104.344</v>
      </c>
      <c r="C13" s="472">
        <v>14.2</v>
      </c>
    </row>
    <row r="14" ht="21.95" customHeight="1" spans="1:3">
      <c r="A14" s="474" t="s">
        <v>340</v>
      </c>
      <c r="B14" s="471">
        <v>25.4853</v>
      </c>
      <c r="C14" s="472">
        <v>5.1</v>
      </c>
    </row>
    <row r="15" ht="21.95" customHeight="1" spans="1:3">
      <c r="A15" s="470" t="s">
        <v>341</v>
      </c>
      <c r="B15" s="471">
        <v>1.5645</v>
      </c>
      <c r="C15" s="473">
        <v>17.1</v>
      </c>
    </row>
    <row r="16" ht="21.95" customHeight="1" spans="1:3">
      <c r="A16" s="470" t="s">
        <v>342</v>
      </c>
      <c r="B16" s="471">
        <v>22.2319</v>
      </c>
      <c r="C16" s="473">
        <v>10.8</v>
      </c>
    </row>
    <row r="17" ht="21.95" customHeight="1" spans="1:3">
      <c r="A17" s="470" t="s">
        <v>343</v>
      </c>
      <c r="B17" s="471">
        <v>26.7548</v>
      </c>
      <c r="C17" s="473">
        <v>5.3</v>
      </c>
    </row>
    <row r="18" ht="21.95" customHeight="1" spans="1:3">
      <c r="A18" s="470" t="s">
        <v>344</v>
      </c>
      <c r="B18" s="471">
        <v>1.915</v>
      </c>
      <c r="C18" s="473">
        <v>138.7</v>
      </c>
    </row>
    <row r="19" ht="21.95" customHeight="1" spans="1:3">
      <c r="A19" s="470" t="s">
        <v>345</v>
      </c>
      <c r="B19" s="471">
        <v>6.4888</v>
      </c>
      <c r="C19" s="473">
        <v>15.2</v>
      </c>
    </row>
    <row r="20" ht="21.95" customHeight="1" spans="1:3">
      <c r="A20" s="470" t="s">
        <v>346</v>
      </c>
      <c r="B20" s="471">
        <v>8.9691</v>
      </c>
      <c r="C20" s="473">
        <v>-0.1</v>
      </c>
    </row>
    <row r="21" ht="21.95" customHeight="1" spans="1:3">
      <c r="A21" s="470" t="s">
        <v>347</v>
      </c>
      <c r="B21" s="471">
        <v>7.71</v>
      </c>
      <c r="C21" s="473">
        <v>239.1</v>
      </c>
    </row>
    <row r="22" ht="21.95" customHeight="1" spans="1:3">
      <c r="A22" s="470" t="s">
        <v>348</v>
      </c>
      <c r="B22" s="471">
        <v>2.6659</v>
      </c>
      <c r="C22" s="473">
        <v>32.2</v>
      </c>
    </row>
    <row r="23" ht="21.95" customHeight="1" spans="1:3">
      <c r="A23" s="470" t="s">
        <v>349</v>
      </c>
      <c r="B23" s="471">
        <v>0.5587</v>
      </c>
      <c r="C23" s="475">
        <v>-1.8</v>
      </c>
    </row>
    <row r="24" ht="18" customHeight="1" spans="1:3">
      <c r="A24" s="450" t="s">
        <v>350</v>
      </c>
      <c r="B24" s="450"/>
      <c r="C24" s="450"/>
    </row>
    <row r="28" spans="1:3">
      <c r="A28" s="468"/>
      <c r="B28" s="469"/>
      <c r="C28" s="453"/>
    </row>
  </sheetData>
  <mergeCells count="2">
    <mergeCell ref="A1:C1"/>
    <mergeCell ref="A24:C24"/>
  </mergeCells>
  <printOptions horizontalCentered="1"/>
  <pageMargins left="0.75" right="0.75" top="0.979166666666667" bottom="0.979166666666667" header="0.509027777777778" footer="0.509027777777778"/>
  <pageSetup paperSize="9" orientation="portrait" blackAndWhite="1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C37"/>
  <sheetViews>
    <sheetView zoomScale="90" zoomScaleNormal="90" workbookViewId="0">
      <selection activeCell="A1" sqref="A1:C36"/>
    </sheetView>
  </sheetViews>
  <sheetFormatPr defaultColWidth="9" defaultRowHeight="14.25" outlineLevelCol="2"/>
  <cols>
    <col min="1" max="1" width="42.875" style="44" customWidth="1"/>
    <col min="2" max="2" width="17.125" style="202" customWidth="1"/>
    <col min="3" max="3" width="13.875" style="44" customWidth="1"/>
    <col min="4" max="6" width="12.625" style="44" customWidth="1"/>
    <col min="7" max="16384" width="9" style="44"/>
  </cols>
  <sheetData>
    <row r="1" ht="28.5" customHeight="1" spans="1:3">
      <c r="A1" s="371" t="s">
        <v>351</v>
      </c>
      <c r="B1" s="371"/>
      <c r="C1" s="371"/>
    </row>
    <row r="2" ht="20.25" customHeight="1" spans="1:3">
      <c r="A2" s="454"/>
      <c r="B2" s="455"/>
      <c r="C2" s="456" t="s">
        <v>39</v>
      </c>
    </row>
    <row r="3" ht="21" customHeight="1" spans="1:3">
      <c r="A3" s="457" t="s">
        <v>40</v>
      </c>
      <c r="B3" s="458" t="s">
        <v>352</v>
      </c>
      <c r="C3" s="457" t="s">
        <v>6</v>
      </c>
    </row>
    <row r="4" ht="17.1" customHeight="1" spans="1:3">
      <c r="A4" s="459" t="s">
        <v>353</v>
      </c>
      <c r="B4" s="460">
        <v>3493.4656</v>
      </c>
      <c r="C4" s="461">
        <v>5.6</v>
      </c>
    </row>
    <row r="5" ht="17.1" customHeight="1" spans="1:3">
      <c r="A5" s="462" t="s">
        <v>354</v>
      </c>
      <c r="B5" s="463">
        <v>3489.2761</v>
      </c>
      <c r="C5" s="464">
        <v>5.6</v>
      </c>
    </row>
    <row r="6" ht="17.1" customHeight="1" spans="1:3">
      <c r="A6" s="465" t="s">
        <v>355</v>
      </c>
      <c r="B6" s="463">
        <v>2275.6311</v>
      </c>
      <c r="C6" s="464">
        <v>10</v>
      </c>
    </row>
    <row r="7" ht="17.1" customHeight="1" spans="1:3">
      <c r="A7" s="462" t="s">
        <v>356</v>
      </c>
      <c r="B7" s="463">
        <v>598.1873</v>
      </c>
      <c r="C7" s="464">
        <v>-6.5</v>
      </c>
    </row>
    <row r="8" ht="17.1" customHeight="1" spans="1:3">
      <c r="A8" s="462" t="s">
        <v>357</v>
      </c>
      <c r="B8" s="463">
        <v>615.3059</v>
      </c>
      <c r="C8" s="464">
        <v>5.4</v>
      </c>
    </row>
    <row r="9" ht="17.1" customHeight="1" spans="1:3">
      <c r="A9" s="462" t="s">
        <v>358</v>
      </c>
      <c r="B9" s="463">
        <v>0.1518</v>
      </c>
      <c r="C9" s="464">
        <v>-98.6</v>
      </c>
    </row>
    <row r="10" ht="17.1" customHeight="1" spans="1:3">
      <c r="A10" s="462" t="s">
        <v>359</v>
      </c>
      <c r="B10" s="463">
        <v>4.1895</v>
      </c>
      <c r="C10" s="464">
        <v>1.8</v>
      </c>
    </row>
    <row r="11" ht="17.1" customHeight="1" spans="1:3">
      <c r="A11" s="466" t="s">
        <v>360</v>
      </c>
      <c r="B11" s="460">
        <v>2267.8445</v>
      </c>
      <c r="C11" s="461">
        <v>15.4</v>
      </c>
    </row>
    <row r="12" ht="17.1" customHeight="1" spans="1:3">
      <c r="A12" s="462" t="s">
        <v>361</v>
      </c>
      <c r="B12" s="463">
        <v>2266.4433</v>
      </c>
      <c r="C12" s="464">
        <v>15.4</v>
      </c>
    </row>
    <row r="13" ht="17.1" customHeight="1" spans="1:3">
      <c r="A13" s="465" t="s">
        <v>362</v>
      </c>
      <c r="B13" s="463">
        <v>883.4313</v>
      </c>
      <c r="C13" s="464">
        <v>27</v>
      </c>
    </row>
    <row r="14" ht="17.1" customHeight="1" spans="1:3">
      <c r="A14" s="465" t="s">
        <v>363</v>
      </c>
      <c r="B14" s="463">
        <v>1383.012</v>
      </c>
      <c r="C14" s="464">
        <v>9</v>
      </c>
    </row>
    <row r="15" ht="17.1" customHeight="1" spans="1:3">
      <c r="A15" s="465" t="s">
        <v>364</v>
      </c>
      <c r="B15" s="463">
        <v>0</v>
      </c>
      <c r="C15" s="464">
        <v>-100</v>
      </c>
    </row>
    <row r="16" ht="17.1" customHeight="1" spans="1:3">
      <c r="A16" s="462" t="s">
        <v>365</v>
      </c>
      <c r="B16" s="463">
        <v>1.4013</v>
      </c>
      <c r="C16" s="464">
        <v>43.5</v>
      </c>
    </row>
    <row r="17" ht="17.1" customHeight="1" spans="1:3">
      <c r="A17" s="466" t="s">
        <v>366</v>
      </c>
      <c r="B17" s="460">
        <v>3477.6793</v>
      </c>
      <c r="C17" s="461">
        <v>5.6</v>
      </c>
    </row>
    <row r="18" ht="17.1" customHeight="1" spans="1:3">
      <c r="A18" s="462" t="s">
        <v>354</v>
      </c>
      <c r="B18" s="463">
        <v>3473.6327</v>
      </c>
      <c r="C18" s="464">
        <v>5.6</v>
      </c>
    </row>
    <row r="19" ht="17.1" customHeight="1" spans="1:3">
      <c r="A19" s="465" t="s">
        <v>355</v>
      </c>
      <c r="B19" s="463">
        <v>2266.7061</v>
      </c>
      <c r="C19" s="464">
        <v>10</v>
      </c>
    </row>
    <row r="20" ht="17.1" customHeight="1" spans="1:3">
      <c r="A20" s="462" t="s">
        <v>367</v>
      </c>
      <c r="B20" s="463">
        <v>1215.8135</v>
      </c>
      <c r="C20" s="464">
        <v>9.3</v>
      </c>
    </row>
    <row r="21" ht="17.1" customHeight="1" spans="1:3">
      <c r="A21" s="462" t="s">
        <v>356</v>
      </c>
      <c r="B21" s="463">
        <v>591.5733</v>
      </c>
      <c r="C21" s="464">
        <v>-6.7</v>
      </c>
    </row>
    <row r="22" ht="17.1" customHeight="1" spans="1:3">
      <c r="A22" s="462" t="s">
        <v>357</v>
      </c>
      <c r="B22" s="463">
        <v>615.2363</v>
      </c>
      <c r="C22" s="464">
        <v>5.4</v>
      </c>
    </row>
    <row r="23" ht="17.1" customHeight="1" spans="1:3">
      <c r="A23" s="462" t="s">
        <v>368</v>
      </c>
      <c r="B23" s="463">
        <v>551.0795</v>
      </c>
      <c r="C23" s="464">
        <v>5</v>
      </c>
    </row>
    <row r="24" ht="17.1" customHeight="1" spans="1:3">
      <c r="A24" s="462" t="s">
        <v>358</v>
      </c>
      <c r="B24" s="463">
        <v>0.1169</v>
      </c>
      <c r="C24" s="464">
        <v>-98.9</v>
      </c>
    </row>
    <row r="25" ht="17.1" customHeight="1" spans="1:3">
      <c r="A25" s="462" t="s">
        <v>359</v>
      </c>
      <c r="B25" s="463">
        <v>4.0466</v>
      </c>
      <c r="C25" s="464">
        <v>1.7</v>
      </c>
    </row>
    <row r="26" ht="17.1" customHeight="1" spans="1:3">
      <c r="A26" s="466" t="s">
        <v>369</v>
      </c>
      <c r="B26" s="460">
        <v>2257.8018</v>
      </c>
      <c r="C26" s="461">
        <v>15.5</v>
      </c>
    </row>
    <row r="27" ht="17.1" customHeight="1" spans="1:3">
      <c r="A27" s="462" t="s">
        <v>361</v>
      </c>
      <c r="B27" s="463">
        <v>2256.4012</v>
      </c>
      <c r="C27" s="464">
        <v>15.5</v>
      </c>
    </row>
    <row r="28" ht="17.1" customHeight="1" spans="1:3">
      <c r="A28" s="465" t="s">
        <v>362</v>
      </c>
      <c r="B28" s="463">
        <v>883.3903</v>
      </c>
      <c r="C28" s="464">
        <v>27</v>
      </c>
    </row>
    <row r="29" ht="17.1" customHeight="1" spans="1:3">
      <c r="A29" s="465" t="s">
        <v>370</v>
      </c>
      <c r="B29" s="463">
        <v>771.0123</v>
      </c>
      <c r="C29" s="464">
        <v>29</v>
      </c>
    </row>
    <row r="30" ht="17.1" customHeight="1" spans="1:3">
      <c r="A30" s="465" t="s">
        <v>363</v>
      </c>
      <c r="B30" s="463">
        <v>1373.0108</v>
      </c>
      <c r="C30" s="464">
        <v>9.2</v>
      </c>
    </row>
    <row r="31" ht="17.1" customHeight="1" spans="1:3">
      <c r="A31" s="465" t="s">
        <v>371</v>
      </c>
      <c r="B31" s="463">
        <v>497.7855</v>
      </c>
      <c r="C31" s="464">
        <v>4.3</v>
      </c>
    </row>
    <row r="32" ht="17.1" customHeight="1" spans="1:3">
      <c r="A32" s="465" t="s">
        <v>372</v>
      </c>
      <c r="B32" s="463">
        <v>755.212</v>
      </c>
      <c r="C32" s="464">
        <v>10.2</v>
      </c>
    </row>
    <row r="33" ht="17.1" customHeight="1" spans="1:3">
      <c r="A33" s="465" t="s">
        <v>364</v>
      </c>
      <c r="B33" s="463">
        <v>0</v>
      </c>
      <c r="C33" s="464">
        <v>-100</v>
      </c>
    </row>
    <row r="34" ht="17.1" customHeight="1" spans="1:3">
      <c r="A34" s="467" t="s">
        <v>365</v>
      </c>
      <c r="B34" s="463">
        <v>1.4006</v>
      </c>
      <c r="C34" s="464">
        <v>43.4</v>
      </c>
    </row>
    <row r="35" ht="19.5" customHeight="1" spans="1:3">
      <c r="A35" s="450" t="s">
        <v>373</v>
      </c>
      <c r="B35" s="450"/>
      <c r="C35" s="450"/>
    </row>
    <row r="37" spans="1:3">
      <c r="A37" s="468"/>
      <c r="B37" s="469"/>
      <c r="C37" s="453"/>
    </row>
  </sheetData>
  <mergeCells count="2">
    <mergeCell ref="A1:C1"/>
    <mergeCell ref="A35:C35"/>
  </mergeCells>
  <pageMargins left="0.75" right="0.75" top="0.588888888888889" bottom="0.588888888888889" header="0.509027777777778" footer="0.509027777777778"/>
  <pageSetup paperSize="9" scale="93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F25"/>
  <sheetViews>
    <sheetView zoomScale="90" zoomScaleNormal="90" workbookViewId="0">
      <selection activeCell="K20" sqref="K20"/>
    </sheetView>
  </sheetViews>
  <sheetFormatPr defaultColWidth="9" defaultRowHeight="14.25" outlineLevelCol="5"/>
  <cols>
    <col min="1" max="1" width="28" style="241" customWidth="1"/>
    <col min="2" max="2" width="9.125" style="241" customWidth="1"/>
    <col min="3" max="3" width="10.5" style="241" customWidth="1"/>
    <col min="4" max="6" width="9.125" style="241" customWidth="1"/>
    <col min="7" max="16384" width="9" style="241"/>
  </cols>
  <sheetData>
    <row r="1" ht="28.5" customHeight="1" spans="1:6">
      <c r="A1" s="739" t="s">
        <v>0</v>
      </c>
      <c r="B1" s="739"/>
      <c r="C1" s="739"/>
      <c r="D1" s="739"/>
      <c r="E1" s="739"/>
      <c r="F1" s="739"/>
    </row>
    <row r="2" ht="21" customHeight="1" spans="1:6">
      <c r="A2" s="740" t="s">
        <v>1</v>
      </c>
      <c r="B2" s="741" t="s">
        <v>2</v>
      </c>
      <c r="C2" s="742" t="s">
        <v>3</v>
      </c>
      <c r="D2" s="743"/>
      <c r="E2" s="742" t="s">
        <v>4</v>
      </c>
      <c r="F2" s="744"/>
    </row>
    <row r="3" ht="21" customHeight="1" spans="1:6">
      <c r="A3" s="745"/>
      <c r="B3" s="746"/>
      <c r="C3" s="745" t="s">
        <v>5</v>
      </c>
      <c r="D3" s="745" t="s">
        <v>6</v>
      </c>
      <c r="E3" s="745" t="s">
        <v>5</v>
      </c>
      <c r="F3" s="747" t="s">
        <v>6</v>
      </c>
    </row>
    <row r="4" ht="24.95" customHeight="1" spans="1:6">
      <c r="A4" s="748" t="s">
        <v>7</v>
      </c>
      <c r="B4" s="535" t="s">
        <v>8</v>
      </c>
      <c r="C4" s="756">
        <v>670.483</v>
      </c>
      <c r="D4" s="507">
        <v>6.79998425115946</v>
      </c>
      <c r="E4" s="535" t="s">
        <v>9</v>
      </c>
      <c r="F4" s="753" t="s">
        <v>9</v>
      </c>
    </row>
    <row r="5" ht="24.95" customHeight="1" spans="1:6">
      <c r="A5" s="748" t="s">
        <v>10</v>
      </c>
      <c r="B5" s="535" t="s">
        <v>8</v>
      </c>
      <c r="C5" s="759">
        <v>569.02</v>
      </c>
      <c r="D5" s="437">
        <v>7.2</v>
      </c>
      <c r="E5" s="759">
        <v>340.39</v>
      </c>
      <c r="F5" s="437">
        <v>4.1</v>
      </c>
    </row>
    <row r="6" ht="24.95" customHeight="1" spans="1:6">
      <c r="A6" s="748" t="s">
        <v>11</v>
      </c>
      <c r="B6" s="535" t="s">
        <v>8</v>
      </c>
      <c r="C6" s="759">
        <v>179.84</v>
      </c>
      <c r="D6" s="437">
        <v>7</v>
      </c>
      <c r="E6" s="759">
        <v>108.21</v>
      </c>
      <c r="F6" s="437">
        <v>3.7</v>
      </c>
    </row>
    <row r="7" ht="24.95" customHeight="1" spans="1:6">
      <c r="A7" s="748" t="s">
        <v>12</v>
      </c>
      <c r="B7" s="535" t="s">
        <v>8</v>
      </c>
      <c r="C7" s="751">
        <v>237.56</v>
      </c>
      <c r="D7" s="437">
        <v>17.6</v>
      </c>
      <c r="E7" s="759">
        <v>98.06</v>
      </c>
      <c r="F7" s="437">
        <v>16.1</v>
      </c>
    </row>
    <row r="8" ht="24.95" customHeight="1" spans="1:6">
      <c r="A8" s="748" t="s">
        <v>13</v>
      </c>
      <c r="B8" s="535" t="s">
        <v>8</v>
      </c>
      <c r="C8" s="751">
        <v>110.59</v>
      </c>
      <c r="D8" s="437">
        <v>26.9</v>
      </c>
      <c r="E8" s="759">
        <v>43.4528</v>
      </c>
      <c r="F8" s="437">
        <v>17.8</v>
      </c>
    </row>
    <row r="9" ht="24.95" customHeight="1" spans="1:6">
      <c r="A9" s="754" t="s">
        <v>14</v>
      </c>
      <c r="B9" s="538" t="s">
        <v>15</v>
      </c>
      <c r="C9" s="756">
        <v>131.15</v>
      </c>
      <c r="D9" s="507">
        <v>-0.9</v>
      </c>
      <c r="E9" s="756">
        <v>68.7213</v>
      </c>
      <c r="F9" s="507">
        <v>-6.9</v>
      </c>
    </row>
    <row r="10" ht="24.95" customHeight="1" spans="1:6">
      <c r="A10" s="754" t="s">
        <v>16</v>
      </c>
      <c r="B10" s="538" t="s">
        <v>8</v>
      </c>
      <c r="C10" s="756">
        <v>445.46</v>
      </c>
      <c r="D10" s="507">
        <v>8.1</v>
      </c>
      <c r="E10" s="756">
        <v>298.7004</v>
      </c>
      <c r="F10" s="507">
        <v>8.1</v>
      </c>
    </row>
    <row r="11" ht="24.95" customHeight="1" spans="1:6">
      <c r="A11" s="754" t="s">
        <v>17</v>
      </c>
      <c r="B11" s="538" t="s">
        <v>8</v>
      </c>
      <c r="C11" s="756">
        <v>34.01</v>
      </c>
      <c r="D11" s="507">
        <v>12.4</v>
      </c>
      <c r="E11" s="756">
        <v>24.87</v>
      </c>
      <c r="F11" s="507">
        <v>11.8</v>
      </c>
    </row>
    <row r="12" ht="24.95" customHeight="1" spans="1:6">
      <c r="A12" s="754" t="s">
        <v>18</v>
      </c>
      <c r="B12" s="538" t="s">
        <v>8</v>
      </c>
      <c r="C12" s="756">
        <v>127.07</v>
      </c>
      <c r="D12" s="507">
        <v>15.5</v>
      </c>
      <c r="E12" s="756">
        <v>66.73</v>
      </c>
      <c r="F12" s="507">
        <v>16</v>
      </c>
    </row>
    <row r="13" ht="24.95" customHeight="1" spans="1:6">
      <c r="A13" s="754" t="s">
        <v>19</v>
      </c>
      <c r="B13" s="538" t="s">
        <v>8</v>
      </c>
      <c r="C13" s="756">
        <v>171.95</v>
      </c>
      <c r="D13" s="507">
        <v>25</v>
      </c>
      <c r="E13" s="756">
        <v>116.52</v>
      </c>
      <c r="F13" s="507">
        <v>12.8</v>
      </c>
    </row>
    <row r="14" ht="24.95" customHeight="1" spans="1:6">
      <c r="A14" s="754" t="s">
        <v>20</v>
      </c>
      <c r="B14" s="538" t="s">
        <v>8</v>
      </c>
      <c r="C14" s="757">
        <v>53.55</v>
      </c>
      <c r="D14" s="507">
        <v>14.7</v>
      </c>
      <c r="E14" s="756">
        <v>36.8</v>
      </c>
      <c r="F14" s="507">
        <v>44.4</v>
      </c>
    </row>
    <row r="15" ht="24.95" customHeight="1" spans="1:6">
      <c r="A15" s="754" t="s">
        <v>21</v>
      </c>
      <c r="B15" s="538" t="s">
        <v>8</v>
      </c>
      <c r="C15" s="757">
        <v>26.44</v>
      </c>
      <c r="D15" s="507">
        <v>3.7</v>
      </c>
      <c r="E15" s="756">
        <v>20.59</v>
      </c>
      <c r="F15" s="507">
        <v>29.8</v>
      </c>
    </row>
    <row r="16" ht="24.95" customHeight="1" spans="1:6">
      <c r="A16" s="754" t="s">
        <v>22</v>
      </c>
      <c r="B16" s="538" t="s">
        <v>8</v>
      </c>
      <c r="C16" s="756">
        <v>27.11</v>
      </c>
      <c r="D16" s="507">
        <v>28</v>
      </c>
      <c r="E16" s="756">
        <v>16.22</v>
      </c>
      <c r="F16" s="507">
        <v>68.5</v>
      </c>
    </row>
    <row r="17" ht="24.95" customHeight="1" spans="1:6">
      <c r="A17" s="754" t="s">
        <v>23</v>
      </c>
      <c r="B17" s="538" t="s">
        <v>24</v>
      </c>
      <c r="C17" s="758">
        <v>7165</v>
      </c>
      <c r="D17" s="507">
        <v>173.3</v>
      </c>
      <c r="E17" s="755">
        <v>1197</v>
      </c>
      <c r="F17" s="507">
        <v>5.7</v>
      </c>
    </row>
    <row r="18" ht="24.95" customHeight="1" spans="1:6">
      <c r="A18" s="754" t="s">
        <v>25</v>
      </c>
      <c r="B18" s="538" t="s">
        <v>8</v>
      </c>
      <c r="C18" s="756">
        <v>3493.47</v>
      </c>
      <c r="D18" s="507">
        <v>5.6</v>
      </c>
      <c r="E18" s="755">
        <v>3434.33</v>
      </c>
      <c r="F18" s="507">
        <v>7.1</v>
      </c>
    </row>
    <row r="19" ht="24.95" customHeight="1" spans="1:6">
      <c r="A19" s="754" t="s">
        <v>26</v>
      </c>
      <c r="B19" s="535" t="s">
        <v>8</v>
      </c>
      <c r="C19" s="756">
        <v>2275.63</v>
      </c>
      <c r="D19" s="507">
        <v>10</v>
      </c>
      <c r="E19" s="751">
        <v>2252.36</v>
      </c>
      <c r="F19" s="437">
        <v>10.1</v>
      </c>
    </row>
    <row r="20" ht="24.95" customHeight="1" spans="1:6">
      <c r="A20" s="748" t="s">
        <v>27</v>
      </c>
      <c r="B20" s="535" t="s">
        <v>8</v>
      </c>
      <c r="C20" s="756">
        <v>2267.84</v>
      </c>
      <c r="D20" s="507">
        <v>15.4</v>
      </c>
      <c r="E20" s="751">
        <v>2252.35</v>
      </c>
      <c r="F20" s="437">
        <v>15.9</v>
      </c>
    </row>
    <row r="21" ht="24.95" customHeight="1" spans="1:6">
      <c r="A21" s="748" t="s">
        <v>28</v>
      </c>
      <c r="B21" s="535" t="s">
        <v>29</v>
      </c>
      <c r="C21" s="507">
        <v>101.6</v>
      </c>
      <c r="D21" s="507">
        <v>1.6</v>
      </c>
      <c r="E21" s="751">
        <v>101.6</v>
      </c>
      <c r="F21" s="437">
        <v>1.6</v>
      </c>
    </row>
    <row r="22" ht="24.95" customHeight="1" spans="1:6">
      <c r="A22" s="748" t="s">
        <v>30</v>
      </c>
      <c r="B22" s="535" t="s">
        <v>29</v>
      </c>
      <c r="C22" s="507">
        <v>100.4</v>
      </c>
      <c r="D22" s="507">
        <v>0.4</v>
      </c>
      <c r="E22" s="751">
        <v>100.4</v>
      </c>
      <c r="F22" s="437">
        <v>0.4</v>
      </c>
    </row>
    <row r="23" ht="24.95" customHeight="1" spans="1:6">
      <c r="A23" s="748" t="s">
        <v>31</v>
      </c>
      <c r="B23" s="535" t="s">
        <v>32</v>
      </c>
      <c r="C23" s="759">
        <v>45.4145</v>
      </c>
      <c r="D23" s="507">
        <v>7.18</v>
      </c>
      <c r="E23" s="759">
        <v>29.1554</v>
      </c>
      <c r="F23" s="437">
        <v>7.36</v>
      </c>
    </row>
    <row r="24" ht="24.95" customHeight="1" spans="1:6">
      <c r="A24" s="748" t="s">
        <v>33</v>
      </c>
      <c r="B24" s="535" t="s">
        <v>32</v>
      </c>
      <c r="C24" s="760">
        <v>28.281</v>
      </c>
      <c r="D24" s="761">
        <v>5.59</v>
      </c>
      <c r="E24" s="759">
        <v>17.8917</v>
      </c>
      <c r="F24" s="437">
        <v>6</v>
      </c>
    </row>
    <row r="25" ht="19" customHeight="1" spans="1:6">
      <c r="A25" s="450" t="s">
        <v>34</v>
      </c>
      <c r="B25" s="450"/>
      <c r="C25" s="450"/>
      <c r="D25" s="450"/>
      <c r="E25" s="450"/>
      <c r="F25" s="450"/>
    </row>
  </sheetData>
  <mergeCells count="6">
    <mergeCell ref="A1:F1"/>
    <mergeCell ref="C2:D2"/>
    <mergeCell ref="E2:F2"/>
    <mergeCell ref="A25:F25"/>
    <mergeCell ref="A2:A3"/>
    <mergeCell ref="B2:B3"/>
  </mergeCells>
  <pageMargins left="0.75" right="0.75" top="1" bottom="1" header="0.5" footer="0.5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H34"/>
  <sheetViews>
    <sheetView zoomScale="90" zoomScaleNormal="90" workbookViewId="0">
      <selection activeCell="A1" sqref="A1:D1"/>
    </sheetView>
  </sheetViews>
  <sheetFormatPr defaultColWidth="9" defaultRowHeight="14.25" outlineLevelCol="7"/>
  <cols>
    <col min="1" max="1" width="34.25" style="241" customWidth="1"/>
    <col min="2" max="2" width="10" style="241" customWidth="1"/>
    <col min="3" max="3" width="15.25" style="241" customWidth="1"/>
    <col min="4" max="4" width="15.25" style="284" customWidth="1"/>
    <col min="5" max="5" width="9" style="241"/>
    <col min="6" max="16384" width="9" style="44"/>
  </cols>
  <sheetData>
    <row r="1" ht="26.1" customHeight="1" spans="1:4">
      <c r="A1" s="197" t="s">
        <v>374</v>
      </c>
      <c r="B1" s="197"/>
      <c r="C1" s="197"/>
      <c r="D1" s="197"/>
    </row>
    <row r="2" ht="31.5" customHeight="1" spans="1:4">
      <c r="A2" s="429" t="s">
        <v>40</v>
      </c>
      <c r="B2" s="430" t="s">
        <v>2</v>
      </c>
      <c r="C2" s="430" t="s">
        <v>109</v>
      </c>
      <c r="D2" s="431" t="s">
        <v>6</v>
      </c>
    </row>
    <row r="3" ht="15.95" customHeight="1" spans="1:4">
      <c r="A3" s="432" t="s">
        <v>375</v>
      </c>
      <c r="B3" s="433" t="s">
        <v>8</v>
      </c>
      <c r="C3" s="434">
        <v>53.5536</v>
      </c>
      <c r="D3" s="435">
        <v>14.7</v>
      </c>
    </row>
    <row r="4" ht="15.95" customHeight="1" spans="1:4">
      <c r="A4" s="436" t="s">
        <v>376</v>
      </c>
      <c r="B4" s="433" t="s">
        <v>8</v>
      </c>
      <c r="C4" s="434">
        <v>26.4389</v>
      </c>
      <c r="D4" s="437">
        <v>3.7</v>
      </c>
    </row>
    <row r="5" ht="15.95" customHeight="1" spans="1:4">
      <c r="A5" s="436" t="s">
        <v>377</v>
      </c>
      <c r="B5" s="433"/>
      <c r="C5" s="434"/>
      <c r="D5" s="437"/>
    </row>
    <row r="6" ht="15.95" customHeight="1" spans="1:4">
      <c r="A6" s="436" t="s">
        <v>378</v>
      </c>
      <c r="B6" s="433" t="s">
        <v>8</v>
      </c>
      <c r="C6" s="434">
        <v>24.6149</v>
      </c>
      <c r="D6" s="437">
        <v>6.4</v>
      </c>
    </row>
    <row r="7" ht="15.95" customHeight="1" spans="1:4">
      <c r="A7" s="436" t="s">
        <v>379</v>
      </c>
      <c r="B7" s="433" t="s">
        <v>8</v>
      </c>
      <c r="C7" s="434">
        <v>0.2233</v>
      </c>
      <c r="D7" s="437">
        <v>-70.5</v>
      </c>
    </row>
    <row r="8" ht="15.95" customHeight="1" spans="1:4">
      <c r="A8" s="436" t="s">
        <v>380</v>
      </c>
      <c r="B8" s="433" t="s">
        <v>8</v>
      </c>
      <c r="C8" s="434">
        <v>0.8325</v>
      </c>
      <c r="D8" s="437">
        <v>-48</v>
      </c>
    </row>
    <row r="9" ht="15.95" customHeight="1" spans="1:4">
      <c r="A9" s="436" t="s">
        <v>381</v>
      </c>
      <c r="B9" s="433" t="s">
        <v>8</v>
      </c>
      <c r="C9" s="434">
        <v>0.0326</v>
      </c>
      <c r="D9" s="437">
        <v>370.5</v>
      </c>
    </row>
    <row r="10" ht="15.95" customHeight="1" spans="1:4">
      <c r="A10" s="436" t="s">
        <v>382</v>
      </c>
      <c r="B10" s="433"/>
      <c r="C10" s="434"/>
      <c r="D10" s="438"/>
    </row>
    <row r="11" ht="15.95" customHeight="1" spans="1:4">
      <c r="A11" s="436" t="s">
        <v>383</v>
      </c>
      <c r="B11" s="433" t="s">
        <v>8</v>
      </c>
      <c r="C11" s="434">
        <v>5.6025</v>
      </c>
      <c r="D11" s="437">
        <v>46.1</v>
      </c>
    </row>
    <row r="12" ht="15.95" customHeight="1" spans="1:4">
      <c r="A12" s="436" t="s">
        <v>384</v>
      </c>
      <c r="B12" s="433" t="s">
        <v>8</v>
      </c>
      <c r="C12" s="434">
        <v>6.1189</v>
      </c>
      <c r="D12" s="437">
        <v>-17.8</v>
      </c>
    </row>
    <row r="13" ht="15.95" customHeight="1" spans="1:4">
      <c r="A13" s="436" t="s">
        <v>385</v>
      </c>
      <c r="B13" s="433" t="s">
        <v>8</v>
      </c>
      <c r="C13" s="434">
        <v>0.0878</v>
      </c>
      <c r="D13" s="437">
        <v>-35.7</v>
      </c>
    </row>
    <row r="14" ht="15.95" customHeight="1" spans="1:4">
      <c r="A14" s="436" t="s">
        <v>386</v>
      </c>
      <c r="B14" s="433" t="s">
        <v>8</v>
      </c>
      <c r="C14" s="434">
        <v>14.4929</v>
      </c>
      <c r="D14" s="437">
        <v>3.1</v>
      </c>
    </row>
    <row r="15" ht="15.95" customHeight="1" spans="1:4">
      <c r="A15" s="439" t="s">
        <v>387</v>
      </c>
      <c r="B15" s="433"/>
      <c r="C15" s="434"/>
      <c r="D15" s="438"/>
    </row>
    <row r="16" ht="15.95" customHeight="1" spans="1:4">
      <c r="A16" s="440" t="s">
        <v>388</v>
      </c>
      <c r="B16" s="433" t="s">
        <v>8</v>
      </c>
      <c r="C16" s="434">
        <v>5.3756</v>
      </c>
      <c r="D16" s="437">
        <v>68.6</v>
      </c>
    </row>
    <row r="17" ht="15.95" customHeight="1" spans="1:4">
      <c r="A17" s="441" t="s">
        <v>389</v>
      </c>
      <c r="B17" s="433" t="s">
        <v>8</v>
      </c>
      <c r="C17" s="434">
        <v>4.1782</v>
      </c>
      <c r="D17" s="437">
        <v>55.3</v>
      </c>
    </row>
    <row r="18" ht="15.95" customHeight="1" spans="1:4">
      <c r="A18" s="441" t="s">
        <v>390</v>
      </c>
      <c r="B18" s="433" t="s">
        <v>8</v>
      </c>
      <c r="C18" s="434">
        <v>2.0113</v>
      </c>
      <c r="D18" s="437">
        <v>-60.2</v>
      </c>
    </row>
    <row r="19" ht="15.95" customHeight="1" spans="1:4">
      <c r="A19" s="441" t="s">
        <v>391</v>
      </c>
      <c r="B19" s="433" t="s">
        <v>8</v>
      </c>
      <c r="C19" s="434">
        <v>1.3929</v>
      </c>
      <c r="D19" s="437">
        <v>-1.2</v>
      </c>
    </row>
    <row r="20" ht="15.95" customHeight="1" spans="1:4">
      <c r="A20" s="442" t="s">
        <v>392</v>
      </c>
      <c r="B20" s="433" t="s">
        <v>8</v>
      </c>
      <c r="C20" s="434">
        <v>1.0339</v>
      </c>
      <c r="D20" s="437">
        <v>58.2</v>
      </c>
    </row>
    <row r="21" ht="15.95" customHeight="1" spans="1:4">
      <c r="A21" s="443" t="s">
        <v>393</v>
      </c>
      <c r="B21" s="433" t="s">
        <v>8</v>
      </c>
      <c r="C21" s="434">
        <v>27.1147</v>
      </c>
      <c r="D21" s="437">
        <v>28</v>
      </c>
    </row>
    <row r="22" ht="15.95" customHeight="1" spans="1:4">
      <c r="A22" s="443" t="s">
        <v>394</v>
      </c>
      <c r="B22" s="433"/>
      <c r="C22" s="434"/>
      <c r="D22" s="437"/>
    </row>
    <row r="23" ht="15.95" customHeight="1" spans="1:4">
      <c r="A23" s="443" t="s">
        <v>395</v>
      </c>
      <c r="B23" s="433" t="s">
        <v>8</v>
      </c>
      <c r="C23" s="434">
        <v>22.3872</v>
      </c>
      <c r="D23" s="437">
        <v>34.3</v>
      </c>
    </row>
    <row r="24" ht="15.95" customHeight="1" spans="1:4">
      <c r="A24" s="443" t="s">
        <v>396</v>
      </c>
      <c r="B24" s="433" t="s">
        <v>8</v>
      </c>
      <c r="C24" s="434">
        <v>0.011</v>
      </c>
      <c r="D24" s="437">
        <v>-97.9</v>
      </c>
    </row>
    <row r="25" ht="15.95" customHeight="1" spans="1:4">
      <c r="A25" s="443" t="s">
        <v>397</v>
      </c>
      <c r="B25" s="433" t="s">
        <v>8</v>
      </c>
      <c r="C25" s="434">
        <v>1.0747</v>
      </c>
      <c r="D25" s="437">
        <v>54.2</v>
      </c>
    </row>
    <row r="26" ht="15.95" customHeight="1" spans="1:4">
      <c r="A26" s="443" t="s">
        <v>398</v>
      </c>
      <c r="B26" s="433" t="s">
        <v>8</v>
      </c>
      <c r="C26" s="434">
        <v>3.6397</v>
      </c>
      <c r="D26" s="437">
        <v>13.5</v>
      </c>
    </row>
    <row r="27" ht="15.95" customHeight="1" spans="1:4">
      <c r="A27" s="436" t="s">
        <v>399</v>
      </c>
      <c r="B27" s="433"/>
      <c r="C27" s="444"/>
      <c r="D27" s="438"/>
    </row>
    <row r="28" ht="15.95" customHeight="1" spans="1:4">
      <c r="A28" s="436" t="s">
        <v>400</v>
      </c>
      <c r="B28" s="433" t="s">
        <v>111</v>
      </c>
      <c r="C28" s="445">
        <v>7</v>
      </c>
      <c r="D28" s="438">
        <v>-76.7</v>
      </c>
    </row>
    <row r="29" ht="15.95" customHeight="1" spans="1:4">
      <c r="A29" s="436" t="s">
        <v>401</v>
      </c>
      <c r="B29" s="433" t="s">
        <v>24</v>
      </c>
      <c r="C29" s="444">
        <v>47083</v>
      </c>
      <c r="D29" s="438">
        <v>713.5</v>
      </c>
    </row>
    <row r="30" ht="15.95" customHeight="1" spans="1:4">
      <c r="A30" s="446" t="s">
        <v>402</v>
      </c>
      <c r="B30" s="447" t="s">
        <v>24</v>
      </c>
      <c r="C30" s="448">
        <v>7165</v>
      </c>
      <c r="D30" s="449">
        <v>173.3</v>
      </c>
    </row>
    <row r="31" ht="20" customHeight="1" spans="1:4">
      <c r="A31" s="450" t="s">
        <v>403</v>
      </c>
      <c r="B31" s="450"/>
      <c r="C31" s="450"/>
      <c r="D31" s="450"/>
    </row>
    <row r="34" spans="1:8">
      <c r="A34" s="451"/>
      <c r="B34" s="451"/>
      <c r="C34" s="48"/>
      <c r="D34" s="452"/>
      <c r="E34" s="48"/>
      <c r="F34" s="453"/>
      <c r="G34" s="453"/>
      <c r="H34" s="453"/>
    </row>
  </sheetData>
  <mergeCells count="2">
    <mergeCell ref="A1:D1"/>
    <mergeCell ref="A31:D31"/>
  </mergeCells>
  <printOptions horizontalCentered="1"/>
  <pageMargins left="0.75" right="0.75" top="0.788888888888889" bottom="0.788888888888889" header="0.509027777777778" footer="0.509027777777778"/>
  <pageSetup paperSize="9" orientation="portrait" blackAndWhite="1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C22"/>
  <sheetViews>
    <sheetView tabSelected="1" zoomScale="90" zoomScaleNormal="90" workbookViewId="0">
      <selection activeCell="A1" sqref="A1:C1"/>
    </sheetView>
  </sheetViews>
  <sheetFormatPr defaultColWidth="9" defaultRowHeight="14.25" outlineLevelCol="2"/>
  <cols>
    <col min="1" max="1" width="36.375" style="241" customWidth="1"/>
    <col min="2" max="3" width="16.625" style="241" customWidth="1"/>
    <col min="4" max="4" width="9.5" style="241" customWidth="1"/>
    <col min="5" max="16384" width="9" style="241"/>
  </cols>
  <sheetData>
    <row r="1" ht="34.5" customHeight="1" spans="1:3">
      <c r="A1" s="197" t="s">
        <v>404</v>
      </c>
      <c r="B1" s="197"/>
      <c r="C1" s="197"/>
    </row>
    <row r="2" ht="22.5" customHeight="1" spans="1:3">
      <c r="A2" s="412"/>
      <c r="B2" s="301"/>
      <c r="C2" s="136" t="s">
        <v>405</v>
      </c>
    </row>
    <row r="3" s="411" customFormat="1" ht="30" customHeight="1" spans="1:3">
      <c r="A3" s="413" t="s">
        <v>40</v>
      </c>
      <c r="B3" s="414" t="s">
        <v>36</v>
      </c>
      <c r="C3" s="415" t="s">
        <v>6</v>
      </c>
    </row>
    <row r="4" ht="24.95" customHeight="1" spans="1:3">
      <c r="A4" s="416" t="s">
        <v>406</v>
      </c>
      <c r="B4" s="417">
        <v>21426.9</v>
      </c>
      <c r="C4" s="418">
        <v>9.1</v>
      </c>
    </row>
    <row r="5" ht="24.95" customHeight="1" spans="1:3">
      <c r="A5" s="419" t="s">
        <v>407</v>
      </c>
      <c r="B5" s="420">
        <v>12304.837568389</v>
      </c>
      <c r="C5" s="421">
        <v>8.32109792031774</v>
      </c>
    </row>
    <row r="6" ht="24.95" customHeight="1" spans="1:3">
      <c r="A6" s="419" t="s">
        <v>408</v>
      </c>
      <c r="B6" s="420">
        <v>4605.7896637545</v>
      </c>
      <c r="C6" s="421">
        <v>4.27662402346671</v>
      </c>
    </row>
    <row r="7" ht="24.95" customHeight="1" spans="1:3">
      <c r="A7" s="419" t="s">
        <v>409</v>
      </c>
      <c r="B7" s="420">
        <v>976.349569802</v>
      </c>
      <c r="C7" s="421">
        <v>16.8501698978716</v>
      </c>
    </row>
    <row r="8" ht="24.95" customHeight="1" spans="1:3">
      <c r="A8" s="419" t="s">
        <v>410</v>
      </c>
      <c r="B8" s="420">
        <v>3539.9235140445</v>
      </c>
      <c r="C8" s="421">
        <v>17.2325373269198</v>
      </c>
    </row>
    <row r="9" ht="24.95" customHeight="1" spans="1:3">
      <c r="A9" s="419" t="s">
        <v>411</v>
      </c>
      <c r="B9" s="420">
        <v>29046.3</v>
      </c>
      <c r="C9" s="421">
        <v>7.1</v>
      </c>
    </row>
    <row r="10" ht="24.95" customHeight="1" spans="1:3">
      <c r="A10" s="419" t="s">
        <v>412</v>
      </c>
      <c r="B10" s="420">
        <v>15888.9</v>
      </c>
      <c r="C10" s="421">
        <v>9.7</v>
      </c>
    </row>
    <row r="11" ht="24.95" customHeight="1" spans="1:3">
      <c r="A11" s="416" t="s">
        <v>413</v>
      </c>
      <c r="B11" s="422">
        <v>15302.5639416585</v>
      </c>
      <c r="C11" s="418">
        <v>5.43395352436298</v>
      </c>
    </row>
    <row r="12" ht="24.95" customHeight="1" spans="1:3">
      <c r="A12" s="419" t="s">
        <v>414</v>
      </c>
      <c r="B12" s="423">
        <v>6472.783896213</v>
      </c>
      <c r="C12" s="421">
        <v>4.76401635094537</v>
      </c>
    </row>
    <row r="13" ht="24.95" customHeight="1" spans="1:3">
      <c r="A13" s="419" t="s">
        <v>415</v>
      </c>
      <c r="B13" s="423">
        <v>497.846179002</v>
      </c>
      <c r="C13" s="421">
        <v>-0.610655693259532</v>
      </c>
    </row>
    <row r="14" ht="24.95" customHeight="1" spans="1:3">
      <c r="A14" s="419" t="s">
        <v>416</v>
      </c>
      <c r="B14" s="423">
        <v>2835.276041732</v>
      </c>
      <c r="C14" s="421">
        <v>6.92264131550586</v>
      </c>
    </row>
    <row r="15" ht="24.95" customHeight="1" spans="1:3">
      <c r="A15" s="419" t="s">
        <v>417</v>
      </c>
      <c r="B15" s="423">
        <v>802.869208998</v>
      </c>
      <c r="C15" s="421">
        <v>5.38010501042467</v>
      </c>
    </row>
    <row r="16" ht="24.95" customHeight="1" spans="1:3">
      <c r="A16" s="419" t="s">
        <v>418</v>
      </c>
      <c r="B16" s="423">
        <v>1748.0118219345</v>
      </c>
      <c r="C16" s="421">
        <v>0.727356091640696</v>
      </c>
    </row>
    <row r="17" ht="24.95" customHeight="1" spans="1:3">
      <c r="A17" s="419" t="s">
        <v>419</v>
      </c>
      <c r="B17" s="423">
        <v>1584.881086736</v>
      </c>
      <c r="C17" s="421">
        <v>8.20520976712618</v>
      </c>
    </row>
    <row r="18" ht="24.95" customHeight="1" spans="1:3">
      <c r="A18" s="419" t="s">
        <v>420</v>
      </c>
      <c r="B18" s="423">
        <v>1040.398949686</v>
      </c>
      <c r="C18" s="421">
        <v>10.8273914259242</v>
      </c>
    </row>
    <row r="19" ht="24.95" customHeight="1" spans="1:3">
      <c r="A19" s="419" t="s">
        <v>421</v>
      </c>
      <c r="B19" s="423">
        <v>320.496757357</v>
      </c>
      <c r="C19" s="421">
        <v>13.6083268021696</v>
      </c>
    </row>
    <row r="20" ht="24.95" customHeight="1" spans="1:3">
      <c r="A20" s="419" t="s">
        <v>422</v>
      </c>
      <c r="B20" s="423">
        <v>20214</v>
      </c>
      <c r="C20" s="421">
        <v>0.999081474960728</v>
      </c>
    </row>
    <row r="21" ht="24.95" customHeight="1" spans="1:3">
      <c r="A21" s="424" t="s">
        <v>423</v>
      </c>
      <c r="B21" s="425">
        <v>11732.79</v>
      </c>
      <c r="C21" s="426">
        <v>9.31872891712424</v>
      </c>
    </row>
    <row r="22" ht="20.25" customHeight="1" spans="1:3">
      <c r="A22" s="219" t="s">
        <v>424</v>
      </c>
      <c r="B22" s="427"/>
      <c r="C22" s="428"/>
    </row>
  </sheetData>
  <mergeCells count="2">
    <mergeCell ref="A1:C1"/>
    <mergeCell ref="A22:C22"/>
  </mergeCells>
  <printOptions horizontalCentered="1"/>
  <pageMargins left="0.75" right="0.75" top="0.979166666666667" bottom="0.979166666666667" header="0.509027777777778" footer="0.509027777777778"/>
  <pageSetup paperSize="9" orientation="portrait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D22"/>
  <sheetViews>
    <sheetView zoomScale="90" zoomScaleNormal="90" workbookViewId="0">
      <selection activeCell="F20" sqref="F20"/>
    </sheetView>
  </sheetViews>
  <sheetFormatPr defaultColWidth="9" defaultRowHeight="14.25" outlineLevelCol="3"/>
  <cols>
    <col min="1" max="1" width="35.5" style="241" customWidth="1"/>
    <col min="2" max="3" width="16.125" style="241" customWidth="1"/>
    <col min="4" max="4" width="9" style="241"/>
    <col min="5" max="16384" width="9" style="44"/>
  </cols>
  <sheetData>
    <row r="1" ht="25.5" customHeight="1" spans="1:4">
      <c r="A1" s="371" t="s">
        <v>28</v>
      </c>
      <c r="B1" s="371"/>
      <c r="C1" s="371"/>
    </row>
    <row r="2" ht="18" customHeight="1" spans="1:4">
      <c r="A2" s="220"/>
      <c r="B2" s="220"/>
      <c r="C2" s="281" t="s">
        <v>425</v>
      </c>
    </row>
    <row r="3" ht="23.1" customHeight="1" spans="1:4">
      <c r="A3" s="398" t="s">
        <v>40</v>
      </c>
      <c r="B3" s="399" t="s">
        <v>426</v>
      </c>
      <c r="C3" s="400" t="s">
        <v>427</v>
      </c>
    </row>
    <row r="4" ht="23.1" customHeight="1" spans="1:4">
      <c r="A4" s="401" t="s">
        <v>428</v>
      </c>
      <c r="B4" s="402">
        <v>101.5</v>
      </c>
      <c r="C4" s="402">
        <v>101.60135061</v>
      </c>
    </row>
    <row r="5" s="397" customFormat="1" ht="23.1" customHeight="1" spans="1:4">
      <c r="A5" s="403" t="s">
        <v>429</v>
      </c>
      <c r="B5" s="404">
        <v>100.1</v>
      </c>
      <c r="C5" s="404">
        <v>100.84186867</v>
      </c>
      <c r="D5" s="405"/>
    </row>
    <row r="6" s="397" customFormat="1" ht="23.1" customHeight="1" spans="1:4">
      <c r="A6" s="403" t="s">
        <v>430</v>
      </c>
      <c r="B6" s="404">
        <v>98.9</v>
      </c>
      <c r="C6" s="404">
        <v>98.26514995</v>
      </c>
      <c r="D6" s="405"/>
    </row>
    <row r="7" s="397" customFormat="1" ht="23.1" customHeight="1" spans="1:4">
      <c r="A7" s="403" t="s">
        <v>431</v>
      </c>
      <c r="B7" s="404">
        <v>110.1</v>
      </c>
      <c r="C7" s="404">
        <v>105.8897615</v>
      </c>
      <c r="D7" s="405"/>
    </row>
    <row r="8" s="397" customFormat="1" ht="23.1" customHeight="1" spans="1:4">
      <c r="A8" s="403" t="s">
        <v>432</v>
      </c>
      <c r="B8" s="404">
        <v>91.9</v>
      </c>
      <c r="C8" s="404">
        <v>94.27993707</v>
      </c>
      <c r="D8" s="406"/>
    </row>
    <row r="9" s="397" customFormat="1" ht="23.1" customHeight="1" spans="1:4">
      <c r="A9" s="403" t="s">
        <v>433</v>
      </c>
      <c r="B9" s="404">
        <v>97.6</v>
      </c>
      <c r="C9" s="404">
        <v>98.90231532</v>
      </c>
      <c r="D9" s="246"/>
    </row>
    <row r="10" s="397" customFormat="1" ht="23.1" customHeight="1" spans="1:4">
      <c r="A10" s="403" t="s">
        <v>434</v>
      </c>
      <c r="B10" s="404">
        <v>102.6</v>
      </c>
      <c r="C10" s="404">
        <v>103.79417771</v>
      </c>
      <c r="D10" s="246"/>
    </row>
    <row r="11" s="397" customFormat="1" ht="23.1" customHeight="1" spans="1:4">
      <c r="A11" s="403" t="s">
        <v>435</v>
      </c>
      <c r="B11" s="404">
        <v>101.6</v>
      </c>
      <c r="C11" s="404">
        <v>103.52443508</v>
      </c>
      <c r="D11" s="246"/>
    </row>
    <row r="12" s="397" customFormat="1" ht="23.1" customHeight="1" spans="1:4">
      <c r="A12" s="403" t="s">
        <v>436</v>
      </c>
      <c r="B12" s="404">
        <v>105.1</v>
      </c>
      <c r="C12" s="404">
        <v>105.29886518</v>
      </c>
      <c r="D12" s="246"/>
    </row>
    <row r="13" s="397" customFormat="1" ht="23.1" customHeight="1" spans="1:4">
      <c r="A13" s="403" t="s">
        <v>437</v>
      </c>
      <c r="B13" s="404">
        <v>103.3</v>
      </c>
      <c r="C13" s="404">
        <v>103.57459143</v>
      </c>
      <c r="D13" s="246"/>
    </row>
    <row r="14" s="397" customFormat="1" ht="23.1" customHeight="1" spans="1:4">
      <c r="A14" s="403" t="s">
        <v>438</v>
      </c>
      <c r="B14" s="404">
        <v>100.6</v>
      </c>
      <c r="C14" s="404">
        <v>100.60803841</v>
      </c>
      <c r="D14" s="246"/>
    </row>
    <row r="15" s="397" customFormat="1" ht="23.1" customHeight="1" spans="1:4">
      <c r="A15" s="403" t="s">
        <v>439</v>
      </c>
      <c r="B15" s="404">
        <v>100.1</v>
      </c>
      <c r="C15" s="404">
        <v>98.91052962</v>
      </c>
      <c r="D15" s="246"/>
    </row>
    <row r="16" s="397" customFormat="1" ht="23.1" customHeight="1" spans="1:4">
      <c r="A16" s="403" t="s">
        <v>440</v>
      </c>
      <c r="B16" s="404">
        <v>100.9</v>
      </c>
      <c r="C16" s="404">
        <v>101.16023379</v>
      </c>
      <c r="D16" s="246"/>
    </row>
    <row r="17" s="397" customFormat="1" ht="23.1" customHeight="1" spans="1:4">
      <c r="A17" s="403" t="s">
        <v>441</v>
      </c>
      <c r="B17" s="404">
        <v>102.7</v>
      </c>
      <c r="C17" s="404">
        <v>103.48228301</v>
      </c>
      <c r="D17" s="246"/>
    </row>
    <row r="18" s="397" customFormat="1" ht="23.1" customHeight="1" spans="1:4">
      <c r="A18" s="403" t="s">
        <v>442</v>
      </c>
      <c r="B18" s="404">
        <v>105.3</v>
      </c>
      <c r="C18" s="404">
        <v>103.15201094</v>
      </c>
      <c r="D18" s="246"/>
    </row>
    <row r="19" s="397" customFormat="1" ht="23.1" customHeight="1" spans="1:4">
      <c r="A19" s="403" t="s">
        <v>443</v>
      </c>
      <c r="B19" s="404">
        <v>100.3</v>
      </c>
      <c r="C19" s="404">
        <v>100.60833838</v>
      </c>
      <c r="D19" s="246"/>
    </row>
    <row r="20" s="397" customFormat="1" ht="23.1" customHeight="1" spans="1:4">
      <c r="A20" s="403" t="s">
        <v>444</v>
      </c>
      <c r="B20" s="404">
        <v>103.6</v>
      </c>
      <c r="C20" s="404">
        <v>103.41228697</v>
      </c>
      <c r="D20" s="246"/>
    </row>
    <row r="21" s="397" customFormat="1" ht="23.1" customHeight="1" spans="1:4">
      <c r="A21" s="407" t="s">
        <v>445</v>
      </c>
      <c r="B21" s="408">
        <v>100.1</v>
      </c>
      <c r="C21" s="409">
        <v>99.93789232</v>
      </c>
      <c r="D21" s="246"/>
    </row>
    <row r="22" ht="28.5" customHeight="1" spans="1:4">
      <c r="A22" s="410" t="s">
        <v>446</v>
      </c>
      <c r="B22" s="410"/>
      <c r="C22" s="410"/>
    </row>
  </sheetData>
  <mergeCells count="2">
    <mergeCell ref="A1:C1"/>
    <mergeCell ref="A22:C22"/>
  </mergeCells>
  <printOptions horizontalCentered="1"/>
  <pageMargins left="0.55" right="0.55" top="0.979166666666667" bottom="0.979166666666667" header="0.509027777777778" footer="0.509027777777778"/>
  <pageSetup paperSize="9" orientation="portrait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C00000"/>
  </sheetPr>
  <dimension ref="A1:F28"/>
  <sheetViews>
    <sheetView workbookViewId="0">
      <selection activeCell="F16" sqref="F16"/>
    </sheetView>
  </sheetViews>
  <sheetFormatPr defaultColWidth="9" defaultRowHeight="14.25" outlineLevelCol="5"/>
  <cols>
    <col min="1" max="1" width="33.375" style="240" customWidth="1"/>
    <col min="2" max="2" width="13.125" style="241" customWidth="1"/>
    <col min="3" max="3" width="13.125" style="391" customWidth="1"/>
    <col min="4" max="4" width="13.125" style="241" customWidth="1"/>
    <col min="5" max="16384" width="9" style="241"/>
  </cols>
  <sheetData>
    <row r="1" ht="33.75" customHeight="1" spans="1:6">
      <c r="A1" s="371" t="s">
        <v>447</v>
      </c>
      <c r="B1" s="371"/>
      <c r="C1" s="371"/>
      <c r="D1" s="372"/>
    </row>
    <row r="2" ht="20.25" customHeight="1" spans="1:6">
      <c r="A2" s="220"/>
      <c r="B2" s="220"/>
      <c r="C2" s="392"/>
      <c r="D2" s="281" t="s">
        <v>39</v>
      </c>
    </row>
    <row r="3" ht="31.5" customHeight="1" spans="1:6">
      <c r="A3" s="91" t="s">
        <v>448</v>
      </c>
      <c r="B3" s="142" t="s">
        <v>83</v>
      </c>
      <c r="C3" s="93" t="s">
        <v>6</v>
      </c>
      <c r="D3" s="142" t="s">
        <v>449</v>
      </c>
    </row>
    <row r="4" ht="18" customHeight="1" spans="1:6">
      <c r="A4" s="306" t="s">
        <v>450</v>
      </c>
      <c r="B4" s="341"/>
      <c r="C4" s="131"/>
      <c r="D4" s="234"/>
    </row>
    <row r="5" ht="18" customHeight="1" spans="1:6">
      <c r="A5" s="203" t="s">
        <v>451</v>
      </c>
      <c r="B5" s="107">
        <v>670.483</v>
      </c>
      <c r="C5" s="130">
        <v>6.79998425115946</v>
      </c>
      <c r="D5" s="225" t="s">
        <v>9</v>
      </c>
      <c r="F5" s="393"/>
    </row>
    <row r="6" ht="18" customHeight="1" spans="1:6">
      <c r="A6" s="203" t="s">
        <v>452</v>
      </c>
      <c r="B6" s="107">
        <v>77.121313</v>
      </c>
      <c r="C6" s="130">
        <v>7.40124628201507</v>
      </c>
      <c r="D6" s="225">
        <v>4</v>
      </c>
      <c r="F6" s="393"/>
    </row>
    <row r="7" ht="18" customHeight="1" spans="1:6">
      <c r="A7" s="210" t="s">
        <v>453</v>
      </c>
      <c r="B7" s="107">
        <v>101.947127</v>
      </c>
      <c r="C7" s="130">
        <v>7.47731917786254</v>
      </c>
      <c r="D7" s="225">
        <v>3</v>
      </c>
      <c r="F7" s="393"/>
    </row>
    <row r="8" ht="18" customHeight="1" spans="1:6">
      <c r="A8" s="211" t="s">
        <v>454</v>
      </c>
      <c r="B8" s="107">
        <v>70.645578</v>
      </c>
      <c r="C8" s="130">
        <v>4.54063734873442</v>
      </c>
      <c r="D8" s="225">
        <v>9</v>
      </c>
      <c r="F8" s="393"/>
    </row>
    <row r="9" ht="18" customHeight="1" spans="1:6">
      <c r="A9" s="210" t="s">
        <v>455</v>
      </c>
      <c r="B9" s="107">
        <v>38.422838</v>
      </c>
      <c r="C9" s="130">
        <v>8.65890557194385</v>
      </c>
      <c r="D9" s="225">
        <v>1</v>
      </c>
      <c r="F9" s="393"/>
    </row>
    <row r="10" ht="18" customHeight="1" spans="1:6">
      <c r="A10" s="210" t="s">
        <v>456</v>
      </c>
      <c r="B10" s="107">
        <v>113.690687</v>
      </c>
      <c r="C10" s="130">
        <v>1.46486172675502</v>
      </c>
      <c r="D10" s="225">
        <v>10</v>
      </c>
      <c r="F10" s="393"/>
    </row>
    <row r="11" ht="18" customHeight="1" spans="1:6">
      <c r="A11" s="210" t="s">
        <v>457</v>
      </c>
      <c r="B11" s="107">
        <v>51.98032</v>
      </c>
      <c r="C11" s="130">
        <v>5.03313187503866</v>
      </c>
      <c r="D11" s="225">
        <v>8</v>
      </c>
      <c r="F11" s="393"/>
    </row>
    <row r="12" ht="18" customHeight="1" spans="1:6">
      <c r="A12" s="212" t="s">
        <v>458</v>
      </c>
      <c r="B12" s="107">
        <v>41.731166</v>
      </c>
      <c r="C12" s="130">
        <v>7.14068605547982</v>
      </c>
      <c r="D12" s="225">
        <v>6</v>
      </c>
      <c r="F12" s="393"/>
    </row>
    <row r="13" ht="18" customHeight="1" spans="1:6">
      <c r="A13" s="212" t="s">
        <v>459</v>
      </c>
      <c r="B13" s="107">
        <v>62.262557</v>
      </c>
      <c r="C13" s="130">
        <v>6.30275493915103</v>
      </c>
      <c r="D13" s="225">
        <v>7</v>
      </c>
      <c r="F13" s="393"/>
    </row>
    <row r="14" ht="18" customHeight="1" spans="1:6">
      <c r="A14" s="212" t="s">
        <v>460</v>
      </c>
      <c r="B14" s="107">
        <v>60.756485</v>
      </c>
      <c r="C14" s="130">
        <v>7.67772743678012</v>
      </c>
      <c r="D14" s="225">
        <v>2</v>
      </c>
      <c r="F14" s="393"/>
    </row>
    <row r="15" ht="18" customHeight="1" spans="1:6">
      <c r="A15" s="212" t="s">
        <v>461</v>
      </c>
      <c r="B15" s="107">
        <v>86.193886</v>
      </c>
      <c r="C15" s="130">
        <v>7.37024760294543</v>
      </c>
      <c r="D15" s="225">
        <v>4</v>
      </c>
      <c r="F15" s="393"/>
    </row>
    <row r="16" ht="18" customHeight="1" spans="1:6">
      <c r="A16" s="198" t="s">
        <v>462</v>
      </c>
      <c r="B16" s="107"/>
      <c r="C16" s="130"/>
      <c r="D16" s="225"/>
      <c r="E16" s="244"/>
    </row>
    <row r="17" ht="18" customHeight="1" spans="1:4">
      <c r="A17" s="203" t="s">
        <v>451</v>
      </c>
      <c r="B17" s="107">
        <v>93.7282</v>
      </c>
      <c r="C17" s="130">
        <v>6.25737712284018</v>
      </c>
      <c r="D17" s="225" t="s">
        <v>9</v>
      </c>
    </row>
    <row r="18" ht="18" customHeight="1" spans="1:4">
      <c r="A18" s="203" t="s">
        <v>452</v>
      </c>
      <c r="B18" s="107">
        <v>0.3113</v>
      </c>
      <c r="C18" s="130">
        <v>-1.84331797235023</v>
      </c>
      <c r="D18" s="225">
        <v>10</v>
      </c>
    </row>
    <row r="19" ht="18" customHeight="1" spans="1:4">
      <c r="A19" s="210" t="s">
        <v>453</v>
      </c>
      <c r="B19" s="107">
        <v>0.379897</v>
      </c>
      <c r="C19" s="130">
        <v>2.81578425540351</v>
      </c>
      <c r="D19" s="225">
        <v>8</v>
      </c>
    </row>
    <row r="20" ht="18" customHeight="1" spans="1:4">
      <c r="A20" s="211" t="s">
        <v>454</v>
      </c>
      <c r="B20" s="107">
        <v>3.364323</v>
      </c>
      <c r="C20" s="130">
        <v>4.20010826578408</v>
      </c>
      <c r="D20" s="225">
        <v>7</v>
      </c>
    </row>
    <row r="21" ht="18" customHeight="1" spans="1:4">
      <c r="A21" s="210" t="s">
        <v>455</v>
      </c>
      <c r="B21" s="107">
        <v>4.391841</v>
      </c>
      <c r="C21" s="130">
        <v>5.87976990407144</v>
      </c>
      <c r="D21" s="225">
        <v>6</v>
      </c>
    </row>
    <row r="22" ht="18" customHeight="1" spans="1:4">
      <c r="A22" s="210" t="s">
        <v>456</v>
      </c>
      <c r="B22" s="107">
        <v>3.2222</v>
      </c>
      <c r="C22" s="130">
        <v>-1.13072674103758</v>
      </c>
      <c r="D22" s="225">
        <v>9</v>
      </c>
    </row>
    <row r="23" ht="18" customHeight="1" spans="1:4">
      <c r="A23" s="210" t="s">
        <v>457</v>
      </c>
      <c r="B23" s="107">
        <v>5.7137</v>
      </c>
      <c r="C23" s="130">
        <v>6.41367355687686</v>
      </c>
      <c r="D23" s="225">
        <v>4</v>
      </c>
    </row>
    <row r="24" ht="18" customHeight="1" spans="1:4">
      <c r="A24" s="212" t="s">
        <v>458</v>
      </c>
      <c r="B24" s="107">
        <v>15.15175</v>
      </c>
      <c r="C24" s="130">
        <v>7.02532073574393</v>
      </c>
      <c r="D24" s="225">
        <v>1</v>
      </c>
    </row>
    <row r="25" ht="18" customHeight="1" spans="1:4">
      <c r="A25" s="212" t="s">
        <v>459</v>
      </c>
      <c r="B25" s="107">
        <v>21.8983</v>
      </c>
      <c r="C25" s="130">
        <v>6.95906557622088</v>
      </c>
      <c r="D25" s="225">
        <v>1</v>
      </c>
    </row>
    <row r="26" ht="18" customHeight="1" spans="1:4">
      <c r="A26" s="212" t="s">
        <v>460</v>
      </c>
      <c r="B26" s="107">
        <v>18.932588</v>
      </c>
      <c r="C26" s="130">
        <v>6.60975558629941</v>
      </c>
      <c r="D26" s="225">
        <v>3</v>
      </c>
    </row>
    <row r="27" ht="18" customHeight="1" spans="1:4">
      <c r="A27" s="394" t="s">
        <v>461</v>
      </c>
      <c r="B27" s="298">
        <v>20.410796</v>
      </c>
      <c r="C27" s="130">
        <v>5.99080903727447</v>
      </c>
      <c r="D27" s="225">
        <v>5</v>
      </c>
    </row>
    <row r="28" ht="22" customHeight="1" spans="1:4">
      <c r="A28" s="395" t="s">
        <v>463</v>
      </c>
      <c r="B28" s="396"/>
      <c r="C28" s="395"/>
      <c r="D28" s="395"/>
    </row>
  </sheetData>
  <mergeCells count="2">
    <mergeCell ref="A1:D1"/>
    <mergeCell ref="A28:D28"/>
  </mergeCells>
  <printOptions horizontalCentered="1"/>
  <pageMargins left="0.75" right="0.75" top="0.388888888888889" bottom="0.388888888888889" header="0.509027777777778" footer="0.509027777777778"/>
  <pageSetup paperSize="9" orientation="portrait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C00000"/>
  </sheetPr>
  <dimension ref="A1:D42"/>
  <sheetViews>
    <sheetView workbookViewId="0">
      <selection activeCell="F25" sqref="F25"/>
    </sheetView>
  </sheetViews>
  <sheetFormatPr defaultColWidth="9" defaultRowHeight="14.25" outlineLevelCol="3"/>
  <cols>
    <col min="1" max="1" width="32.375" style="240" customWidth="1"/>
    <col min="2" max="2" width="13.125" style="241" customWidth="1"/>
    <col min="3" max="3" width="13.125" style="280" customWidth="1"/>
    <col min="4" max="4" width="13.125" style="241" customWidth="1"/>
    <col min="5" max="16384" width="9" style="241"/>
  </cols>
  <sheetData>
    <row r="1" ht="34.5" customHeight="1" spans="1:4">
      <c r="A1" s="371" t="s">
        <v>464</v>
      </c>
      <c r="B1" s="371"/>
      <c r="C1" s="371"/>
      <c r="D1" s="372"/>
    </row>
    <row r="2" ht="15" customHeight="1" spans="1:4">
      <c r="A2" s="289"/>
      <c r="B2" s="289"/>
      <c r="C2" s="289"/>
      <c r="D2" s="281" t="s">
        <v>39</v>
      </c>
    </row>
    <row r="3" ht="28.5" customHeight="1" spans="1:4">
      <c r="A3" s="330" t="s">
        <v>448</v>
      </c>
      <c r="B3" s="283" t="s">
        <v>83</v>
      </c>
      <c r="C3" s="282" t="s">
        <v>6</v>
      </c>
      <c r="D3" s="283" t="s">
        <v>449</v>
      </c>
    </row>
    <row r="4" ht="18" customHeight="1" spans="1:4">
      <c r="A4" s="292" t="s">
        <v>465</v>
      </c>
      <c r="B4" s="383"/>
      <c r="C4" s="384"/>
      <c r="D4" s="295"/>
    </row>
    <row r="5" ht="18" customHeight="1" spans="1:4">
      <c r="A5" s="288" t="s">
        <v>451</v>
      </c>
      <c r="B5" s="375">
        <v>230.142</v>
      </c>
      <c r="C5" s="385">
        <v>7.30595526063857</v>
      </c>
      <c r="D5" s="295" t="s">
        <v>9</v>
      </c>
    </row>
    <row r="6" ht="18" customHeight="1" spans="1:4">
      <c r="A6" s="288" t="s">
        <v>452</v>
      </c>
      <c r="B6" s="375">
        <v>16.5896</v>
      </c>
      <c r="C6" s="385">
        <v>4.11144033652901</v>
      </c>
      <c r="D6" s="295">
        <v>8</v>
      </c>
    </row>
    <row r="7" ht="18" customHeight="1" spans="1:4">
      <c r="A7" s="290" t="s">
        <v>453</v>
      </c>
      <c r="B7" s="375">
        <v>39.0107</v>
      </c>
      <c r="C7" s="385">
        <v>7.69059085095243</v>
      </c>
      <c r="D7" s="295">
        <v>4</v>
      </c>
    </row>
    <row r="8" ht="18" customHeight="1" spans="1:4">
      <c r="A8" s="291" t="s">
        <v>454</v>
      </c>
      <c r="B8" s="375">
        <v>51.6721</v>
      </c>
      <c r="C8" s="385">
        <v>4.3248860104091</v>
      </c>
      <c r="D8" s="295">
        <v>7</v>
      </c>
    </row>
    <row r="9" ht="18" customHeight="1" spans="1:4">
      <c r="A9" s="290" t="s">
        <v>455</v>
      </c>
      <c r="B9" s="375">
        <v>24.1961</v>
      </c>
      <c r="C9" s="385">
        <v>10.4175719127488</v>
      </c>
      <c r="D9" s="295">
        <v>1</v>
      </c>
    </row>
    <row r="10" ht="18" customHeight="1" spans="1:4">
      <c r="A10" s="290" t="s">
        <v>456</v>
      </c>
      <c r="B10" s="375">
        <v>73.1928</v>
      </c>
      <c r="C10" s="385">
        <v>6.43215669981552</v>
      </c>
      <c r="D10" s="295">
        <v>5</v>
      </c>
    </row>
    <row r="11" ht="18" customHeight="1" spans="1:4">
      <c r="A11" s="290" t="s">
        <v>457</v>
      </c>
      <c r="B11" s="375">
        <v>21.5219</v>
      </c>
      <c r="C11" s="385">
        <v>3.54625774347517</v>
      </c>
      <c r="D11" s="295">
        <v>9</v>
      </c>
    </row>
    <row r="12" ht="18" customHeight="1" spans="1:4">
      <c r="A12" s="290" t="s">
        <v>458</v>
      </c>
      <c r="B12" s="375">
        <v>4.5268</v>
      </c>
      <c r="C12" s="385">
        <v>0.419874037788674</v>
      </c>
      <c r="D12" s="295">
        <v>10</v>
      </c>
    </row>
    <row r="13" ht="18" customHeight="1" spans="1:4">
      <c r="A13" s="290" t="s">
        <v>459</v>
      </c>
      <c r="B13" s="375">
        <v>8.094</v>
      </c>
      <c r="C13" s="385">
        <v>4.83891622912131</v>
      </c>
      <c r="D13" s="295">
        <v>6</v>
      </c>
    </row>
    <row r="14" ht="18" customHeight="1" spans="1:4">
      <c r="A14" s="290" t="s">
        <v>460</v>
      </c>
      <c r="B14" s="375">
        <v>17.2603</v>
      </c>
      <c r="C14" s="385">
        <v>7.92211580533812</v>
      </c>
      <c r="D14" s="295">
        <v>3</v>
      </c>
    </row>
    <row r="15" ht="18" customHeight="1" spans="1:4">
      <c r="A15" s="290" t="s">
        <v>461</v>
      </c>
      <c r="B15" s="375">
        <v>33.096</v>
      </c>
      <c r="C15" s="385">
        <v>10.1854323967378</v>
      </c>
      <c r="D15" s="295">
        <v>2</v>
      </c>
    </row>
    <row r="16" ht="18" customHeight="1" spans="1:4">
      <c r="A16" s="222" t="s">
        <v>466</v>
      </c>
      <c r="B16" s="386"/>
      <c r="C16" s="387"/>
      <c r="D16" s="225"/>
    </row>
    <row r="17" ht="18" customHeight="1" spans="1:4">
      <c r="A17" s="288" t="s">
        <v>451</v>
      </c>
      <c r="B17" s="379">
        <v>346.6128</v>
      </c>
      <c r="C17" s="205">
        <v>6.59028888359589</v>
      </c>
      <c r="D17" s="377" t="s">
        <v>9</v>
      </c>
    </row>
    <row r="18" ht="18" customHeight="1" spans="1:4">
      <c r="A18" s="288" t="s">
        <v>452</v>
      </c>
      <c r="B18" s="379">
        <v>60.220413</v>
      </c>
      <c r="C18" s="205">
        <v>8.48589912297983</v>
      </c>
      <c r="D18" s="378">
        <v>2</v>
      </c>
    </row>
    <row r="19" ht="18" customHeight="1" spans="1:4">
      <c r="A19" s="290" t="s">
        <v>453</v>
      </c>
      <c r="B19" s="379">
        <v>62.55653</v>
      </c>
      <c r="C19" s="205">
        <v>7.38123832550011</v>
      </c>
      <c r="D19" s="378">
        <v>4</v>
      </c>
    </row>
    <row r="20" ht="18" customHeight="1" spans="1:4">
      <c r="A20" s="291" t="s">
        <v>454</v>
      </c>
      <c r="B20" s="379">
        <v>15.609155</v>
      </c>
      <c r="C20" s="205">
        <v>5.39866756307839</v>
      </c>
      <c r="D20" s="378">
        <v>9</v>
      </c>
    </row>
    <row r="21" ht="18" customHeight="1" spans="1:4">
      <c r="A21" s="290" t="s">
        <v>455</v>
      </c>
      <c r="B21" s="379">
        <v>9.834897</v>
      </c>
      <c r="C21" s="205">
        <v>6.38936895540176</v>
      </c>
      <c r="D21" s="378">
        <v>5</v>
      </c>
    </row>
    <row r="22" ht="18" customHeight="1" spans="1:4">
      <c r="A22" s="290" t="s">
        <v>456</v>
      </c>
      <c r="B22" s="379">
        <v>37.275687</v>
      </c>
      <c r="C22" s="205">
        <v>-6.00126859325555</v>
      </c>
      <c r="D22" s="378">
        <v>10</v>
      </c>
    </row>
    <row r="23" ht="18" customHeight="1" spans="1:4">
      <c r="A23" s="290" t="s">
        <v>457</v>
      </c>
      <c r="B23" s="379">
        <v>24.74472</v>
      </c>
      <c r="C23" s="205">
        <v>5.90610883202707</v>
      </c>
      <c r="D23" s="378">
        <v>7</v>
      </c>
    </row>
    <row r="24" ht="18" customHeight="1" spans="1:4">
      <c r="A24" s="290" t="s">
        <v>458</v>
      </c>
      <c r="B24" s="379">
        <v>22.052616</v>
      </c>
      <c r="C24" s="205">
        <v>8.76717429504792</v>
      </c>
      <c r="D24" s="378">
        <v>1</v>
      </c>
    </row>
    <row r="25" ht="18" customHeight="1" spans="1:4">
      <c r="A25" s="290" t="s">
        <v>459</v>
      </c>
      <c r="B25" s="379">
        <v>32.270257</v>
      </c>
      <c r="C25" s="205">
        <v>6.43245530593401</v>
      </c>
      <c r="D25" s="378">
        <v>5</v>
      </c>
    </row>
    <row r="26" ht="18" customHeight="1" spans="1:4">
      <c r="A26" s="290" t="s">
        <v>460</v>
      </c>
      <c r="B26" s="379">
        <v>24.563597</v>
      </c>
      <c r="C26" s="205">
        <v>8.53660931338834</v>
      </c>
      <c r="D26" s="378">
        <v>2</v>
      </c>
    </row>
    <row r="27" ht="18" customHeight="1" spans="1:4">
      <c r="A27" s="218" t="s">
        <v>461</v>
      </c>
      <c r="B27" s="388">
        <v>32.68709</v>
      </c>
      <c r="C27" s="389">
        <v>5.55573071573954</v>
      </c>
      <c r="D27" s="390">
        <v>8</v>
      </c>
    </row>
    <row r="28" ht="18" customHeight="1" spans="1:4">
      <c r="A28" s="241"/>
      <c r="C28" s="241"/>
    </row>
    <row r="32" spans="1:4">
      <c r="A32" s="302"/>
    </row>
    <row r="33" spans="1:1">
      <c r="A33" s="302"/>
    </row>
    <row r="34" spans="1:1">
      <c r="A34" s="302"/>
    </row>
    <row r="35" spans="1:1">
      <c r="A35" s="303"/>
    </row>
    <row r="36" spans="1:1">
      <c r="A36" s="304"/>
    </row>
    <row r="37" spans="1:1">
      <c r="A37" s="304"/>
    </row>
    <row r="38" spans="1:1">
      <c r="A38" s="304"/>
    </row>
    <row r="39" spans="1:1">
      <c r="A39" s="304"/>
    </row>
    <row r="40" spans="1:1">
      <c r="A40" s="304"/>
    </row>
    <row r="41" spans="1:1">
      <c r="A41" s="284"/>
    </row>
    <row r="42" spans="1:1">
      <c r="A42" s="302"/>
    </row>
  </sheetData>
  <mergeCells count="1">
    <mergeCell ref="A1:D1"/>
  </mergeCells>
  <pageMargins left="0.75" right="0.75" top="0.588888888888889" bottom="0.588888888888889" header="0.509027777777778" footer="0.509027777777778"/>
  <pageSetup paperSize="9" scale="98" orientation="portrait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C00000"/>
  </sheetPr>
  <dimension ref="A1:D43"/>
  <sheetViews>
    <sheetView workbookViewId="0">
      <selection activeCell="A5" sqref="A5"/>
    </sheetView>
  </sheetViews>
  <sheetFormatPr defaultColWidth="9" defaultRowHeight="14.25" outlineLevelCol="3"/>
  <cols>
    <col min="1" max="1" width="45" style="240" customWidth="1"/>
    <col min="2" max="2" width="11.5" style="241" customWidth="1"/>
    <col min="3" max="3" width="9.375" style="280" customWidth="1"/>
    <col min="4" max="4" width="12.25" style="241" customWidth="1"/>
    <col min="5" max="16384" width="9" style="241"/>
  </cols>
  <sheetData>
    <row r="1" ht="34.5" customHeight="1" spans="1:4">
      <c r="A1" s="371" t="s">
        <v>467</v>
      </c>
      <c r="B1" s="371"/>
      <c r="C1" s="371"/>
      <c r="D1" s="372"/>
    </row>
    <row r="2" ht="20.25" customHeight="1" spans="1:4">
      <c r="A2" s="289"/>
      <c r="B2" s="289"/>
      <c r="C2" s="289"/>
      <c r="D2" s="373" t="s">
        <v>39</v>
      </c>
    </row>
    <row r="3" ht="28.5" customHeight="1" spans="1:4">
      <c r="A3" s="330" t="s">
        <v>448</v>
      </c>
      <c r="B3" s="283" t="s">
        <v>83</v>
      </c>
      <c r="C3" s="282" t="s">
        <v>6</v>
      </c>
      <c r="D3" s="283" t="s">
        <v>449</v>
      </c>
    </row>
    <row r="4" ht="18" customHeight="1" spans="1:4">
      <c r="A4" s="374" t="s">
        <v>468</v>
      </c>
      <c r="B4" s="375"/>
      <c r="C4" s="212"/>
      <c r="D4" s="287"/>
    </row>
    <row r="5" ht="18" customHeight="1" spans="1:4">
      <c r="A5" s="288" t="s">
        <v>451</v>
      </c>
      <c r="B5" s="375">
        <v>204.3162</v>
      </c>
      <c r="C5" s="376">
        <v>6.69235851687347</v>
      </c>
      <c r="D5" s="377" t="s">
        <v>9</v>
      </c>
    </row>
    <row r="6" ht="18" customHeight="1" spans="1:4">
      <c r="A6" s="288" t="s">
        <v>452</v>
      </c>
      <c r="B6" s="375">
        <v>15.1368</v>
      </c>
      <c r="C6" s="376">
        <v>4.38954366878211</v>
      </c>
      <c r="D6" s="378">
        <v>8</v>
      </c>
    </row>
    <row r="7" ht="18" customHeight="1" spans="1:4">
      <c r="A7" s="290" t="s">
        <v>453</v>
      </c>
      <c r="B7" s="375">
        <v>34.984</v>
      </c>
      <c r="C7" s="376">
        <v>8.47116156440462</v>
      </c>
      <c r="D7" s="378">
        <v>3</v>
      </c>
    </row>
    <row r="8" ht="18" customHeight="1" spans="1:4">
      <c r="A8" s="291" t="s">
        <v>454</v>
      </c>
      <c r="B8" s="375">
        <v>49.91</v>
      </c>
      <c r="C8" s="376">
        <v>4.08339357222356</v>
      </c>
      <c r="D8" s="378">
        <v>9</v>
      </c>
    </row>
    <row r="9" ht="18" customHeight="1" spans="1:4">
      <c r="A9" s="290" t="s">
        <v>455</v>
      </c>
      <c r="B9" s="375">
        <v>23.2877</v>
      </c>
      <c r="C9" s="376">
        <v>11.076744964729</v>
      </c>
      <c r="D9" s="378">
        <v>2</v>
      </c>
    </row>
    <row r="10" ht="18" customHeight="1" spans="1:4">
      <c r="A10" s="290" t="s">
        <v>456</v>
      </c>
      <c r="B10" s="375">
        <v>69.828</v>
      </c>
      <c r="C10" s="376">
        <v>5.96106559657015</v>
      </c>
      <c r="D10" s="378">
        <v>5</v>
      </c>
    </row>
    <row r="11" ht="18" customHeight="1" spans="1:4">
      <c r="A11" s="290" t="s">
        <v>457</v>
      </c>
      <c r="B11" s="375">
        <v>16.1654</v>
      </c>
      <c r="C11" s="376">
        <v>4.74369197086211</v>
      </c>
      <c r="D11" s="378">
        <v>7</v>
      </c>
    </row>
    <row r="12" ht="18" customHeight="1" spans="1:4">
      <c r="A12" s="290" t="s">
        <v>458</v>
      </c>
      <c r="B12" s="375">
        <v>3.6239</v>
      </c>
      <c r="C12" s="376">
        <v>1.17296351500227</v>
      </c>
      <c r="D12" s="378">
        <v>10</v>
      </c>
    </row>
    <row r="13" ht="18" customHeight="1" spans="1:4">
      <c r="A13" s="290" t="s">
        <v>459</v>
      </c>
      <c r="B13" s="375">
        <v>7.5222</v>
      </c>
      <c r="C13" s="376">
        <v>5.01848967540348</v>
      </c>
      <c r="D13" s="378">
        <v>6</v>
      </c>
    </row>
    <row r="14" ht="18" customHeight="1" spans="1:4">
      <c r="A14" s="290" t="s">
        <v>460</v>
      </c>
      <c r="B14" s="375">
        <v>16.5669</v>
      </c>
      <c r="C14" s="376">
        <v>8.24848790322581</v>
      </c>
      <c r="D14" s="378">
        <v>4</v>
      </c>
    </row>
    <row r="15" ht="18" customHeight="1" spans="1:4">
      <c r="A15" s="290" t="s">
        <v>461</v>
      </c>
      <c r="B15" s="375">
        <v>26.9325</v>
      </c>
      <c r="C15" s="376">
        <v>11.7207209156408</v>
      </c>
      <c r="D15" s="378">
        <v>1</v>
      </c>
    </row>
    <row r="16" ht="18" customHeight="1" spans="1:4">
      <c r="A16" s="292" t="s">
        <v>469</v>
      </c>
      <c r="B16" s="379"/>
      <c r="C16" s="345"/>
      <c r="D16" s="225"/>
    </row>
    <row r="17" ht="18" customHeight="1" spans="1:4">
      <c r="A17" s="288" t="s">
        <v>451</v>
      </c>
      <c r="B17" s="379">
        <v>530.6468</v>
      </c>
      <c r="C17" s="201" t="s">
        <v>9</v>
      </c>
      <c r="D17" s="295" t="s">
        <v>9</v>
      </c>
    </row>
    <row r="18" ht="18" customHeight="1" spans="1:4">
      <c r="A18" s="288" t="s">
        <v>452</v>
      </c>
      <c r="B18" s="379">
        <v>23.1252</v>
      </c>
      <c r="C18" s="201" t="s">
        <v>9</v>
      </c>
      <c r="D18" s="295" t="s">
        <v>9</v>
      </c>
    </row>
    <row r="19" ht="18" customHeight="1" spans="1:4">
      <c r="A19" s="290" t="s">
        <v>453</v>
      </c>
      <c r="B19" s="379">
        <v>142.2174</v>
      </c>
      <c r="C19" s="201" t="s">
        <v>9</v>
      </c>
      <c r="D19" s="295" t="s">
        <v>9</v>
      </c>
    </row>
    <row r="20" ht="18" customHeight="1" spans="1:4">
      <c r="A20" s="291" t="s">
        <v>454</v>
      </c>
      <c r="B20" s="379">
        <v>58.3515</v>
      </c>
      <c r="C20" s="201" t="s">
        <v>9</v>
      </c>
      <c r="D20" s="295" t="s">
        <v>9</v>
      </c>
    </row>
    <row r="21" ht="18" customHeight="1" spans="1:4">
      <c r="A21" s="290" t="s">
        <v>455</v>
      </c>
      <c r="B21" s="379">
        <v>41.2936</v>
      </c>
      <c r="C21" s="201" t="s">
        <v>9</v>
      </c>
      <c r="D21" s="295" t="s">
        <v>9</v>
      </c>
    </row>
    <row r="22" ht="18" customHeight="1" spans="1:4">
      <c r="A22" s="290" t="s">
        <v>457</v>
      </c>
      <c r="B22" s="379">
        <v>27.6968</v>
      </c>
      <c r="C22" s="201" t="s">
        <v>9</v>
      </c>
      <c r="D22" s="295" t="s">
        <v>9</v>
      </c>
    </row>
    <row r="23" ht="18" customHeight="1" spans="1:4">
      <c r="A23" s="290" t="s">
        <v>458</v>
      </c>
      <c r="B23" s="379">
        <v>6.0817</v>
      </c>
      <c r="C23" s="201" t="s">
        <v>9</v>
      </c>
      <c r="D23" s="295" t="s">
        <v>9</v>
      </c>
    </row>
    <row r="24" ht="18" customHeight="1" spans="1:4">
      <c r="A24" s="290" t="s">
        <v>459</v>
      </c>
      <c r="B24" s="379">
        <v>19.5058</v>
      </c>
      <c r="C24" s="201" t="s">
        <v>9</v>
      </c>
      <c r="D24" s="295" t="s">
        <v>9</v>
      </c>
    </row>
    <row r="25" ht="18" customHeight="1" spans="1:4">
      <c r="A25" s="290" t="s">
        <v>470</v>
      </c>
      <c r="B25" s="379">
        <v>0</v>
      </c>
      <c r="C25" s="201" t="s">
        <v>9</v>
      </c>
      <c r="D25" s="295" t="s">
        <v>9</v>
      </c>
    </row>
    <row r="26" ht="18" customHeight="1" spans="1:4">
      <c r="A26" s="290" t="s">
        <v>460</v>
      </c>
      <c r="B26" s="379">
        <v>37.7774</v>
      </c>
      <c r="C26" s="201" t="s">
        <v>9</v>
      </c>
      <c r="D26" s="295" t="s">
        <v>9</v>
      </c>
    </row>
    <row r="27" ht="18" customHeight="1" spans="1:4">
      <c r="A27" s="290" t="s">
        <v>461</v>
      </c>
      <c r="B27" s="379">
        <v>78.3022</v>
      </c>
      <c r="C27" s="201" t="s">
        <v>9</v>
      </c>
      <c r="D27" s="295" t="s">
        <v>9</v>
      </c>
    </row>
    <row r="28" ht="18" customHeight="1" spans="1:4">
      <c r="A28" s="297" t="s">
        <v>471</v>
      </c>
      <c r="B28" s="380">
        <v>148.9241</v>
      </c>
      <c r="C28" s="381" t="s">
        <v>9</v>
      </c>
      <c r="D28" s="382" t="s">
        <v>9</v>
      </c>
    </row>
    <row r="33" spans="1:1">
      <c r="A33" s="302"/>
    </row>
    <row r="34" spans="1:1">
      <c r="A34" s="302"/>
    </row>
    <row r="35" spans="1:1">
      <c r="A35" s="302"/>
    </row>
    <row r="36" spans="1:1">
      <c r="A36" s="303"/>
    </row>
    <row r="37" spans="1:1">
      <c r="A37" s="304"/>
    </row>
    <row r="38" spans="1:1">
      <c r="A38" s="304"/>
    </row>
    <row r="39" spans="1:1">
      <c r="A39" s="304"/>
    </row>
    <row r="40" spans="1:1">
      <c r="A40" s="304"/>
    </row>
    <row r="41" spans="1:1">
      <c r="A41" s="304"/>
    </row>
    <row r="42" spans="1:1">
      <c r="A42" s="284"/>
    </row>
    <row r="43" spans="1:1">
      <c r="A43" s="302"/>
    </row>
  </sheetData>
  <mergeCells count="1">
    <mergeCell ref="A1:D1"/>
  </mergeCells>
  <pageMargins left="0.75" right="0.75" top="0.588888888888889" bottom="0.588888888888889" header="0.509027777777778" footer="0.509027777777778"/>
  <pageSetup paperSize="9" scale="98" orientation="portrait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38"/>
  <sheetViews>
    <sheetView workbookViewId="0">
      <selection activeCell="F18" sqref="F18"/>
    </sheetView>
  </sheetViews>
  <sheetFormatPr defaultColWidth="9" defaultRowHeight="14.25" outlineLevelCol="4"/>
  <cols>
    <col min="1" max="1" width="33.875" style="45" customWidth="1"/>
    <col min="2" max="2" width="13" style="45" customWidth="1"/>
    <col min="3" max="3" width="13.0083333333333" style="45" customWidth="1"/>
    <col min="4" max="4" width="13.125" style="44" customWidth="1"/>
    <col min="5" max="5" width="13.125" style="305" customWidth="1"/>
    <col min="6" max="16384" width="9" style="44"/>
  </cols>
  <sheetData>
    <row r="1" ht="34.5" customHeight="1" spans="1:5">
      <c r="A1" s="352" t="s">
        <v>472</v>
      </c>
      <c r="B1" s="352"/>
      <c r="C1" s="352"/>
      <c r="D1" s="352"/>
      <c r="E1" s="352"/>
    </row>
    <row r="2" ht="20.25" customHeight="1" spans="1:5">
      <c r="A2" s="289"/>
      <c r="B2" s="289"/>
      <c r="C2" s="289"/>
      <c r="D2" s="289"/>
      <c r="E2" s="353" t="s">
        <v>39</v>
      </c>
    </row>
    <row r="3" ht="28.5" customHeight="1" spans="1:5">
      <c r="A3" s="354" t="s">
        <v>448</v>
      </c>
      <c r="B3" s="355" t="s">
        <v>81</v>
      </c>
      <c r="C3" s="356" t="s">
        <v>82</v>
      </c>
      <c r="D3" s="283" t="s">
        <v>83</v>
      </c>
      <c r="E3" s="283" t="s">
        <v>6</v>
      </c>
    </row>
    <row r="4" ht="18" customHeight="1" spans="1:5">
      <c r="A4" s="357" t="s">
        <v>473</v>
      </c>
      <c r="B4" s="358"/>
      <c r="C4" s="359"/>
      <c r="D4" s="358"/>
      <c r="E4" s="360"/>
    </row>
    <row r="5" ht="18" customHeight="1" spans="1:5">
      <c r="A5" s="361" t="s">
        <v>451</v>
      </c>
      <c r="B5" s="362">
        <v>71.406</v>
      </c>
      <c r="C5" s="363">
        <v>12</v>
      </c>
      <c r="D5" s="362">
        <v>179.8374</v>
      </c>
      <c r="E5" s="363">
        <v>7</v>
      </c>
    </row>
    <row r="6" ht="18" customHeight="1" spans="1:5">
      <c r="A6" s="361" t="s">
        <v>452</v>
      </c>
      <c r="B6" s="362">
        <v>2.6094</v>
      </c>
      <c r="C6" s="363">
        <v>-4.3</v>
      </c>
      <c r="D6" s="362">
        <v>9.293</v>
      </c>
      <c r="E6" s="363">
        <v>4.5</v>
      </c>
    </row>
    <row r="7" ht="18" customHeight="1" spans="1:5">
      <c r="A7" s="364" t="s">
        <v>453</v>
      </c>
      <c r="B7" s="362">
        <v>18.8865</v>
      </c>
      <c r="C7" s="363">
        <v>18.4</v>
      </c>
      <c r="D7" s="362">
        <v>47.5995</v>
      </c>
      <c r="E7" s="363">
        <v>8.6</v>
      </c>
    </row>
    <row r="8" ht="18" customHeight="1" spans="1:5">
      <c r="A8" s="365" t="s">
        <v>454</v>
      </c>
      <c r="B8" s="362">
        <v>18.1598</v>
      </c>
      <c r="C8" s="363">
        <v>12.3</v>
      </c>
      <c r="D8" s="362">
        <v>45.7614</v>
      </c>
      <c r="E8" s="363">
        <v>4.1</v>
      </c>
    </row>
    <row r="9" ht="18" customHeight="1" spans="1:5">
      <c r="A9" s="364" t="s">
        <v>455</v>
      </c>
      <c r="B9" s="362">
        <v>5.7914</v>
      </c>
      <c r="C9" s="363">
        <v>18.8</v>
      </c>
      <c r="D9" s="362">
        <v>13.3597</v>
      </c>
      <c r="E9" s="363">
        <v>11.8</v>
      </c>
    </row>
    <row r="10" ht="18" customHeight="1" spans="1:5">
      <c r="A10" s="364" t="s">
        <v>457</v>
      </c>
      <c r="B10" s="362">
        <v>3.0581</v>
      </c>
      <c r="C10" s="363">
        <v>8.3</v>
      </c>
      <c r="D10" s="362">
        <v>6.4023</v>
      </c>
      <c r="E10" s="363">
        <v>5.2</v>
      </c>
    </row>
    <row r="11" ht="18" customHeight="1" spans="1:5">
      <c r="A11" s="364" t="s">
        <v>458</v>
      </c>
      <c r="B11" s="362">
        <v>1.1084</v>
      </c>
      <c r="C11" s="363">
        <v>0.3</v>
      </c>
      <c r="D11" s="362">
        <v>3.2332</v>
      </c>
      <c r="E11" s="363">
        <v>0.2</v>
      </c>
    </row>
    <row r="12" ht="18" customHeight="1" spans="1:5">
      <c r="A12" s="366" t="s">
        <v>459</v>
      </c>
      <c r="B12" s="362">
        <v>1.0238</v>
      </c>
      <c r="C12" s="363">
        <v>15.8</v>
      </c>
      <c r="D12" s="362">
        <v>2.8476</v>
      </c>
      <c r="E12" s="363">
        <v>6</v>
      </c>
    </row>
    <row r="13" ht="18" customHeight="1" spans="1:5">
      <c r="A13" s="366" t="s">
        <v>460</v>
      </c>
      <c r="B13" s="362">
        <v>3.116</v>
      </c>
      <c r="C13" s="363">
        <v>16.1</v>
      </c>
      <c r="D13" s="362">
        <v>8.7902</v>
      </c>
      <c r="E13" s="363">
        <v>8.9</v>
      </c>
    </row>
    <row r="14" ht="18" customHeight="1" spans="1:5">
      <c r="A14" s="366" t="s">
        <v>461</v>
      </c>
      <c r="B14" s="362">
        <v>10.0419</v>
      </c>
      <c r="C14" s="363">
        <v>13.1</v>
      </c>
      <c r="D14" s="362">
        <v>22.3789</v>
      </c>
      <c r="E14" s="363">
        <v>12.9</v>
      </c>
    </row>
    <row r="15" ht="18" customHeight="1" spans="1:5">
      <c r="A15" s="366" t="s">
        <v>471</v>
      </c>
      <c r="B15" s="362">
        <v>14.6427</v>
      </c>
      <c r="C15" s="363">
        <v>5</v>
      </c>
      <c r="D15" s="362">
        <v>36.4673</v>
      </c>
      <c r="E15" s="363">
        <v>6</v>
      </c>
    </row>
    <row r="16" ht="18" customHeight="1" spans="1:5">
      <c r="A16" s="367" t="s">
        <v>474</v>
      </c>
      <c r="B16" s="362"/>
      <c r="C16" s="363"/>
      <c r="D16" s="362"/>
      <c r="E16" s="363"/>
    </row>
    <row r="17" ht="18" customHeight="1" spans="1:5">
      <c r="A17" s="361" t="s">
        <v>451</v>
      </c>
      <c r="B17" s="362">
        <v>227.6175</v>
      </c>
      <c r="C17" s="363">
        <v>11.3</v>
      </c>
      <c r="D17" s="362">
        <v>569.018</v>
      </c>
      <c r="E17" s="363">
        <v>7.2</v>
      </c>
    </row>
    <row r="18" ht="18" customHeight="1" spans="1:5">
      <c r="A18" s="361" t="s">
        <v>452</v>
      </c>
      <c r="B18" s="362">
        <v>6.955</v>
      </c>
      <c r="C18" s="363">
        <v>-6.2</v>
      </c>
      <c r="D18" s="362">
        <v>22.0051</v>
      </c>
      <c r="E18" s="363">
        <v>0.5</v>
      </c>
    </row>
    <row r="19" ht="18" customHeight="1" spans="1:5">
      <c r="A19" s="364" t="s">
        <v>453</v>
      </c>
      <c r="B19" s="362">
        <v>61.355</v>
      </c>
      <c r="C19" s="363">
        <v>22.4</v>
      </c>
      <c r="D19" s="362">
        <v>148.7226</v>
      </c>
      <c r="E19" s="363">
        <v>12.7</v>
      </c>
    </row>
    <row r="20" ht="18" customHeight="1" spans="1:5">
      <c r="A20" s="365" t="s">
        <v>454</v>
      </c>
      <c r="B20" s="362">
        <v>23.935</v>
      </c>
      <c r="C20" s="363">
        <v>12.8</v>
      </c>
      <c r="D20" s="362">
        <v>60.0127</v>
      </c>
      <c r="E20" s="363">
        <v>5.5</v>
      </c>
    </row>
    <row r="21" ht="18" customHeight="1" spans="1:5">
      <c r="A21" s="364" t="s">
        <v>455</v>
      </c>
      <c r="B21" s="362">
        <v>20.7152</v>
      </c>
      <c r="C21" s="363">
        <v>16.9</v>
      </c>
      <c r="D21" s="362">
        <v>48.1752</v>
      </c>
      <c r="E21" s="363">
        <v>10.4</v>
      </c>
    </row>
    <row r="22" ht="18" customHeight="1" spans="1:5">
      <c r="A22" s="364" t="s">
        <v>457</v>
      </c>
      <c r="B22" s="362">
        <v>13.3393</v>
      </c>
      <c r="C22" s="363">
        <v>10.4</v>
      </c>
      <c r="D22" s="362">
        <v>28.1766</v>
      </c>
      <c r="E22" s="363">
        <v>6.6</v>
      </c>
    </row>
    <row r="23" ht="18" customHeight="1" spans="1:5">
      <c r="A23" s="364" t="s">
        <v>458</v>
      </c>
      <c r="B23" s="362">
        <v>2.7186</v>
      </c>
      <c r="C23" s="363">
        <v>1.9</v>
      </c>
      <c r="D23" s="362">
        <v>8.0302</v>
      </c>
      <c r="E23" s="363">
        <v>0.7</v>
      </c>
    </row>
    <row r="24" ht="18" customHeight="1" spans="1:5">
      <c r="A24" s="366" t="s">
        <v>459</v>
      </c>
      <c r="B24" s="362">
        <v>8.2644</v>
      </c>
      <c r="C24" s="363">
        <v>17.1</v>
      </c>
      <c r="D24" s="362">
        <v>23.7895</v>
      </c>
      <c r="E24" s="363">
        <v>5.9</v>
      </c>
    </row>
    <row r="25" ht="18" customHeight="1" spans="1:5">
      <c r="A25" s="366" t="s">
        <v>460</v>
      </c>
      <c r="B25" s="362">
        <v>14.8028</v>
      </c>
      <c r="C25" s="363">
        <v>20.2</v>
      </c>
      <c r="D25" s="362">
        <v>42.0099</v>
      </c>
      <c r="E25" s="363">
        <v>11.4</v>
      </c>
    </row>
    <row r="26" ht="18" customHeight="1" spans="1:5">
      <c r="A26" s="366" t="s">
        <v>461</v>
      </c>
      <c r="B26" s="362">
        <v>36.0576</v>
      </c>
      <c r="C26" s="363">
        <v>6.7</v>
      </c>
      <c r="D26" s="362">
        <v>80.7153</v>
      </c>
      <c r="E26" s="363">
        <v>14.3</v>
      </c>
    </row>
    <row r="27" ht="18" customHeight="1" spans="1:5">
      <c r="A27" s="368" t="s">
        <v>471</v>
      </c>
      <c r="B27" s="369">
        <v>63.0298</v>
      </c>
      <c r="C27" s="370">
        <v>4.3</v>
      </c>
      <c r="D27" s="369">
        <v>161.7996</v>
      </c>
      <c r="E27" s="370">
        <v>3.2</v>
      </c>
    </row>
    <row r="28" spans="1:5">
      <c r="A28" s="310"/>
      <c r="B28" s="310"/>
      <c r="C28" s="310"/>
    </row>
    <row r="29" spans="1:5">
      <c r="A29" s="310"/>
      <c r="B29" s="310"/>
      <c r="C29" s="310"/>
    </row>
    <row r="30" spans="1:5">
      <c r="A30" s="310"/>
      <c r="B30" s="310"/>
      <c r="C30" s="310"/>
    </row>
    <row r="31" spans="1:5">
      <c r="A31" s="311"/>
      <c r="B31" s="311"/>
      <c r="C31" s="311"/>
    </row>
    <row r="32" spans="1:5">
      <c r="A32" s="312"/>
      <c r="B32" s="312"/>
      <c r="C32" s="312"/>
    </row>
    <row r="33" spans="1:3">
      <c r="A33" s="312"/>
      <c r="B33" s="312"/>
      <c r="C33" s="312"/>
    </row>
    <row r="34" spans="1:3">
      <c r="A34" s="312"/>
      <c r="B34" s="312"/>
      <c r="C34" s="312"/>
    </row>
    <row r="35" spans="1:3">
      <c r="A35" s="312"/>
      <c r="B35" s="312"/>
      <c r="C35" s="312"/>
    </row>
    <row r="36" spans="1:3">
      <c r="A36" s="304"/>
      <c r="B36" s="304"/>
      <c r="C36" s="304"/>
    </row>
    <row r="37" spans="1:3">
      <c r="A37" s="52"/>
      <c r="B37" s="52"/>
      <c r="C37" s="52"/>
    </row>
    <row r="38" spans="1:3">
      <c r="A38" s="310"/>
      <c r="B38" s="310"/>
      <c r="C38" s="310"/>
    </row>
  </sheetData>
  <mergeCells count="1">
    <mergeCell ref="A1:E1"/>
  </mergeCells>
  <pageMargins left="0.75" right="0.75" top="0.588888888888889" bottom="0.588888888888889" header="0.509027777777778" footer="0.509027777777778"/>
  <pageSetup paperSize="9" scale="95" orientation="portrait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D37"/>
  <sheetViews>
    <sheetView workbookViewId="0">
      <selection activeCell="E14" sqref="E14"/>
    </sheetView>
  </sheetViews>
  <sheetFormatPr defaultColWidth="9" defaultRowHeight="14.25" outlineLevelCol="3"/>
  <cols>
    <col min="1" max="1" width="42.875" style="240" customWidth="1"/>
    <col min="2" max="2" width="13" style="240" customWidth="1"/>
    <col min="3" max="3" width="9.75" style="240" customWidth="1"/>
    <col min="4" max="4" width="13.125" style="241" customWidth="1"/>
    <col min="5" max="16384" width="9" style="241"/>
  </cols>
  <sheetData>
    <row r="1" ht="34.5" customHeight="1" spans="1:4">
      <c r="A1" s="197" t="s">
        <v>475</v>
      </c>
      <c r="B1" s="197"/>
      <c r="C1" s="197"/>
      <c r="D1" s="197"/>
    </row>
    <row r="2" ht="28.5" customHeight="1" spans="1:4">
      <c r="A2" s="330" t="s">
        <v>448</v>
      </c>
      <c r="B2" s="283" t="s">
        <v>83</v>
      </c>
      <c r="C2" s="282" t="s">
        <v>6</v>
      </c>
      <c r="D2" s="283" t="s">
        <v>449</v>
      </c>
    </row>
    <row r="3" ht="18" customHeight="1" spans="1:4">
      <c r="A3" s="233" t="s">
        <v>476</v>
      </c>
      <c r="B3" s="287"/>
      <c r="C3" s="350"/>
      <c r="D3" s="287"/>
    </row>
    <row r="4" ht="18" customHeight="1" spans="1:4">
      <c r="A4" s="226" t="s">
        <v>451</v>
      </c>
      <c r="B4" s="345">
        <v>94.9</v>
      </c>
      <c r="C4" s="232">
        <v>-0.8</v>
      </c>
      <c r="D4" s="295" t="s">
        <v>9</v>
      </c>
    </row>
    <row r="5" ht="18" customHeight="1" spans="1:4">
      <c r="A5" s="226" t="s">
        <v>452</v>
      </c>
      <c r="B5" s="345">
        <v>102.2</v>
      </c>
      <c r="C5" s="232">
        <v>-4.2</v>
      </c>
      <c r="D5" s="225">
        <v>9</v>
      </c>
    </row>
    <row r="6" ht="18" customHeight="1" spans="1:4">
      <c r="A6" s="212" t="s">
        <v>453</v>
      </c>
      <c r="B6" s="345">
        <v>100.7</v>
      </c>
      <c r="C6" s="232">
        <v>0.8</v>
      </c>
      <c r="D6" s="225">
        <v>3</v>
      </c>
    </row>
    <row r="7" ht="18" customHeight="1" spans="1:4">
      <c r="A7" s="230" t="s">
        <v>454</v>
      </c>
      <c r="B7" s="345">
        <v>99.3</v>
      </c>
      <c r="C7" s="232">
        <v>3.8</v>
      </c>
      <c r="D7" s="225">
        <v>2</v>
      </c>
    </row>
    <row r="8" ht="18" customHeight="1" spans="1:4">
      <c r="A8" s="212" t="s">
        <v>455</v>
      </c>
      <c r="B8" s="345">
        <v>85.3</v>
      </c>
      <c r="C8" s="232">
        <v>-10.3</v>
      </c>
      <c r="D8" s="225">
        <v>10</v>
      </c>
    </row>
    <row r="9" ht="18" customHeight="1" spans="1:4">
      <c r="A9" s="212" t="s">
        <v>457</v>
      </c>
      <c r="B9" s="345">
        <v>98.9</v>
      </c>
      <c r="C9" s="232">
        <v>0.1</v>
      </c>
      <c r="D9" s="225">
        <v>6</v>
      </c>
    </row>
    <row r="10" ht="18" customHeight="1" spans="1:4">
      <c r="A10" s="212" t="s">
        <v>458</v>
      </c>
      <c r="B10" s="345">
        <v>72.8</v>
      </c>
      <c r="C10" s="232">
        <v>12.1</v>
      </c>
      <c r="D10" s="225">
        <v>1</v>
      </c>
    </row>
    <row r="11" ht="18" customHeight="1" spans="1:4">
      <c r="A11" s="212" t="s">
        <v>459</v>
      </c>
      <c r="B11" s="345">
        <v>79.4</v>
      </c>
      <c r="C11" s="232">
        <v>-3.1</v>
      </c>
      <c r="D11" s="225">
        <v>8</v>
      </c>
    </row>
    <row r="12" ht="18" customHeight="1" spans="1:4">
      <c r="A12" s="212" t="s">
        <v>460</v>
      </c>
      <c r="B12" s="345">
        <v>90.1</v>
      </c>
      <c r="C12" s="232">
        <v>0.7</v>
      </c>
      <c r="D12" s="225">
        <v>4</v>
      </c>
    </row>
    <row r="13" ht="18" customHeight="1" spans="1:4">
      <c r="A13" s="212" t="s">
        <v>461</v>
      </c>
      <c r="B13" s="345">
        <v>96.9</v>
      </c>
      <c r="C13" s="232">
        <v>0.2</v>
      </c>
      <c r="D13" s="225">
        <v>5</v>
      </c>
    </row>
    <row r="14" ht="18" customHeight="1" spans="1:4">
      <c r="A14" s="212" t="s">
        <v>471</v>
      </c>
      <c r="B14" s="345">
        <v>91.8</v>
      </c>
      <c r="C14" s="232">
        <v>-1.2</v>
      </c>
      <c r="D14" s="225">
        <v>7</v>
      </c>
    </row>
    <row r="15" ht="18" customHeight="1" spans="1:4">
      <c r="A15" s="222" t="s">
        <v>477</v>
      </c>
      <c r="B15" s="344"/>
      <c r="C15" s="232"/>
      <c r="D15" s="225"/>
    </row>
    <row r="16" ht="18" customHeight="1" spans="1:4">
      <c r="A16" s="226" t="s">
        <v>451</v>
      </c>
      <c r="B16" s="346">
        <v>38.3048</v>
      </c>
      <c r="C16" s="232">
        <v>-3.2</v>
      </c>
      <c r="D16" s="295" t="s">
        <v>9</v>
      </c>
    </row>
    <row r="17" ht="18" customHeight="1" spans="1:4">
      <c r="A17" s="226" t="s">
        <v>452</v>
      </c>
      <c r="B17" s="346">
        <v>1.577</v>
      </c>
      <c r="C17" s="232">
        <v>19.7</v>
      </c>
      <c r="D17" s="225">
        <v>3</v>
      </c>
    </row>
    <row r="18" ht="18" customHeight="1" spans="1:4">
      <c r="A18" s="212" t="s">
        <v>453</v>
      </c>
      <c r="B18" s="346">
        <v>7.1592</v>
      </c>
      <c r="C18" s="232">
        <v>-19</v>
      </c>
      <c r="D18" s="225">
        <v>7</v>
      </c>
    </row>
    <row r="19" ht="18" customHeight="1" spans="1:4">
      <c r="A19" s="230" t="s">
        <v>454</v>
      </c>
      <c r="B19" s="346">
        <v>5.7397</v>
      </c>
      <c r="C19" s="232">
        <v>59.3</v>
      </c>
      <c r="D19" s="225">
        <v>2</v>
      </c>
    </row>
    <row r="20" ht="18" customHeight="1" spans="1:4">
      <c r="A20" s="212" t="s">
        <v>455</v>
      </c>
      <c r="B20" s="346">
        <v>1.8011</v>
      </c>
      <c r="C20" s="232">
        <v>-45.9</v>
      </c>
      <c r="D20" s="225">
        <v>9</v>
      </c>
    </row>
    <row r="21" ht="18" customHeight="1" spans="1:4">
      <c r="A21" s="212" t="s">
        <v>457</v>
      </c>
      <c r="B21" s="346">
        <v>0.5156</v>
      </c>
      <c r="C21" s="232">
        <v>-64.4</v>
      </c>
      <c r="D21" s="225">
        <v>10</v>
      </c>
    </row>
    <row r="22" ht="18" customHeight="1" spans="1:4">
      <c r="A22" s="212" t="s">
        <v>458</v>
      </c>
      <c r="B22" s="346">
        <v>0.1151</v>
      </c>
      <c r="C22" s="232">
        <v>248.8</v>
      </c>
      <c r="D22" s="225">
        <v>1</v>
      </c>
    </row>
    <row r="23" ht="18" customHeight="1" spans="1:4">
      <c r="A23" s="212" t="s">
        <v>459</v>
      </c>
      <c r="B23" s="346">
        <v>1.3384</v>
      </c>
      <c r="C23" s="232">
        <v>13</v>
      </c>
      <c r="D23" s="225">
        <v>5</v>
      </c>
    </row>
    <row r="24" ht="18" customHeight="1" spans="1:4">
      <c r="A24" s="212" t="s">
        <v>460</v>
      </c>
      <c r="B24" s="346">
        <v>4.1064</v>
      </c>
      <c r="C24" s="232">
        <v>-18.6</v>
      </c>
      <c r="D24" s="225">
        <v>6</v>
      </c>
    </row>
    <row r="25" ht="18" customHeight="1" spans="1:4">
      <c r="A25" s="212" t="s">
        <v>461</v>
      </c>
      <c r="B25" s="346">
        <v>12.4486</v>
      </c>
      <c r="C25" s="232">
        <v>15.5</v>
      </c>
      <c r="D25" s="225">
        <v>4</v>
      </c>
    </row>
    <row r="26" ht="18" customHeight="1" spans="1:4">
      <c r="A26" s="218" t="s">
        <v>471</v>
      </c>
      <c r="B26" s="351">
        <v>6.9994</v>
      </c>
      <c r="C26" s="237">
        <v>-20.4</v>
      </c>
      <c r="D26" s="238">
        <v>8</v>
      </c>
    </row>
    <row r="27" spans="1:4">
      <c r="A27" s="45"/>
      <c r="B27"/>
      <c r="C27" s="339"/>
      <c r="D27"/>
    </row>
    <row r="28" spans="1:4">
      <c r="A28" s="302"/>
      <c r="B28" s="302"/>
      <c r="C28" s="302"/>
    </row>
    <row r="29" spans="1:4">
      <c r="A29" s="302"/>
      <c r="B29" s="302"/>
      <c r="C29" s="302"/>
    </row>
    <row r="30" spans="1:4">
      <c r="A30" s="303"/>
      <c r="B30" s="303"/>
      <c r="C30" s="303"/>
    </row>
    <row r="31" spans="1:4">
      <c r="A31" s="304"/>
      <c r="B31" s="304"/>
      <c r="C31" s="304"/>
    </row>
    <row r="32" spans="1:4">
      <c r="A32" s="304"/>
      <c r="B32" s="304"/>
      <c r="C32" s="304"/>
    </row>
    <row r="33" spans="1:3">
      <c r="A33" s="304"/>
      <c r="B33" s="304"/>
      <c r="C33" s="304"/>
    </row>
    <row r="34" spans="1:3">
      <c r="A34" s="304"/>
      <c r="B34" s="304"/>
      <c r="C34" s="304"/>
    </row>
    <row r="35" spans="1:3">
      <c r="A35" s="304"/>
      <c r="B35" s="304"/>
      <c r="C35" s="304"/>
    </row>
    <row r="36" spans="1:3">
      <c r="A36" s="284"/>
      <c r="B36" s="284"/>
      <c r="C36" s="284"/>
    </row>
    <row r="37" spans="1:3">
      <c r="A37" s="302"/>
      <c r="B37" s="302"/>
      <c r="C37" s="302"/>
    </row>
  </sheetData>
  <mergeCells count="1">
    <mergeCell ref="A1:D1"/>
  </mergeCells>
  <pageMargins left="0.75" right="0.75" top="0.588888888888889" bottom="0.588888888888889" header="0.509027777777778" footer="0.509027777777778"/>
  <pageSetup paperSize="9" scale="95" orientation="portrait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D43"/>
  <sheetViews>
    <sheetView workbookViewId="0">
      <selection activeCell="F19" sqref="F19"/>
    </sheetView>
  </sheetViews>
  <sheetFormatPr defaultColWidth="9" defaultRowHeight="14.25" outlineLevelCol="3"/>
  <cols>
    <col min="1" max="1" width="42.125" style="45" customWidth="1"/>
    <col min="2" max="2" width="10.875" style="44" customWidth="1"/>
    <col min="3" max="3" width="13.125" style="305" customWidth="1"/>
    <col min="4" max="4" width="13.125" style="44" customWidth="1"/>
    <col min="5" max="16384" width="9" style="44"/>
  </cols>
  <sheetData>
    <row r="1" ht="34.5" customHeight="1" spans="1:4">
      <c r="A1" s="197" t="s">
        <v>478</v>
      </c>
      <c r="B1" s="197"/>
      <c r="C1" s="197"/>
      <c r="D1" s="197"/>
    </row>
    <row r="2" ht="28.5" customHeight="1" spans="1:4">
      <c r="A2" s="330" t="s">
        <v>448</v>
      </c>
      <c r="B2" s="283" t="s">
        <v>109</v>
      </c>
      <c r="C2" s="282" t="s">
        <v>6</v>
      </c>
      <c r="D2" s="283" t="s">
        <v>449</v>
      </c>
    </row>
    <row r="3" ht="18" customHeight="1" spans="1:4">
      <c r="A3" s="222" t="s">
        <v>479</v>
      </c>
      <c r="B3" s="344"/>
      <c r="C3" s="347"/>
      <c r="D3" s="348"/>
    </row>
    <row r="4" ht="18" customHeight="1" spans="1:4">
      <c r="A4" s="226" t="s">
        <v>451</v>
      </c>
      <c r="B4" s="344">
        <v>436.8</v>
      </c>
      <c r="C4" s="232">
        <v>-1.9</v>
      </c>
      <c r="D4" s="295" t="s">
        <v>9</v>
      </c>
    </row>
    <row r="5" ht="18" customHeight="1" spans="1:4">
      <c r="A5" s="226" t="s">
        <v>452</v>
      </c>
      <c r="B5" s="344">
        <v>544.41</v>
      </c>
      <c r="C5" s="232">
        <v>80</v>
      </c>
      <c r="D5" s="225">
        <v>1</v>
      </c>
    </row>
    <row r="6" ht="18" customHeight="1" spans="1:4">
      <c r="A6" s="212" t="s">
        <v>453</v>
      </c>
      <c r="B6" s="344">
        <v>728.11</v>
      </c>
      <c r="C6" s="232">
        <v>-33.9</v>
      </c>
      <c r="D6" s="225">
        <v>9</v>
      </c>
    </row>
    <row r="7" ht="18" customHeight="1" spans="1:4">
      <c r="A7" s="230" t="s">
        <v>454</v>
      </c>
      <c r="B7" s="344">
        <v>1410.02</v>
      </c>
      <c r="C7" s="232">
        <v>-90.3</v>
      </c>
      <c r="D7" s="225">
        <v>10</v>
      </c>
    </row>
    <row r="8" ht="18" customHeight="1" spans="1:4">
      <c r="A8" s="212" t="s">
        <v>455</v>
      </c>
      <c r="B8" s="344">
        <v>332.71</v>
      </c>
      <c r="C8" s="232">
        <v>25.6</v>
      </c>
      <c r="D8" s="225">
        <v>4</v>
      </c>
    </row>
    <row r="9" ht="18" customHeight="1" spans="1:4">
      <c r="A9" s="212" t="s">
        <v>457</v>
      </c>
      <c r="B9" s="344">
        <v>201.3</v>
      </c>
      <c r="C9" s="232">
        <v>3.2</v>
      </c>
      <c r="D9" s="225">
        <v>6</v>
      </c>
    </row>
    <row r="10" ht="18" customHeight="1" spans="1:4">
      <c r="A10" s="212" t="s">
        <v>458</v>
      </c>
      <c r="B10" s="344">
        <v>352.5</v>
      </c>
      <c r="C10" s="232">
        <v>-0.1</v>
      </c>
      <c r="D10" s="225">
        <v>7</v>
      </c>
    </row>
    <row r="11" ht="18" customHeight="1" spans="1:4">
      <c r="A11" s="212" t="s">
        <v>459</v>
      </c>
      <c r="B11" s="344">
        <v>51.66</v>
      </c>
      <c r="C11" s="232">
        <v>-33.5</v>
      </c>
      <c r="D11" s="225">
        <v>8</v>
      </c>
    </row>
    <row r="12" ht="18" customHeight="1" spans="1:4">
      <c r="A12" s="212" t="s">
        <v>460</v>
      </c>
      <c r="B12" s="344">
        <v>221.88</v>
      </c>
      <c r="C12" s="232">
        <v>28.9</v>
      </c>
      <c r="D12" s="225">
        <v>3</v>
      </c>
    </row>
    <row r="13" ht="18" customHeight="1" spans="1:4">
      <c r="A13" s="212" t="s">
        <v>461</v>
      </c>
      <c r="B13" s="344">
        <v>252.29</v>
      </c>
      <c r="C13" s="232">
        <v>39.9</v>
      </c>
      <c r="D13" s="225">
        <v>2</v>
      </c>
    </row>
    <row r="14" ht="18" customHeight="1" spans="1:4">
      <c r="A14" s="349" t="s">
        <v>471</v>
      </c>
      <c r="B14" s="344">
        <v>486.89</v>
      </c>
      <c r="C14" s="232">
        <v>7.4</v>
      </c>
      <c r="D14" s="225">
        <v>5</v>
      </c>
    </row>
    <row r="15" ht="18" customHeight="1" spans="1:4">
      <c r="A15" s="233" t="s">
        <v>480</v>
      </c>
      <c r="B15" s="334"/>
      <c r="C15" s="335"/>
      <c r="D15" s="336"/>
    </row>
    <row r="16" ht="18" customHeight="1" spans="1:4">
      <c r="A16" s="226" t="s">
        <v>451</v>
      </c>
      <c r="B16" s="215">
        <v>871</v>
      </c>
      <c r="C16" s="232">
        <v>0.6</v>
      </c>
      <c r="D16" s="295" t="s">
        <v>9</v>
      </c>
    </row>
    <row r="17" ht="18" customHeight="1" spans="1:4">
      <c r="A17" s="226" t="s">
        <v>452</v>
      </c>
      <c r="B17" s="215">
        <v>30</v>
      </c>
      <c r="C17" s="232">
        <v>-9.1</v>
      </c>
      <c r="D17" s="295" t="s">
        <v>9</v>
      </c>
    </row>
    <row r="18" ht="18" customHeight="1" spans="1:4">
      <c r="A18" s="212" t="s">
        <v>453</v>
      </c>
      <c r="B18" s="215">
        <v>59</v>
      </c>
      <c r="C18" s="232">
        <v>-1.7</v>
      </c>
      <c r="D18" s="295" t="s">
        <v>9</v>
      </c>
    </row>
    <row r="19" ht="18" customHeight="1" spans="1:4">
      <c r="A19" s="230" t="s">
        <v>454</v>
      </c>
      <c r="B19" s="215">
        <v>65</v>
      </c>
      <c r="C19" s="232">
        <v>12.1</v>
      </c>
      <c r="D19" s="295" t="s">
        <v>9</v>
      </c>
    </row>
    <row r="20" ht="18" customHeight="1" spans="1:4">
      <c r="A20" s="212" t="s">
        <v>455</v>
      </c>
      <c r="B20" s="215">
        <v>69</v>
      </c>
      <c r="C20" s="232">
        <v>3</v>
      </c>
      <c r="D20" s="295" t="s">
        <v>9</v>
      </c>
    </row>
    <row r="21" ht="18" customHeight="1" spans="1:4">
      <c r="A21" s="212" t="s">
        <v>457</v>
      </c>
      <c r="B21" s="215">
        <v>155</v>
      </c>
      <c r="C21" s="232">
        <v>11.5</v>
      </c>
      <c r="D21" s="295" t="s">
        <v>9</v>
      </c>
    </row>
    <row r="22" ht="18" customHeight="1" spans="1:4">
      <c r="A22" s="212" t="s">
        <v>458</v>
      </c>
      <c r="B22" s="215">
        <v>32</v>
      </c>
      <c r="C22" s="232">
        <v>45.5</v>
      </c>
      <c r="D22" s="295" t="s">
        <v>9</v>
      </c>
    </row>
    <row r="23" ht="18" customHeight="1" spans="1:4">
      <c r="A23" s="212" t="s">
        <v>459</v>
      </c>
      <c r="B23" s="215">
        <v>69</v>
      </c>
      <c r="C23" s="232">
        <v>16.9</v>
      </c>
      <c r="D23" s="295" t="s">
        <v>9</v>
      </c>
    </row>
    <row r="24" ht="18" customHeight="1" spans="1:4">
      <c r="A24" s="212" t="s">
        <v>460</v>
      </c>
      <c r="B24" s="215">
        <v>97</v>
      </c>
      <c r="C24" s="232">
        <v>-13.4</v>
      </c>
      <c r="D24" s="295" t="s">
        <v>9</v>
      </c>
    </row>
    <row r="25" ht="18" customHeight="1" spans="1:4">
      <c r="A25" s="212" t="s">
        <v>461</v>
      </c>
      <c r="B25" s="215">
        <v>264</v>
      </c>
      <c r="C25" s="232">
        <v>8.6</v>
      </c>
      <c r="D25" s="295" t="s">
        <v>9</v>
      </c>
    </row>
    <row r="26" ht="18" customHeight="1" spans="1:4">
      <c r="A26" s="212" t="s">
        <v>471</v>
      </c>
      <c r="B26" s="215">
        <v>59</v>
      </c>
      <c r="C26" s="232">
        <v>7.3</v>
      </c>
      <c r="D26" s="295" t="s">
        <v>9</v>
      </c>
    </row>
    <row r="27" spans="1:4">
      <c r="A27" s="343"/>
      <c r="B27" s="343"/>
      <c r="C27" s="343"/>
      <c r="D27" s="343"/>
    </row>
    <row r="33" spans="1:1">
      <c r="A33" s="310"/>
    </row>
    <row r="34" spans="1:1">
      <c r="A34" s="310"/>
    </row>
    <row r="35" spans="1:1">
      <c r="A35" s="310"/>
    </row>
    <row r="36" spans="1:1">
      <c r="A36" s="311"/>
    </row>
    <row r="37" spans="1:1">
      <c r="A37" s="312"/>
    </row>
    <row r="38" spans="1:1">
      <c r="A38" s="312"/>
    </row>
    <row r="39" spans="1:1">
      <c r="A39" s="312"/>
    </row>
    <row r="40" spans="1:1">
      <c r="A40" s="312"/>
    </row>
    <row r="41" spans="1:1">
      <c r="A41" s="304"/>
    </row>
    <row r="42" spans="1:1">
      <c r="A42" s="52"/>
    </row>
    <row r="43" spans="1:1">
      <c r="A43" s="310"/>
    </row>
  </sheetData>
  <mergeCells count="1">
    <mergeCell ref="A1:D1"/>
  </mergeCells>
  <printOptions horizontalCentered="1"/>
  <pageMargins left="0.75" right="0.75" top="0.388888888888889" bottom="0.388888888888889" header="0.509027777777778" footer="0.509027777777778"/>
  <pageSetup paperSize="9" orientation="portrait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D43"/>
  <sheetViews>
    <sheetView workbookViewId="0">
      <selection activeCell="F19" sqref="F18:F19"/>
    </sheetView>
  </sheetViews>
  <sheetFormatPr defaultColWidth="9" defaultRowHeight="14.25" outlineLevelCol="3"/>
  <cols>
    <col min="1" max="1" width="42.75" style="240" customWidth="1"/>
    <col min="2" max="2" width="11.25" style="241" customWidth="1"/>
    <col min="3" max="3" width="13.125" style="280" customWidth="1"/>
    <col min="4" max="4" width="13.125" style="241" customWidth="1"/>
    <col min="5" max="16384" width="9" style="241"/>
  </cols>
  <sheetData>
    <row r="1" ht="34.5" customHeight="1" spans="1:4">
      <c r="A1" s="197" t="s">
        <v>481</v>
      </c>
      <c r="B1" s="197"/>
      <c r="C1" s="197"/>
      <c r="D1" s="197"/>
    </row>
    <row r="2" ht="28.5" customHeight="1" spans="1:4">
      <c r="A2" s="330" t="s">
        <v>448</v>
      </c>
      <c r="B2" s="283" t="s">
        <v>109</v>
      </c>
      <c r="C2" s="282" t="s">
        <v>6</v>
      </c>
      <c r="D2" s="283" t="s">
        <v>449</v>
      </c>
    </row>
    <row r="3" ht="36" customHeight="1" spans="1:4">
      <c r="A3" s="222" t="s">
        <v>482</v>
      </c>
      <c r="B3" s="344"/>
      <c r="C3" s="345"/>
      <c r="D3" s="225"/>
    </row>
    <row r="4" ht="18" customHeight="1" spans="1:4">
      <c r="A4" s="226" t="s">
        <v>451</v>
      </c>
      <c r="B4" s="215">
        <v>187</v>
      </c>
      <c r="C4" s="232">
        <v>1.1</v>
      </c>
      <c r="D4" s="295" t="s">
        <v>9</v>
      </c>
    </row>
    <row r="5" ht="18" customHeight="1" spans="1:4">
      <c r="A5" s="226" t="s">
        <v>452</v>
      </c>
      <c r="B5" s="215">
        <v>10</v>
      </c>
      <c r="C5" s="232">
        <v>-28.6</v>
      </c>
      <c r="D5" s="225">
        <v>8</v>
      </c>
    </row>
    <row r="6" ht="18" customHeight="1" spans="1:4">
      <c r="A6" s="212" t="s">
        <v>453</v>
      </c>
      <c r="B6" s="215">
        <v>20</v>
      </c>
      <c r="C6" s="232">
        <v>33.3</v>
      </c>
      <c r="D6" s="225">
        <v>1</v>
      </c>
    </row>
    <row r="7" ht="18" customHeight="1" spans="1:4">
      <c r="A7" s="230" t="s">
        <v>454</v>
      </c>
      <c r="B7" s="215">
        <v>24</v>
      </c>
      <c r="C7" s="232">
        <v>-17.2</v>
      </c>
      <c r="D7" s="225">
        <v>7</v>
      </c>
    </row>
    <row r="8" ht="18" customHeight="1" spans="1:4">
      <c r="A8" s="212" t="s">
        <v>455</v>
      </c>
      <c r="B8" s="215">
        <v>35</v>
      </c>
      <c r="C8" s="232">
        <v>16.7</v>
      </c>
      <c r="D8" s="225">
        <v>3</v>
      </c>
    </row>
    <row r="9" ht="18" customHeight="1" spans="1:4">
      <c r="A9" s="212" t="s">
        <v>457</v>
      </c>
      <c r="B9" s="215">
        <v>4</v>
      </c>
      <c r="C9" s="232">
        <v>-33.3</v>
      </c>
      <c r="D9" s="225">
        <v>9</v>
      </c>
    </row>
    <row r="10" ht="18" customHeight="1" spans="1:4">
      <c r="A10" s="212" t="s">
        <v>458</v>
      </c>
      <c r="B10" s="215">
        <v>15</v>
      </c>
      <c r="C10" s="232">
        <v>7.1</v>
      </c>
      <c r="D10" s="225">
        <v>5</v>
      </c>
    </row>
    <row r="11" ht="18" customHeight="1" spans="1:4">
      <c r="A11" s="212" t="s">
        <v>459</v>
      </c>
      <c r="B11" s="215">
        <v>17</v>
      </c>
      <c r="C11" s="232">
        <v>21.4</v>
      </c>
      <c r="D11" s="225">
        <v>2</v>
      </c>
    </row>
    <row r="12" ht="18" customHeight="1" spans="1:4">
      <c r="A12" s="212" t="s">
        <v>460</v>
      </c>
      <c r="B12" s="215">
        <v>37</v>
      </c>
      <c r="C12" s="232">
        <v>12.1</v>
      </c>
      <c r="D12" s="225">
        <v>4</v>
      </c>
    </row>
    <row r="13" ht="18" customHeight="1" spans="1:4">
      <c r="A13" s="212" t="s">
        <v>461</v>
      </c>
      <c r="B13" s="215">
        <v>17</v>
      </c>
      <c r="C13" s="232">
        <v>-5.6</v>
      </c>
      <c r="D13" s="225">
        <v>6</v>
      </c>
    </row>
    <row r="14" ht="18" customHeight="1" spans="1:4">
      <c r="A14" s="212" t="s">
        <v>471</v>
      </c>
      <c r="B14" s="215">
        <v>16</v>
      </c>
      <c r="C14" s="232">
        <v>-36</v>
      </c>
      <c r="D14" s="225">
        <v>10</v>
      </c>
    </row>
    <row r="15" ht="18" customHeight="1" spans="1:4">
      <c r="A15" s="222" t="s">
        <v>483</v>
      </c>
      <c r="B15" s="215"/>
      <c r="C15" s="232"/>
      <c r="D15" s="225"/>
    </row>
    <row r="16" ht="18" customHeight="1" spans="1:4">
      <c r="A16" s="226" t="s">
        <v>451</v>
      </c>
      <c r="B16" s="346">
        <v>336.6477</v>
      </c>
      <c r="C16" s="232">
        <v>3.6</v>
      </c>
      <c r="D16" s="295" t="s">
        <v>9</v>
      </c>
    </row>
    <row r="17" ht="18" customHeight="1" spans="1:4">
      <c r="A17" s="226" t="s">
        <v>452</v>
      </c>
      <c r="B17" s="346">
        <v>15.9003</v>
      </c>
      <c r="C17" s="232">
        <v>5</v>
      </c>
      <c r="D17" s="225">
        <v>5</v>
      </c>
    </row>
    <row r="18" ht="18" customHeight="1" spans="1:4">
      <c r="A18" s="212" t="s">
        <v>453</v>
      </c>
      <c r="B18" s="346">
        <v>87.6203</v>
      </c>
      <c r="C18" s="232">
        <v>5.6</v>
      </c>
      <c r="D18" s="225">
        <v>4</v>
      </c>
    </row>
    <row r="19" ht="18" customHeight="1" spans="1:4">
      <c r="A19" s="230" t="s">
        <v>454</v>
      </c>
      <c r="B19" s="346">
        <v>36.7001</v>
      </c>
      <c r="C19" s="232">
        <v>4.4</v>
      </c>
      <c r="D19" s="225">
        <v>7</v>
      </c>
    </row>
    <row r="20" ht="18" customHeight="1" spans="1:4">
      <c r="A20" s="212" t="s">
        <v>455</v>
      </c>
      <c r="B20" s="346">
        <v>26.8731</v>
      </c>
      <c r="C20" s="232">
        <v>0.2</v>
      </c>
      <c r="D20" s="225">
        <v>8</v>
      </c>
    </row>
    <row r="21" ht="18" customHeight="1" spans="1:4">
      <c r="A21" s="212" t="s">
        <v>457</v>
      </c>
      <c r="B21" s="346">
        <v>14.4377</v>
      </c>
      <c r="C21" s="232">
        <v>-23.9</v>
      </c>
      <c r="D21" s="225">
        <v>10</v>
      </c>
    </row>
    <row r="22" ht="18" customHeight="1" spans="1:4">
      <c r="A22" s="212" t="s">
        <v>458</v>
      </c>
      <c r="B22" s="346">
        <v>4.6171</v>
      </c>
      <c r="C22" s="232">
        <v>58</v>
      </c>
      <c r="D22" s="225">
        <v>1</v>
      </c>
    </row>
    <row r="23" ht="18" customHeight="1" spans="1:4">
      <c r="A23" s="212" t="s">
        <v>459</v>
      </c>
      <c r="B23" s="346">
        <v>17.9021</v>
      </c>
      <c r="C23" s="232">
        <v>36.4</v>
      </c>
      <c r="D23" s="225">
        <v>2</v>
      </c>
    </row>
    <row r="24" ht="18" customHeight="1" spans="1:4">
      <c r="A24" s="212" t="s">
        <v>460</v>
      </c>
      <c r="B24" s="346">
        <v>28.1694</v>
      </c>
      <c r="C24" s="232">
        <v>4.8</v>
      </c>
      <c r="D24" s="225">
        <v>6</v>
      </c>
    </row>
    <row r="25" ht="18" customHeight="1" spans="1:4">
      <c r="A25" s="212" t="s">
        <v>461</v>
      </c>
      <c r="B25" s="346">
        <v>39.5863</v>
      </c>
      <c r="C25" s="232">
        <v>18.9</v>
      </c>
      <c r="D25" s="225">
        <v>3</v>
      </c>
    </row>
    <row r="26" ht="18" customHeight="1" spans="1:4">
      <c r="A26" s="218" t="s">
        <v>471</v>
      </c>
      <c r="B26" s="346">
        <v>95.29</v>
      </c>
      <c r="C26" s="232">
        <v>-0.1</v>
      </c>
      <c r="D26" s="225">
        <v>9</v>
      </c>
    </row>
    <row r="27" spans="1:4">
      <c r="A27" s="343"/>
      <c r="B27" s="343"/>
      <c r="C27" s="343"/>
      <c r="D27" s="343"/>
    </row>
    <row r="33" spans="1:1">
      <c r="A33" s="302"/>
    </row>
    <row r="34" spans="1:1">
      <c r="A34" s="302"/>
    </row>
    <row r="35" spans="1:1">
      <c r="A35" s="302"/>
    </row>
    <row r="36" spans="1:1">
      <c r="A36" s="303"/>
    </row>
    <row r="37" spans="1:1">
      <c r="A37" s="304"/>
    </row>
    <row r="38" spans="1:1">
      <c r="A38" s="304"/>
    </row>
    <row r="39" spans="1:1">
      <c r="A39" s="304"/>
    </row>
    <row r="40" spans="1:1">
      <c r="A40" s="304"/>
    </row>
    <row r="41" spans="1:1">
      <c r="A41" s="304"/>
    </row>
    <row r="42" spans="1:1">
      <c r="A42" s="284"/>
    </row>
    <row r="43" spans="1:1">
      <c r="A43" s="302"/>
    </row>
  </sheetData>
  <mergeCells count="1">
    <mergeCell ref="A1:D1"/>
  </mergeCells>
  <pageMargins left="0.75" right="0.75" top="0.588888888888889" bottom="0.588888888888889" header="0.509027777777778" footer="0.509027777777778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F25"/>
  <sheetViews>
    <sheetView zoomScale="90" zoomScaleNormal="90" workbookViewId="0">
      <selection activeCell="A25" sqref="A25:F25"/>
    </sheetView>
  </sheetViews>
  <sheetFormatPr defaultColWidth="9" defaultRowHeight="14.25" outlineLevelCol="5"/>
  <cols>
    <col min="1" max="1" width="28" customWidth="1"/>
    <col min="2" max="4" width="9.125" customWidth="1"/>
    <col min="5" max="5" width="9.375"/>
  </cols>
  <sheetData>
    <row r="1" ht="28.5" customHeight="1" spans="1:6">
      <c r="A1" s="739" t="s">
        <v>35</v>
      </c>
      <c r="B1" s="739"/>
      <c r="C1" s="739"/>
      <c r="D1" s="739"/>
      <c r="E1" s="739"/>
      <c r="F1" s="739"/>
    </row>
    <row r="2" ht="21" customHeight="1" spans="1:6">
      <c r="A2" s="740" t="s">
        <v>1</v>
      </c>
      <c r="B2" s="741" t="s">
        <v>2</v>
      </c>
      <c r="C2" s="742">
        <v>43466</v>
      </c>
      <c r="D2" s="743"/>
      <c r="E2" s="742" t="s">
        <v>36</v>
      </c>
      <c r="F2" s="744"/>
    </row>
    <row r="3" ht="21" customHeight="1" spans="1:6">
      <c r="A3" s="745"/>
      <c r="B3" s="746"/>
      <c r="C3" s="745" t="s">
        <v>5</v>
      </c>
      <c r="D3" s="745" t="s">
        <v>6</v>
      </c>
      <c r="E3" s="745" t="s">
        <v>5</v>
      </c>
      <c r="F3" s="747" t="s">
        <v>6</v>
      </c>
    </row>
    <row r="4" ht="21.95" customHeight="1" spans="1:6">
      <c r="A4" s="748" t="s">
        <v>7</v>
      </c>
      <c r="B4" s="535" t="s">
        <v>8</v>
      </c>
      <c r="C4" s="749" t="s">
        <v>9</v>
      </c>
      <c r="D4" s="750" t="s">
        <v>9</v>
      </c>
      <c r="E4" s="751">
        <v>3008.39</v>
      </c>
      <c r="F4" s="437">
        <v>6</v>
      </c>
    </row>
    <row r="5" ht="21.95" customHeight="1" spans="1:6">
      <c r="A5" s="748" t="s">
        <v>10</v>
      </c>
      <c r="B5" s="535" t="s">
        <v>8</v>
      </c>
      <c r="C5" s="752" t="s">
        <v>9</v>
      </c>
      <c r="D5" s="753" t="s">
        <v>9</v>
      </c>
      <c r="E5" s="751">
        <v>2372.85</v>
      </c>
      <c r="F5" s="437">
        <v>5.1</v>
      </c>
    </row>
    <row r="6" ht="21.95" customHeight="1" spans="1:6">
      <c r="A6" s="748" t="s">
        <v>11</v>
      </c>
      <c r="B6" s="535" t="s">
        <v>8</v>
      </c>
      <c r="C6" s="752" t="s">
        <v>9</v>
      </c>
      <c r="D6" s="753" t="s">
        <v>9</v>
      </c>
      <c r="E6" s="751">
        <v>769.97</v>
      </c>
      <c r="F6" s="437">
        <v>5</v>
      </c>
    </row>
    <row r="7" ht="21.95" customHeight="1" spans="1:6">
      <c r="A7" s="748" t="s">
        <v>12</v>
      </c>
      <c r="B7" s="535" t="s">
        <v>8</v>
      </c>
      <c r="C7" s="535" t="s">
        <v>9</v>
      </c>
      <c r="D7" s="753" t="s">
        <v>9</v>
      </c>
      <c r="E7" s="751">
        <v>1260.12</v>
      </c>
      <c r="F7" s="437">
        <v>12.8</v>
      </c>
    </row>
    <row r="8" ht="21.95" customHeight="1" spans="1:6">
      <c r="A8" s="748" t="s">
        <v>13</v>
      </c>
      <c r="B8" s="535" t="s">
        <v>8</v>
      </c>
      <c r="C8" s="535" t="s">
        <v>9</v>
      </c>
      <c r="D8" s="753" t="s">
        <v>9</v>
      </c>
      <c r="E8" s="751">
        <v>496.41</v>
      </c>
      <c r="F8" s="437">
        <v>56.3</v>
      </c>
    </row>
    <row r="9" ht="21.95" customHeight="1" spans="1:6">
      <c r="A9" s="754" t="s">
        <v>14</v>
      </c>
      <c r="B9" s="538" t="s">
        <v>15</v>
      </c>
      <c r="C9" s="749" t="s">
        <v>9</v>
      </c>
      <c r="D9" s="750" t="s">
        <v>9</v>
      </c>
      <c r="E9" s="755">
        <v>547.35</v>
      </c>
      <c r="F9" s="507">
        <v>-7.1</v>
      </c>
    </row>
    <row r="10" ht="21.95" customHeight="1" spans="1:6">
      <c r="A10" s="754" t="s">
        <v>16</v>
      </c>
      <c r="B10" s="538" t="s">
        <v>8</v>
      </c>
      <c r="C10" s="749" t="s">
        <v>9</v>
      </c>
      <c r="D10" s="750" t="s">
        <v>9</v>
      </c>
      <c r="E10" s="756">
        <v>1697.3</v>
      </c>
      <c r="F10" s="507">
        <v>10.3</v>
      </c>
    </row>
    <row r="11" ht="21.95" customHeight="1" spans="1:6">
      <c r="A11" s="754" t="s">
        <v>17</v>
      </c>
      <c r="B11" s="538" t="s">
        <v>8</v>
      </c>
      <c r="C11" s="756">
        <v>17.38</v>
      </c>
      <c r="D11" s="507">
        <v>32.2</v>
      </c>
      <c r="E11" s="755">
        <v>121.83</v>
      </c>
      <c r="F11" s="507">
        <v>15.4</v>
      </c>
    </row>
    <row r="12" ht="21.95" customHeight="1" spans="1:6">
      <c r="A12" s="754" t="s">
        <v>18</v>
      </c>
      <c r="B12" s="538" t="s">
        <v>8</v>
      </c>
      <c r="C12" s="756">
        <v>35.69</v>
      </c>
      <c r="D12" s="507">
        <v>68.8</v>
      </c>
      <c r="E12" s="755">
        <v>477.17</v>
      </c>
      <c r="F12" s="507">
        <v>11.9</v>
      </c>
    </row>
    <row r="13" ht="21.95" customHeight="1" spans="1:6">
      <c r="A13" s="754" t="s">
        <v>19</v>
      </c>
      <c r="B13" s="538" t="s">
        <v>8</v>
      </c>
      <c r="C13" s="756">
        <v>68.61</v>
      </c>
      <c r="D13" s="507">
        <v>28.2</v>
      </c>
      <c r="E13" s="755">
        <v>509.85</v>
      </c>
      <c r="F13" s="507">
        <v>8.2</v>
      </c>
    </row>
    <row r="14" ht="21.95" customHeight="1" spans="1:6">
      <c r="A14" s="754" t="s">
        <v>37</v>
      </c>
      <c r="B14" s="538" t="s">
        <v>8</v>
      </c>
      <c r="C14" s="757">
        <v>36.8</v>
      </c>
      <c r="D14" s="507">
        <v>44.4</v>
      </c>
      <c r="E14" s="755">
        <v>377.03</v>
      </c>
      <c r="F14" s="507">
        <v>9</v>
      </c>
    </row>
    <row r="15" ht="21.95" customHeight="1" spans="1:6">
      <c r="A15" s="754" t="s">
        <v>21</v>
      </c>
      <c r="B15" s="538" t="s">
        <v>8</v>
      </c>
      <c r="C15" s="757">
        <v>20.59</v>
      </c>
      <c r="D15" s="507">
        <v>29.8</v>
      </c>
      <c r="E15" s="755">
        <v>205.03</v>
      </c>
      <c r="F15" s="507">
        <v>-5.5</v>
      </c>
    </row>
    <row r="16" ht="21.95" customHeight="1" spans="1:6">
      <c r="A16" s="754" t="s">
        <v>22</v>
      </c>
      <c r="B16" s="538" t="s">
        <v>8</v>
      </c>
      <c r="C16" s="756">
        <v>16.22</v>
      </c>
      <c r="D16" s="507">
        <v>68.5</v>
      </c>
      <c r="E16" s="756">
        <v>172</v>
      </c>
      <c r="F16" s="507">
        <v>33.5</v>
      </c>
    </row>
    <row r="17" ht="21.95" customHeight="1" spans="1:6">
      <c r="A17" s="754" t="s">
        <v>23</v>
      </c>
      <c r="B17" s="538" t="s">
        <v>24</v>
      </c>
      <c r="C17" s="758">
        <v>723</v>
      </c>
      <c r="D17" s="507">
        <v>0.1</v>
      </c>
      <c r="E17" s="755">
        <v>8529</v>
      </c>
      <c r="F17" s="507">
        <v>5.4</v>
      </c>
    </row>
    <row r="18" ht="21.95" customHeight="1" spans="1:6">
      <c r="A18" s="754" t="s">
        <v>25</v>
      </c>
      <c r="B18" s="538" t="s">
        <v>8</v>
      </c>
      <c r="C18" s="756">
        <v>3333.67</v>
      </c>
      <c r="D18" s="507">
        <v>7.6</v>
      </c>
      <c r="E18" s="755">
        <v>3343.59</v>
      </c>
      <c r="F18" s="507">
        <v>9.2</v>
      </c>
    </row>
    <row r="19" ht="21.95" customHeight="1" spans="1:6">
      <c r="A19" s="754" t="s">
        <v>26</v>
      </c>
      <c r="B19" s="535" t="s">
        <v>8</v>
      </c>
      <c r="C19" s="756">
        <v>2191.22</v>
      </c>
      <c r="D19" s="507">
        <v>12</v>
      </c>
      <c r="E19" s="751">
        <v>2127.66</v>
      </c>
      <c r="F19" s="437">
        <v>8.4</v>
      </c>
    </row>
    <row r="20" ht="21.95" customHeight="1" spans="1:6">
      <c r="A20" s="748" t="s">
        <v>27</v>
      </c>
      <c r="B20" s="535" t="s">
        <v>8</v>
      </c>
      <c r="C20" s="756">
        <v>2269.78</v>
      </c>
      <c r="D20" s="507">
        <v>19.6</v>
      </c>
      <c r="E20" s="751">
        <v>2164.16</v>
      </c>
      <c r="F20" s="437">
        <v>15.8</v>
      </c>
    </row>
    <row r="21" ht="21.95" customHeight="1" spans="1:6">
      <c r="A21" s="748" t="s">
        <v>28</v>
      </c>
      <c r="B21" s="535" t="s">
        <v>29</v>
      </c>
      <c r="C21" s="507">
        <v>101.9</v>
      </c>
      <c r="D21" s="507">
        <v>1.9</v>
      </c>
      <c r="E21" s="751">
        <v>101.6</v>
      </c>
      <c r="F21" s="437">
        <v>1.6</v>
      </c>
    </row>
    <row r="22" ht="21.95" customHeight="1" spans="1:6">
      <c r="A22" s="748" t="s">
        <v>30</v>
      </c>
      <c r="B22" s="535" t="s">
        <v>29</v>
      </c>
      <c r="C22" s="507">
        <v>100.1</v>
      </c>
      <c r="D22" s="507">
        <v>0.1</v>
      </c>
      <c r="E22" s="751">
        <v>103.4</v>
      </c>
      <c r="F22" s="437">
        <v>3.4</v>
      </c>
    </row>
    <row r="23" ht="21.95" customHeight="1" spans="1:6">
      <c r="A23" s="748" t="s">
        <v>31</v>
      </c>
      <c r="B23" s="535" t="s">
        <v>32</v>
      </c>
      <c r="C23" s="759">
        <v>15.6251</v>
      </c>
      <c r="D23" s="507">
        <v>9.03</v>
      </c>
      <c r="E23" s="759">
        <v>196.43</v>
      </c>
      <c r="F23" s="437">
        <v>8.3</v>
      </c>
    </row>
    <row r="24" ht="21.95" customHeight="1" spans="1:6">
      <c r="A24" s="748" t="s">
        <v>33</v>
      </c>
      <c r="B24" s="535" t="s">
        <v>32</v>
      </c>
      <c r="C24" s="760">
        <v>9.5556</v>
      </c>
      <c r="D24" s="761">
        <v>4.79</v>
      </c>
      <c r="E24" s="759">
        <v>119.75</v>
      </c>
      <c r="F24" s="437">
        <v>6</v>
      </c>
    </row>
    <row r="25" ht="21" customHeight="1" spans="1:6">
      <c r="A25" s="450" t="s">
        <v>34</v>
      </c>
      <c r="B25" s="450"/>
      <c r="C25" s="450"/>
      <c r="D25" s="450"/>
      <c r="E25" s="450"/>
      <c r="F25" s="450"/>
    </row>
  </sheetData>
  <mergeCells count="6">
    <mergeCell ref="A1:F1"/>
    <mergeCell ref="C2:D2"/>
    <mergeCell ref="E2:F2"/>
    <mergeCell ref="A25:F25"/>
    <mergeCell ref="A2:A3"/>
    <mergeCell ref="B2:B3"/>
  </mergeCells>
  <pageMargins left="0.75" right="0.75" top="1" bottom="1" header="0.5" footer="0.5"/>
  <pageSetup paperSize="9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D44"/>
  <sheetViews>
    <sheetView workbookViewId="0">
      <selection activeCell="G22" sqref="G22"/>
    </sheetView>
  </sheetViews>
  <sheetFormatPr defaultColWidth="9" defaultRowHeight="14.25" outlineLevelCol="3"/>
  <cols>
    <col min="1" max="1" width="41.5" style="240" customWidth="1"/>
    <col min="2" max="2" width="11.25" style="241" customWidth="1"/>
    <col min="3" max="3" width="13.125" style="280" customWidth="1"/>
    <col min="4" max="4" width="13.125" style="241" customWidth="1"/>
    <col min="5" max="16384" width="9" style="241"/>
  </cols>
  <sheetData>
    <row r="1" ht="34.5" customHeight="1" spans="1:4">
      <c r="A1" s="197" t="s">
        <v>484</v>
      </c>
      <c r="B1" s="197"/>
      <c r="C1" s="197"/>
      <c r="D1" s="197"/>
    </row>
    <row r="2" ht="20.25" customHeight="1" spans="1:4">
      <c r="A2" s="112"/>
      <c r="B2" s="112"/>
      <c r="C2" s="112"/>
      <c r="D2" s="90" t="s">
        <v>39</v>
      </c>
    </row>
    <row r="3" ht="28.5" customHeight="1" spans="1:4">
      <c r="A3" s="91" t="s">
        <v>448</v>
      </c>
      <c r="B3" s="142" t="s">
        <v>109</v>
      </c>
      <c r="C3" s="92" t="s">
        <v>6</v>
      </c>
      <c r="D3" s="142" t="s">
        <v>449</v>
      </c>
    </row>
    <row r="4" ht="18" customHeight="1" spans="1:4">
      <c r="A4" s="306" t="s">
        <v>485</v>
      </c>
      <c r="B4" s="340"/>
      <c r="C4" s="341"/>
      <c r="D4" s="234"/>
    </row>
    <row r="5" ht="18" customHeight="1" spans="1:4">
      <c r="A5" s="203" t="s">
        <v>451</v>
      </c>
      <c r="B5" s="342">
        <v>26.549</v>
      </c>
      <c r="C5" s="232">
        <v>-29.9</v>
      </c>
      <c r="D5" s="295" t="s">
        <v>9</v>
      </c>
    </row>
    <row r="6" ht="18" customHeight="1" spans="1:4">
      <c r="A6" s="203" t="s">
        <v>452</v>
      </c>
      <c r="B6" s="342">
        <v>1.082</v>
      </c>
      <c r="C6" s="232">
        <v>151.1</v>
      </c>
      <c r="D6" s="225">
        <v>1</v>
      </c>
    </row>
    <row r="7" ht="18" customHeight="1" spans="1:4">
      <c r="A7" s="210" t="s">
        <v>453</v>
      </c>
      <c r="B7" s="342">
        <v>1.6163</v>
      </c>
      <c r="C7" s="232">
        <v>-72.6</v>
      </c>
      <c r="D7" s="225">
        <v>9</v>
      </c>
    </row>
    <row r="8" ht="18" customHeight="1" spans="1:4">
      <c r="A8" s="211" t="s">
        <v>454</v>
      </c>
      <c r="B8" s="342">
        <v>14.6383</v>
      </c>
      <c r="C8" s="232">
        <v>-7.9</v>
      </c>
      <c r="D8" s="225">
        <v>6</v>
      </c>
    </row>
    <row r="9" ht="18" customHeight="1" spans="1:4">
      <c r="A9" s="210" t="s">
        <v>455</v>
      </c>
      <c r="B9" s="342">
        <v>2.8325</v>
      </c>
      <c r="C9" s="232">
        <v>-21</v>
      </c>
      <c r="D9" s="225">
        <v>7</v>
      </c>
    </row>
    <row r="10" ht="18" customHeight="1" spans="1:4">
      <c r="A10" s="210" t="s">
        <v>457</v>
      </c>
      <c r="B10" s="342">
        <v>0.4962</v>
      </c>
      <c r="C10" s="232">
        <v>6.3</v>
      </c>
      <c r="D10" s="225">
        <v>3</v>
      </c>
    </row>
    <row r="11" ht="18" customHeight="1" spans="1:4">
      <c r="A11" s="210" t="s">
        <v>458</v>
      </c>
      <c r="B11" s="342">
        <v>0.4053</v>
      </c>
      <c r="C11" s="232">
        <v>17.5</v>
      </c>
      <c r="D11" s="225">
        <v>2</v>
      </c>
    </row>
    <row r="12" ht="18" customHeight="1" spans="1:4">
      <c r="A12" s="212" t="s">
        <v>459</v>
      </c>
      <c r="B12" s="342">
        <v>0.2989</v>
      </c>
      <c r="C12" s="232">
        <v>-4</v>
      </c>
      <c r="D12" s="225">
        <v>5</v>
      </c>
    </row>
    <row r="13" ht="18" customHeight="1" spans="1:4">
      <c r="A13" s="212" t="s">
        <v>460</v>
      </c>
      <c r="B13" s="342">
        <v>0.4194</v>
      </c>
      <c r="C13" s="232">
        <v>-2179.2</v>
      </c>
      <c r="D13" s="225">
        <v>10</v>
      </c>
    </row>
    <row r="14" ht="18" customHeight="1" spans="1:4">
      <c r="A14" s="212" t="s">
        <v>461</v>
      </c>
      <c r="B14" s="342">
        <v>1.0828</v>
      </c>
      <c r="C14" s="232">
        <v>1.1</v>
      </c>
      <c r="D14" s="225">
        <v>4</v>
      </c>
    </row>
    <row r="15" ht="18" customHeight="1" spans="1:4">
      <c r="A15" s="212" t="s">
        <v>471</v>
      </c>
      <c r="B15" s="342">
        <v>7.1752</v>
      </c>
      <c r="C15" s="232">
        <v>-42.3</v>
      </c>
      <c r="D15" s="225">
        <v>8</v>
      </c>
    </row>
    <row r="16" ht="22.5" customHeight="1" spans="1:4">
      <c r="A16" s="198" t="s">
        <v>486</v>
      </c>
      <c r="B16" s="103"/>
      <c r="C16" s="232"/>
      <c r="D16" s="225"/>
    </row>
    <row r="17" ht="18" customHeight="1" spans="1:4">
      <c r="A17" s="203" t="s">
        <v>451</v>
      </c>
      <c r="B17" s="342">
        <v>4.0685</v>
      </c>
      <c r="C17" s="232">
        <v>19.1</v>
      </c>
      <c r="D17" s="295" t="s">
        <v>9</v>
      </c>
    </row>
    <row r="18" ht="18" customHeight="1" spans="1:4">
      <c r="A18" s="203" t="s">
        <v>452</v>
      </c>
      <c r="B18" s="342">
        <v>0.3435</v>
      </c>
      <c r="C18" s="232">
        <v>-57.8</v>
      </c>
      <c r="D18" s="225">
        <v>9</v>
      </c>
    </row>
    <row r="19" ht="18" customHeight="1" spans="1:4">
      <c r="A19" s="210" t="s">
        <v>453</v>
      </c>
      <c r="B19" s="342">
        <v>2.1376</v>
      </c>
      <c r="C19" s="232">
        <v>314.2</v>
      </c>
      <c r="D19" s="225">
        <v>1</v>
      </c>
    </row>
    <row r="20" ht="18" customHeight="1" spans="1:4">
      <c r="A20" s="211" t="s">
        <v>454</v>
      </c>
      <c r="B20" s="342">
        <v>0.2865</v>
      </c>
      <c r="C20" s="232">
        <v>-42.6</v>
      </c>
      <c r="D20" s="225">
        <v>7</v>
      </c>
    </row>
    <row r="21" ht="18" customHeight="1" spans="1:4">
      <c r="A21" s="210" t="s">
        <v>455</v>
      </c>
      <c r="B21" s="342">
        <v>0.2487</v>
      </c>
      <c r="C21" s="232">
        <v>18.4</v>
      </c>
      <c r="D21" s="225">
        <v>3</v>
      </c>
    </row>
    <row r="22" ht="18" customHeight="1" spans="1:4">
      <c r="A22" s="210" t="s">
        <v>457</v>
      </c>
      <c r="B22" s="342">
        <v>0.0136</v>
      </c>
      <c r="C22" s="285">
        <v>-74.3</v>
      </c>
      <c r="D22" s="225">
        <v>10</v>
      </c>
    </row>
    <row r="23" ht="18" customHeight="1" spans="1:4">
      <c r="A23" s="210" t="s">
        <v>458</v>
      </c>
      <c r="B23" s="342">
        <v>0.161</v>
      </c>
      <c r="C23" s="232">
        <v>10.1</v>
      </c>
      <c r="D23" s="225">
        <v>4</v>
      </c>
    </row>
    <row r="24" ht="18" customHeight="1" spans="1:4">
      <c r="A24" s="212" t="s">
        <v>459</v>
      </c>
      <c r="B24" s="342">
        <v>0.2519</v>
      </c>
      <c r="C24" s="232">
        <v>5.3</v>
      </c>
      <c r="D24" s="225">
        <v>5</v>
      </c>
    </row>
    <row r="25" ht="18" customHeight="1" spans="1:4">
      <c r="A25" s="212" t="s">
        <v>460</v>
      </c>
      <c r="B25" s="342">
        <v>0.3736</v>
      </c>
      <c r="C25" s="232">
        <v>-49.7</v>
      </c>
      <c r="D25" s="225">
        <v>8</v>
      </c>
    </row>
    <row r="26" ht="18" customHeight="1" spans="1:4">
      <c r="A26" s="212" t="s">
        <v>461</v>
      </c>
      <c r="B26" s="342">
        <v>0.1888</v>
      </c>
      <c r="C26" s="232">
        <v>84.9</v>
      </c>
      <c r="D26" s="225">
        <v>2</v>
      </c>
    </row>
    <row r="27" ht="18" customHeight="1" spans="1:4">
      <c r="A27" s="212" t="s">
        <v>471</v>
      </c>
      <c r="B27" s="342">
        <v>0.3497</v>
      </c>
      <c r="C27" s="232">
        <v>-25.4</v>
      </c>
      <c r="D27" s="225">
        <v>6</v>
      </c>
    </row>
    <row r="28" spans="1:4">
      <c r="A28" s="343"/>
      <c r="B28" s="343"/>
      <c r="C28" s="343"/>
      <c r="D28" s="343"/>
    </row>
    <row r="34" spans="1:1">
      <c r="A34" s="302"/>
    </row>
    <row r="35" spans="1:1">
      <c r="A35" s="302"/>
    </row>
    <row r="36" spans="1:1">
      <c r="A36" s="302"/>
    </row>
    <row r="37" spans="1:1">
      <c r="A37" s="303"/>
    </row>
    <row r="38" spans="1:1">
      <c r="A38" s="304"/>
    </row>
    <row r="39" spans="1:1">
      <c r="A39" s="304"/>
    </row>
    <row r="40" spans="1:1">
      <c r="A40" s="304"/>
    </row>
    <row r="41" spans="1:1">
      <c r="A41" s="304"/>
    </row>
    <row r="42" spans="1:1">
      <c r="A42" s="304"/>
    </row>
    <row r="43" spans="1:1">
      <c r="A43" s="284"/>
    </row>
    <row r="44" spans="1:1">
      <c r="A44" s="302"/>
    </row>
  </sheetData>
  <mergeCells count="1">
    <mergeCell ref="A1:D1"/>
  </mergeCells>
  <pageMargins left="0.75" right="0.75" top="0.588888888888889" bottom="0.588888888888889" header="0.509027777777778" footer="0.509027777777778"/>
  <pageSetup paperSize="9" orientation="portrait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44"/>
  <sheetViews>
    <sheetView workbookViewId="0">
      <selection activeCell="F23" sqref="F23"/>
    </sheetView>
  </sheetViews>
  <sheetFormatPr defaultColWidth="9" defaultRowHeight="14.25" outlineLevelCol="4"/>
  <cols>
    <col min="1" max="1" width="39" style="45" customWidth="1"/>
    <col min="2" max="2" width="13.125" style="44" customWidth="1"/>
    <col min="3" max="3" width="13.125" style="305" customWidth="1"/>
    <col min="4" max="4" width="13.125" style="44" customWidth="1"/>
    <col min="5" max="5" width="9.75" style="44" customWidth="1"/>
    <col min="6" max="16384" width="9" style="44"/>
  </cols>
  <sheetData>
    <row r="1" ht="34.5" customHeight="1" spans="1:5">
      <c r="A1" s="197" t="s">
        <v>487</v>
      </c>
      <c r="B1" s="197"/>
      <c r="C1" s="197"/>
      <c r="D1" s="197"/>
    </row>
    <row r="2" ht="20.25" customHeight="1" spans="1:5">
      <c r="A2" s="112"/>
      <c r="B2" s="112"/>
      <c r="C2" s="112"/>
      <c r="D2" s="90" t="s">
        <v>39</v>
      </c>
    </row>
    <row r="3" ht="28.5" customHeight="1" spans="1:5">
      <c r="A3" s="91" t="s">
        <v>448</v>
      </c>
      <c r="B3" s="142" t="s">
        <v>109</v>
      </c>
      <c r="C3" s="92" t="s">
        <v>6</v>
      </c>
      <c r="D3" s="142" t="s">
        <v>449</v>
      </c>
      <c r="E3" s="52"/>
    </row>
    <row r="4" ht="18" customHeight="1" spans="1:5">
      <c r="A4" s="198" t="s">
        <v>488</v>
      </c>
      <c r="B4" s="213"/>
      <c r="C4" s="214"/>
      <c r="D4" s="225"/>
      <c r="E4" s="52"/>
    </row>
    <row r="5" ht="18" customHeight="1" spans="1:5">
      <c r="A5" s="203" t="s">
        <v>451</v>
      </c>
      <c r="B5" s="342">
        <v>55.627</v>
      </c>
      <c r="C5" s="232">
        <v>-17.7</v>
      </c>
      <c r="D5" s="295" t="s">
        <v>9</v>
      </c>
      <c r="E5" s="52"/>
    </row>
    <row r="6" ht="18" customHeight="1" spans="1:5">
      <c r="A6" s="203" t="s">
        <v>452</v>
      </c>
      <c r="B6" s="342">
        <v>4.8208</v>
      </c>
      <c r="C6" s="232">
        <v>27.7</v>
      </c>
      <c r="D6" s="225">
        <v>2</v>
      </c>
      <c r="E6" s="52"/>
    </row>
    <row r="7" ht="18" customHeight="1" spans="1:5">
      <c r="A7" s="210" t="s">
        <v>453</v>
      </c>
      <c r="B7" s="342">
        <v>15.0013</v>
      </c>
      <c r="C7" s="232">
        <v>-32.9</v>
      </c>
      <c r="D7" s="225">
        <v>8</v>
      </c>
      <c r="E7" s="52"/>
    </row>
    <row r="8" ht="18" customHeight="1" spans="1:5">
      <c r="A8" s="211" t="s">
        <v>454</v>
      </c>
      <c r="B8" s="342">
        <v>20.3259</v>
      </c>
      <c r="C8" s="232">
        <v>-8</v>
      </c>
      <c r="D8" s="225">
        <v>6</v>
      </c>
      <c r="E8" s="52"/>
    </row>
    <row r="9" ht="18" customHeight="1" spans="1:5">
      <c r="A9" s="210" t="s">
        <v>455</v>
      </c>
      <c r="B9" s="342">
        <v>3.8248</v>
      </c>
      <c r="C9" s="232">
        <v>-4.4</v>
      </c>
      <c r="D9" s="225">
        <v>5</v>
      </c>
      <c r="E9" s="52"/>
    </row>
    <row r="10" ht="18" customHeight="1" spans="1:5">
      <c r="A10" s="210" t="s">
        <v>457</v>
      </c>
      <c r="B10" s="342">
        <v>0.7993</v>
      </c>
      <c r="C10" s="232">
        <v>11.8</v>
      </c>
      <c r="D10" s="225">
        <v>3</v>
      </c>
      <c r="E10" s="52"/>
    </row>
    <row r="11" ht="18" customHeight="1" spans="1:5">
      <c r="A11" s="210" t="s">
        <v>458</v>
      </c>
      <c r="B11" s="342">
        <v>0.2324</v>
      </c>
      <c r="C11" s="232">
        <v>-228.8</v>
      </c>
      <c r="D11" s="225">
        <v>10</v>
      </c>
      <c r="E11" s="52"/>
    </row>
    <row r="12" ht="18" customHeight="1" spans="1:5">
      <c r="A12" s="212" t="s">
        <v>459</v>
      </c>
      <c r="B12" s="342">
        <v>0.2844</v>
      </c>
      <c r="C12" s="232">
        <v>-39.6</v>
      </c>
      <c r="D12" s="225">
        <v>9</v>
      </c>
      <c r="E12" s="52"/>
    </row>
    <row r="13" ht="18" customHeight="1" spans="1:5">
      <c r="A13" s="212" t="s">
        <v>460</v>
      </c>
      <c r="B13" s="342">
        <v>0.8773</v>
      </c>
      <c r="C13" s="232">
        <v>119.8</v>
      </c>
      <c r="D13" s="225">
        <v>1</v>
      </c>
      <c r="E13" s="52"/>
    </row>
    <row r="14" ht="18" customHeight="1" spans="1:5">
      <c r="A14" s="212" t="s">
        <v>461</v>
      </c>
      <c r="B14" s="342">
        <v>2.0233</v>
      </c>
      <c r="C14" s="232">
        <v>9.3</v>
      </c>
      <c r="D14" s="225">
        <v>4</v>
      </c>
      <c r="E14" s="52"/>
    </row>
    <row r="15" ht="18" customHeight="1" spans="1:5">
      <c r="A15" s="212" t="s">
        <v>471</v>
      </c>
      <c r="B15" s="342">
        <v>11.7916</v>
      </c>
      <c r="C15" s="232">
        <v>-21</v>
      </c>
      <c r="D15" s="225">
        <v>7</v>
      </c>
      <c r="E15" s="52"/>
    </row>
    <row r="16" ht="18" customHeight="1" spans="1:5">
      <c r="A16" s="306" t="s">
        <v>489</v>
      </c>
      <c r="B16" s="103"/>
      <c r="C16" s="341"/>
      <c r="D16" s="234"/>
    </row>
    <row r="17" ht="18" customHeight="1" spans="1:4">
      <c r="A17" s="203" t="s">
        <v>451</v>
      </c>
      <c r="B17" s="342">
        <v>2676.1312</v>
      </c>
      <c r="C17" s="232">
        <v>3.1</v>
      </c>
      <c r="D17" s="295" t="s">
        <v>9</v>
      </c>
    </row>
    <row r="18" ht="18" customHeight="1" spans="1:4">
      <c r="A18" s="203" t="s">
        <v>452</v>
      </c>
      <c r="B18" s="342">
        <v>162.5795</v>
      </c>
      <c r="C18" s="232">
        <v>-2.2</v>
      </c>
      <c r="D18" s="225">
        <v>9</v>
      </c>
    </row>
    <row r="19" ht="18" customHeight="1" spans="1:4">
      <c r="A19" s="210" t="s">
        <v>453</v>
      </c>
      <c r="B19" s="342">
        <v>374.9954</v>
      </c>
      <c r="C19" s="232">
        <v>20.1</v>
      </c>
      <c r="D19" s="225">
        <v>2</v>
      </c>
    </row>
    <row r="20" ht="18" customHeight="1" spans="1:4">
      <c r="A20" s="211" t="s">
        <v>454</v>
      </c>
      <c r="B20" s="342">
        <v>430.2151</v>
      </c>
      <c r="C20" s="232">
        <v>-5.4</v>
      </c>
      <c r="D20" s="225">
        <v>10</v>
      </c>
    </row>
    <row r="21" ht="18" customHeight="1" spans="1:4">
      <c r="A21" s="210" t="s">
        <v>455</v>
      </c>
      <c r="B21" s="342">
        <v>320.0247</v>
      </c>
      <c r="C21" s="232">
        <v>4.4</v>
      </c>
      <c r="D21" s="225">
        <v>6</v>
      </c>
    </row>
    <row r="22" ht="18" customHeight="1" spans="1:4">
      <c r="A22" s="210" t="s">
        <v>457</v>
      </c>
      <c r="B22" s="342">
        <v>67.8213</v>
      </c>
      <c r="C22" s="232">
        <v>2.9</v>
      </c>
      <c r="D22" s="225">
        <v>7</v>
      </c>
    </row>
    <row r="23" ht="18" customHeight="1" spans="1:4">
      <c r="A23" s="210" t="s">
        <v>458</v>
      </c>
      <c r="B23" s="342">
        <v>106.6036</v>
      </c>
      <c r="C23" s="232">
        <v>22.8</v>
      </c>
      <c r="D23" s="225">
        <v>1</v>
      </c>
    </row>
    <row r="24" ht="18" customHeight="1" spans="1:4">
      <c r="A24" s="212" t="s">
        <v>459</v>
      </c>
      <c r="B24" s="342">
        <v>225.3308</v>
      </c>
      <c r="C24" s="232">
        <v>18</v>
      </c>
      <c r="D24" s="225">
        <v>3</v>
      </c>
    </row>
    <row r="25" ht="18" customHeight="1" spans="1:4">
      <c r="A25" s="212" t="s">
        <v>460</v>
      </c>
      <c r="B25" s="342">
        <v>171.4794</v>
      </c>
      <c r="C25" s="232">
        <v>4.5</v>
      </c>
      <c r="D25" s="225">
        <v>5</v>
      </c>
    </row>
    <row r="26" ht="18" customHeight="1" spans="1:4">
      <c r="A26" s="212" t="s">
        <v>461</v>
      </c>
      <c r="B26" s="342">
        <v>122.6022</v>
      </c>
      <c r="C26" s="232">
        <v>10.3</v>
      </c>
      <c r="D26" s="225">
        <v>4</v>
      </c>
    </row>
    <row r="27" ht="18" customHeight="1" spans="1:4">
      <c r="A27" s="212" t="s">
        <v>471</v>
      </c>
      <c r="B27" s="342">
        <v>1056.6776</v>
      </c>
      <c r="C27" s="232">
        <v>-1</v>
      </c>
      <c r="D27" s="225">
        <v>8</v>
      </c>
    </row>
    <row r="28" spans="1:4">
      <c r="A28" s="309"/>
      <c r="B28" s="309"/>
      <c r="C28" s="309"/>
      <c r="D28" s="309"/>
    </row>
    <row r="34" spans="1:1">
      <c r="A34" s="310"/>
    </row>
    <row r="35" spans="1:1">
      <c r="A35" s="310"/>
    </row>
    <row r="36" spans="1:1">
      <c r="A36" s="310"/>
    </row>
    <row r="37" spans="1:1">
      <c r="A37" s="311"/>
    </row>
    <row r="38" spans="1:1">
      <c r="A38" s="312"/>
    </row>
    <row r="39" spans="1:1">
      <c r="A39" s="312"/>
    </row>
    <row r="40" spans="1:1">
      <c r="A40" s="312"/>
    </row>
    <row r="41" spans="1:1">
      <c r="A41" s="312"/>
    </row>
    <row r="42" spans="1:1">
      <c r="A42" s="304"/>
    </row>
    <row r="43" spans="1:1">
      <c r="A43" s="52"/>
    </row>
    <row r="44" spans="1:1">
      <c r="A44" s="310"/>
    </row>
  </sheetData>
  <mergeCells count="1">
    <mergeCell ref="A1:D1"/>
  </mergeCells>
  <pageMargins left="0.75" right="0.75" top="0.588888888888889" bottom="0.588888888888889" header="0.509027777777778" footer="0.509027777777778"/>
  <pageSetup paperSize="9" orientation="portrait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44"/>
  <sheetViews>
    <sheetView workbookViewId="0">
      <selection activeCell="F23" sqref="F23"/>
    </sheetView>
  </sheetViews>
  <sheetFormatPr defaultColWidth="9" defaultRowHeight="14.25" outlineLevelCol="4"/>
  <cols>
    <col min="1" max="1" width="39" style="45" customWidth="1"/>
    <col min="2" max="2" width="13.125" style="44" customWidth="1"/>
    <col min="3" max="3" width="13.125" style="305" customWidth="1"/>
    <col min="4" max="4" width="13.125" style="44" customWidth="1"/>
    <col min="5" max="5" width="9.75" style="44" customWidth="1"/>
    <col min="6" max="16384" width="9" style="44"/>
  </cols>
  <sheetData>
    <row r="1" ht="34.5" customHeight="1" spans="1:5">
      <c r="A1" s="197" t="s">
        <v>490</v>
      </c>
      <c r="B1" s="197"/>
      <c r="C1" s="197"/>
      <c r="D1" s="197"/>
    </row>
    <row r="2" ht="20.25" customHeight="1" spans="1:5">
      <c r="A2" s="112"/>
      <c r="B2" s="112"/>
      <c r="C2" s="112"/>
      <c r="D2" s="90" t="s">
        <v>39</v>
      </c>
    </row>
    <row r="3" ht="28.5" customHeight="1" spans="1:5">
      <c r="A3" s="91" t="s">
        <v>448</v>
      </c>
      <c r="B3" s="142" t="s">
        <v>109</v>
      </c>
      <c r="C3" s="92" t="s">
        <v>6</v>
      </c>
      <c r="D3" s="142" t="s">
        <v>449</v>
      </c>
      <c r="E3" s="52"/>
    </row>
    <row r="4" ht="18" customHeight="1" spans="1:5">
      <c r="A4" s="198" t="s">
        <v>491</v>
      </c>
      <c r="B4" s="213"/>
      <c r="C4" s="214"/>
      <c r="D4" s="225"/>
      <c r="E4" s="52"/>
    </row>
    <row r="5" ht="18" customHeight="1" spans="1:5">
      <c r="A5" s="203" t="s">
        <v>451</v>
      </c>
      <c r="B5" s="103">
        <v>1845.402</v>
      </c>
      <c r="C5" s="232">
        <v>0.7</v>
      </c>
      <c r="D5" s="295" t="s">
        <v>9</v>
      </c>
      <c r="E5" s="52"/>
    </row>
    <row r="6" ht="18" customHeight="1" spans="1:5">
      <c r="A6" s="203" t="s">
        <v>452</v>
      </c>
      <c r="B6" s="103">
        <v>62.6499</v>
      </c>
      <c r="C6" s="232">
        <v>-15.5</v>
      </c>
      <c r="D6" s="225">
        <v>10</v>
      </c>
      <c r="E6" s="52"/>
    </row>
    <row r="7" ht="18" customHeight="1" spans="1:5">
      <c r="A7" s="210" t="s">
        <v>453</v>
      </c>
      <c r="B7" s="103">
        <v>212.0166</v>
      </c>
      <c r="C7" s="232">
        <v>28.8</v>
      </c>
      <c r="D7" s="225">
        <v>1</v>
      </c>
      <c r="E7" s="52"/>
    </row>
    <row r="8" ht="18" customHeight="1" spans="1:5">
      <c r="A8" s="211" t="s">
        <v>454</v>
      </c>
      <c r="B8" s="103">
        <v>398.6187</v>
      </c>
      <c r="C8" s="232">
        <v>-5</v>
      </c>
      <c r="D8" s="225">
        <v>8</v>
      </c>
      <c r="E8" s="52"/>
    </row>
    <row r="9" ht="18" customHeight="1" spans="1:5">
      <c r="A9" s="210" t="s">
        <v>455</v>
      </c>
      <c r="B9" s="103">
        <v>194.0321</v>
      </c>
      <c r="C9" s="232">
        <v>1.3</v>
      </c>
      <c r="D9" s="225">
        <v>7</v>
      </c>
      <c r="E9" s="52"/>
    </row>
    <row r="10" ht="18" customHeight="1" spans="1:5">
      <c r="A10" s="210" t="s">
        <v>457</v>
      </c>
      <c r="B10" s="103">
        <v>41.671</v>
      </c>
      <c r="C10" s="232">
        <v>25.6</v>
      </c>
      <c r="D10" s="225">
        <v>2</v>
      </c>
      <c r="E10" s="52"/>
    </row>
    <row r="11" ht="18" customHeight="1" spans="1:5">
      <c r="A11" s="210" t="s">
        <v>458</v>
      </c>
      <c r="B11" s="103">
        <v>80.7966</v>
      </c>
      <c r="C11" s="232">
        <v>17.9</v>
      </c>
      <c r="D11" s="225">
        <v>5</v>
      </c>
      <c r="E11" s="52"/>
    </row>
    <row r="12" ht="18" customHeight="1" spans="1:5">
      <c r="A12" s="212" t="s">
        <v>459</v>
      </c>
      <c r="B12" s="103">
        <v>231.3157</v>
      </c>
      <c r="C12" s="232">
        <v>22.5</v>
      </c>
      <c r="D12" s="225">
        <v>3</v>
      </c>
      <c r="E12" s="52"/>
    </row>
    <row r="13" ht="18" customHeight="1" spans="1:5">
      <c r="A13" s="212" t="s">
        <v>460</v>
      </c>
      <c r="B13" s="103">
        <v>150.4679</v>
      </c>
      <c r="C13" s="232">
        <v>2.1</v>
      </c>
      <c r="D13" s="225">
        <v>6</v>
      </c>
      <c r="E13" s="52"/>
    </row>
    <row r="14" ht="18" customHeight="1" spans="1:5">
      <c r="A14" s="212" t="s">
        <v>461</v>
      </c>
      <c r="B14" s="103">
        <v>80.2449</v>
      </c>
      <c r="C14" s="232">
        <v>20</v>
      </c>
      <c r="D14" s="225">
        <v>4</v>
      </c>
      <c r="E14" s="52"/>
    </row>
    <row r="15" ht="18" customHeight="1" spans="1:5">
      <c r="A15" s="212" t="s">
        <v>471</v>
      </c>
      <c r="B15" s="103">
        <v>587.3555</v>
      </c>
      <c r="C15" s="232">
        <v>-10.1</v>
      </c>
      <c r="D15" s="225">
        <v>9</v>
      </c>
      <c r="E15" s="52"/>
    </row>
    <row r="16" ht="18" customHeight="1" spans="1:5">
      <c r="A16" s="198" t="s">
        <v>492</v>
      </c>
      <c r="B16" s="103"/>
      <c r="C16" s="232"/>
      <c r="D16" s="225"/>
      <c r="E16" s="52"/>
    </row>
    <row r="17" ht="18" customHeight="1" spans="1:5">
      <c r="A17" s="203" t="s">
        <v>451</v>
      </c>
      <c r="B17" s="103">
        <v>192.5764</v>
      </c>
      <c r="C17" s="232">
        <v>4.3</v>
      </c>
      <c r="D17" s="295" t="s">
        <v>9</v>
      </c>
      <c r="E17" s="52"/>
    </row>
    <row r="18" ht="18" customHeight="1" spans="1:5">
      <c r="A18" s="203" t="s">
        <v>452</v>
      </c>
      <c r="B18" s="103">
        <v>12.1085</v>
      </c>
      <c r="C18" s="232">
        <v>39.2</v>
      </c>
      <c r="D18" s="225">
        <v>5</v>
      </c>
      <c r="E18" s="52"/>
    </row>
    <row r="19" ht="18" customHeight="1" spans="1:5">
      <c r="A19" s="210" t="s">
        <v>453</v>
      </c>
      <c r="B19" s="103">
        <v>28.0527</v>
      </c>
      <c r="C19" s="232">
        <v>47.4</v>
      </c>
      <c r="D19" s="225">
        <v>4</v>
      </c>
      <c r="E19" s="52"/>
    </row>
    <row r="20" ht="18" customHeight="1" spans="1:5">
      <c r="A20" s="211" t="s">
        <v>454</v>
      </c>
      <c r="B20" s="103">
        <v>8.6819</v>
      </c>
      <c r="C20" s="232">
        <v>122.9</v>
      </c>
      <c r="D20" s="225">
        <v>1</v>
      </c>
      <c r="E20" s="52"/>
    </row>
    <row r="21" ht="18" customHeight="1" spans="1:5">
      <c r="A21" s="210" t="s">
        <v>455</v>
      </c>
      <c r="B21" s="103">
        <v>19.0054</v>
      </c>
      <c r="C21" s="232">
        <v>-23.5</v>
      </c>
      <c r="D21" s="225">
        <v>9</v>
      </c>
      <c r="E21" s="52"/>
    </row>
    <row r="22" ht="18" customHeight="1" spans="1:5">
      <c r="A22" s="210" t="s">
        <v>457</v>
      </c>
      <c r="B22" s="103">
        <v>13.1069</v>
      </c>
      <c r="C22" s="232">
        <v>11.5</v>
      </c>
      <c r="D22" s="225">
        <v>6</v>
      </c>
      <c r="E22" s="52"/>
    </row>
    <row r="23" ht="18" customHeight="1" spans="1:5">
      <c r="A23" s="210" t="s">
        <v>458</v>
      </c>
      <c r="B23" s="103">
        <v>3.3844</v>
      </c>
      <c r="C23" s="232">
        <v>49.5</v>
      </c>
      <c r="D23" s="225">
        <v>3</v>
      </c>
      <c r="E23" s="52"/>
    </row>
    <row r="24" ht="18" customHeight="1" spans="1:5">
      <c r="A24" s="212" t="s">
        <v>459</v>
      </c>
      <c r="B24" s="103">
        <v>5.9596</v>
      </c>
      <c r="C24" s="232">
        <v>84.7</v>
      </c>
      <c r="D24" s="225">
        <v>2</v>
      </c>
      <c r="E24" s="52"/>
    </row>
    <row r="25" ht="18" customHeight="1" spans="1:5">
      <c r="A25" s="212" t="s">
        <v>460</v>
      </c>
      <c r="B25" s="103">
        <v>12.8911</v>
      </c>
      <c r="C25" s="232">
        <v>-28.1</v>
      </c>
      <c r="D25" s="225">
        <v>10</v>
      </c>
      <c r="E25" s="52"/>
    </row>
    <row r="26" ht="18" customHeight="1" spans="1:5">
      <c r="A26" s="212" t="s">
        <v>461</v>
      </c>
      <c r="B26" s="103">
        <v>18.37</v>
      </c>
      <c r="C26" s="232">
        <v>-6.6</v>
      </c>
      <c r="D26" s="225">
        <v>8</v>
      </c>
      <c r="E26" s="52"/>
    </row>
    <row r="27" ht="18" customHeight="1" spans="1:5">
      <c r="A27" s="218" t="s">
        <v>471</v>
      </c>
      <c r="B27" s="103">
        <v>102.3814</v>
      </c>
      <c r="C27" s="232">
        <v>-2.4</v>
      </c>
      <c r="D27" s="225">
        <v>7</v>
      </c>
      <c r="E27" s="52"/>
    </row>
    <row r="28" spans="1:5">
      <c r="A28" s="309"/>
      <c r="B28" s="309"/>
      <c r="C28" s="309"/>
      <c r="D28" s="309"/>
    </row>
    <row r="34" spans="1:1">
      <c r="A34" s="310"/>
    </row>
    <row r="35" spans="1:1">
      <c r="A35" s="310"/>
    </row>
    <row r="36" spans="1:1">
      <c r="A36" s="310"/>
    </row>
    <row r="37" spans="1:1">
      <c r="A37" s="311"/>
    </row>
    <row r="38" spans="1:1">
      <c r="A38" s="312"/>
    </row>
    <row r="39" spans="1:1">
      <c r="A39" s="312"/>
    </row>
    <row r="40" spans="1:1">
      <c r="A40" s="312"/>
    </row>
    <row r="41" spans="1:1">
      <c r="A41" s="312"/>
    </row>
    <row r="42" spans="1:1">
      <c r="A42" s="304"/>
    </row>
    <row r="43" spans="1:1">
      <c r="A43" s="52"/>
    </row>
    <row r="44" spans="1:1">
      <c r="A44" s="310"/>
    </row>
  </sheetData>
  <mergeCells count="1">
    <mergeCell ref="A1:D1"/>
  </mergeCells>
  <pageMargins left="0.75" right="0.75" top="0.588888888888889" bottom="0.588888888888889" header="0.509027777777778" footer="0.509027777777778"/>
  <pageSetup paperSize="9" orientation="portrait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44"/>
  <sheetViews>
    <sheetView workbookViewId="0">
      <selection activeCell="F21" sqref="F21"/>
    </sheetView>
  </sheetViews>
  <sheetFormatPr defaultColWidth="9" defaultRowHeight="14.25" outlineLevelCol="4"/>
  <cols>
    <col min="1" max="1" width="39" style="45" customWidth="1"/>
    <col min="2" max="2" width="13.125" customWidth="1"/>
    <col min="3" max="3" width="13.125" style="339" customWidth="1"/>
    <col min="4" max="4" width="13.125" customWidth="1"/>
    <col min="5" max="5" width="9.75" customWidth="1"/>
  </cols>
  <sheetData>
    <row r="1" ht="34.5" customHeight="1" spans="1:5">
      <c r="A1" s="197" t="s">
        <v>493</v>
      </c>
      <c r="B1" s="197"/>
      <c r="C1" s="197"/>
      <c r="D1" s="197"/>
      <c r="E1" s="44"/>
    </row>
    <row r="2" ht="20.25" customHeight="1" spans="1:5">
      <c r="A2" s="112"/>
      <c r="B2" s="112"/>
      <c r="C2" s="221" t="s">
        <v>39</v>
      </c>
      <c r="D2" s="221"/>
      <c r="E2" s="44"/>
    </row>
    <row r="3" ht="28.5" customHeight="1" spans="1:5">
      <c r="A3" s="91" t="s">
        <v>448</v>
      </c>
      <c r="B3" s="142" t="s">
        <v>109</v>
      </c>
      <c r="C3" s="92" t="s">
        <v>6</v>
      </c>
      <c r="D3" s="142" t="s">
        <v>449</v>
      </c>
      <c r="E3" s="52"/>
    </row>
    <row r="4" ht="18" customHeight="1" spans="1:5">
      <c r="A4" s="306" t="s">
        <v>494</v>
      </c>
      <c r="B4" s="340"/>
      <c r="C4" s="341"/>
      <c r="D4" s="234"/>
      <c r="E4" s="44"/>
    </row>
    <row r="5" ht="18" customHeight="1" spans="1:5">
      <c r="A5" s="203" t="s">
        <v>451</v>
      </c>
      <c r="B5" s="103">
        <v>83.4979</v>
      </c>
      <c r="C5" s="232">
        <v>1.3</v>
      </c>
      <c r="D5" s="295" t="s">
        <v>9</v>
      </c>
      <c r="E5" s="44"/>
    </row>
    <row r="6" ht="18" customHeight="1" spans="1:5">
      <c r="A6" s="203" t="s">
        <v>452</v>
      </c>
      <c r="B6" s="103">
        <v>2.1309</v>
      </c>
      <c r="C6" s="232">
        <v>-5.7</v>
      </c>
      <c r="D6" s="225">
        <v>6</v>
      </c>
      <c r="E6" s="44"/>
    </row>
    <row r="7" ht="18" customHeight="1" spans="1:5">
      <c r="A7" s="210" t="s">
        <v>453</v>
      </c>
      <c r="B7" s="103">
        <v>24.1246</v>
      </c>
      <c r="C7" s="232">
        <v>10.8</v>
      </c>
      <c r="D7" s="225">
        <v>2</v>
      </c>
      <c r="E7" s="44"/>
    </row>
    <row r="8" ht="18" customHeight="1" spans="1:5">
      <c r="A8" s="211" t="s">
        <v>454</v>
      </c>
      <c r="B8" s="103">
        <v>4.0596</v>
      </c>
      <c r="C8" s="232">
        <v>10.2</v>
      </c>
      <c r="D8" s="225">
        <v>3</v>
      </c>
      <c r="E8" s="44"/>
    </row>
    <row r="9" ht="18" customHeight="1" spans="1:5">
      <c r="A9" s="210" t="s">
        <v>455</v>
      </c>
      <c r="B9" s="103">
        <v>8.6385</v>
      </c>
      <c r="C9" s="232">
        <v>-18.8</v>
      </c>
      <c r="D9" s="225">
        <v>10</v>
      </c>
      <c r="E9" s="44"/>
    </row>
    <row r="10" ht="18" customHeight="1" spans="1:5">
      <c r="A10" s="210" t="s">
        <v>457</v>
      </c>
      <c r="B10" s="103">
        <v>5.0448</v>
      </c>
      <c r="C10" s="232">
        <v>-0.6</v>
      </c>
      <c r="D10" s="225">
        <v>5</v>
      </c>
      <c r="E10" s="44"/>
    </row>
    <row r="11" ht="18" customHeight="1" spans="1:5">
      <c r="A11" s="210" t="s">
        <v>458</v>
      </c>
      <c r="B11" s="103">
        <v>2.3308</v>
      </c>
      <c r="C11" s="232">
        <v>46</v>
      </c>
      <c r="D11" s="225">
        <v>1</v>
      </c>
      <c r="E11" s="44"/>
    </row>
    <row r="12" ht="18" customHeight="1" spans="1:5">
      <c r="A12" s="212" t="s">
        <v>459</v>
      </c>
      <c r="B12" s="103">
        <v>4.4012</v>
      </c>
      <c r="C12" s="232">
        <v>-14.9</v>
      </c>
      <c r="D12" s="225">
        <v>9</v>
      </c>
      <c r="E12" s="44"/>
    </row>
    <row r="13" ht="18" customHeight="1" spans="1:5">
      <c r="A13" s="212" t="s">
        <v>460</v>
      </c>
      <c r="B13" s="103">
        <v>14.9722</v>
      </c>
      <c r="C13" s="232">
        <v>-9.2</v>
      </c>
      <c r="D13" s="225">
        <v>8</v>
      </c>
      <c r="E13" s="44"/>
    </row>
    <row r="14" ht="18" customHeight="1" spans="1:5">
      <c r="A14" s="212" t="s">
        <v>461</v>
      </c>
      <c r="B14" s="103">
        <v>6.3066</v>
      </c>
      <c r="C14" s="232">
        <v>-9</v>
      </c>
      <c r="D14" s="225">
        <v>7</v>
      </c>
      <c r="E14" s="44"/>
    </row>
    <row r="15" ht="18" customHeight="1" spans="1:5">
      <c r="A15" s="212" t="s">
        <v>471</v>
      </c>
      <c r="B15" s="103">
        <v>31.3908</v>
      </c>
      <c r="C15" s="232">
        <v>8.4</v>
      </c>
      <c r="D15" s="225">
        <v>4</v>
      </c>
      <c r="E15" s="44"/>
    </row>
    <row r="16" ht="18" customHeight="1" spans="1:5">
      <c r="A16" s="198" t="s">
        <v>495</v>
      </c>
      <c r="B16" s="103"/>
      <c r="C16" s="232"/>
      <c r="D16" s="225"/>
      <c r="E16" s="52"/>
    </row>
    <row r="17" ht="18" customHeight="1" spans="1:5">
      <c r="A17" s="203" t="s">
        <v>451</v>
      </c>
      <c r="B17" s="103">
        <v>2.8992</v>
      </c>
      <c r="C17" s="232">
        <v>34.9</v>
      </c>
      <c r="D17" s="295" t="s">
        <v>9</v>
      </c>
      <c r="E17" s="52"/>
    </row>
    <row r="18" ht="18" customHeight="1" spans="1:5">
      <c r="A18" s="203" t="s">
        <v>452</v>
      </c>
      <c r="B18" s="103">
        <v>-0.2279</v>
      </c>
      <c r="C18" s="232">
        <v>-201.3</v>
      </c>
      <c r="D18" s="225">
        <v>10</v>
      </c>
      <c r="E18" s="52"/>
    </row>
    <row r="19" ht="18" customHeight="1" spans="1:5">
      <c r="A19" s="210" t="s">
        <v>453</v>
      </c>
      <c r="B19" s="103">
        <v>0.1185</v>
      </c>
      <c r="C19" s="232">
        <v>-66.6</v>
      </c>
      <c r="D19" s="225">
        <v>8</v>
      </c>
      <c r="E19" s="52"/>
    </row>
    <row r="20" ht="18" customHeight="1" spans="1:5">
      <c r="A20" s="211" t="s">
        <v>454</v>
      </c>
      <c r="B20" s="103">
        <v>0.0965</v>
      </c>
      <c r="C20" s="232">
        <v>15.5</v>
      </c>
      <c r="D20" s="225">
        <v>6</v>
      </c>
      <c r="E20" s="52"/>
    </row>
    <row r="21" ht="18" customHeight="1" spans="1:5">
      <c r="A21" s="210" t="s">
        <v>455</v>
      </c>
      <c r="B21" s="103">
        <v>0.084</v>
      </c>
      <c r="C21" s="232">
        <v>-90.7</v>
      </c>
      <c r="D21" s="225">
        <v>9</v>
      </c>
      <c r="E21" s="52"/>
    </row>
    <row r="22" ht="18" customHeight="1" spans="1:5">
      <c r="A22" s="210" t="s">
        <v>457</v>
      </c>
      <c r="B22" s="103">
        <v>0.135</v>
      </c>
      <c r="C22" s="232">
        <v>8.9</v>
      </c>
      <c r="D22" s="225">
        <v>7</v>
      </c>
      <c r="E22" s="52"/>
    </row>
    <row r="23" ht="18" customHeight="1" spans="1:5">
      <c r="A23" s="210" t="s">
        <v>458</v>
      </c>
      <c r="B23" s="103">
        <v>0.2256</v>
      </c>
      <c r="C23" s="232">
        <v>23.8</v>
      </c>
      <c r="D23" s="225">
        <v>5</v>
      </c>
      <c r="E23" s="52"/>
    </row>
    <row r="24" ht="18" customHeight="1" spans="1:5">
      <c r="A24" s="212" t="s">
        <v>459</v>
      </c>
      <c r="B24" s="103">
        <v>0.1422</v>
      </c>
      <c r="C24" s="232">
        <v>32.7</v>
      </c>
      <c r="D24" s="225">
        <v>3</v>
      </c>
      <c r="E24" s="52"/>
    </row>
    <row r="25" ht="18" customHeight="1" spans="1:5">
      <c r="A25" s="212" t="s">
        <v>460</v>
      </c>
      <c r="B25" s="103">
        <v>0.3795</v>
      </c>
      <c r="C25" s="232">
        <v>30.7</v>
      </c>
      <c r="D25" s="225">
        <v>4</v>
      </c>
      <c r="E25" s="52"/>
    </row>
    <row r="26" ht="18" customHeight="1" spans="1:5">
      <c r="A26" s="212" t="s">
        <v>461</v>
      </c>
      <c r="B26" s="103">
        <v>0.2326</v>
      </c>
      <c r="C26" s="232">
        <v>37.7</v>
      </c>
      <c r="D26" s="225">
        <v>2</v>
      </c>
      <c r="E26" s="52"/>
    </row>
    <row r="27" ht="18" customHeight="1" spans="1:5">
      <c r="A27" s="212" t="s">
        <v>471</v>
      </c>
      <c r="B27" s="103">
        <v>1.7624</v>
      </c>
      <c r="C27" s="232">
        <v>253.3</v>
      </c>
      <c r="D27" s="225">
        <v>1</v>
      </c>
      <c r="E27" s="52"/>
    </row>
    <row r="28" spans="1:5">
      <c r="A28" s="309"/>
      <c r="B28" s="309"/>
      <c r="C28" s="309"/>
      <c r="D28" s="309"/>
    </row>
    <row r="34" spans="1:1">
      <c r="A34" s="310"/>
    </row>
    <row r="35" spans="1:1">
      <c r="A35" s="310"/>
    </row>
    <row r="36" spans="1:1">
      <c r="A36" s="310"/>
    </row>
    <row r="37" spans="1:1">
      <c r="A37" s="311"/>
    </row>
    <row r="38" spans="1:1">
      <c r="A38" s="312"/>
    </row>
    <row r="39" spans="1:1">
      <c r="A39" s="312"/>
    </row>
    <row r="40" spans="1:1">
      <c r="A40" s="312"/>
    </row>
    <row r="41" spans="1:1">
      <c r="A41" s="312"/>
    </row>
    <row r="42" spans="1:1">
      <c r="A42" s="304"/>
    </row>
    <row r="43" spans="1:1">
      <c r="A43" s="52"/>
    </row>
    <row r="44" spans="1:1">
      <c r="A44" s="310"/>
    </row>
  </sheetData>
  <mergeCells count="2">
    <mergeCell ref="A1:D1"/>
    <mergeCell ref="C2:D2"/>
  </mergeCells>
  <pageMargins left="0.75" right="0.75" top="0.588888888888889" bottom="0.588888888888889" header="0.509027777777778" footer="0.509027777777778"/>
  <pageSetup paperSize="9" orientation="portrait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43"/>
  <sheetViews>
    <sheetView workbookViewId="0">
      <selection activeCell="E19" sqref="E19"/>
    </sheetView>
  </sheetViews>
  <sheetFormatPr defaultColWidth="9" defaultRowHeight="14.25" outlineLevelCol="4"/>
  <cols>
    <col min="1" max="1" width="44.5" style="240" customWidth="1"/>
    <col min="2" max="2" width="13.125" style="241" customWidth="1"/>
    <col min="3" max="3" width="13.125" style="280" customWidth="1"/>
    <col min="4" max="4" width="13.125" style="241" customWidth="1"/>
    <col min="5" max="5" width="9.75" style="241" customWidth="1"/>
    <col min="6" max="16384" width="9" style="241"/>
  </cols>
  <sheetData>
    <row r="1" ht="34.5" customHeight="1" spans="1:5">
      <c r="A1" s="197" t="s">
        <v>496</v>
      </c>
      <c r="B1" s="197"/>
      <c r="C1" s="197"/>
      <c r="D1" s="197"/>
    </row>
    <row r="2" ht="28.5" customHeight="1" spans="1:5">
      <c r="A2" s="330" t="s">
        <v>448</v>
      </c>
      <c r="B2" s="142" t="s">
        <v>109</v>
      </c>
      <c r="C2" s="282" t="s">
        <v>6</v>
      </c>
      <c r="D2" s="283" t="s">
        <v>449</v>
      </c>
      <c r="E2" s="284"/>
    </row>
    <row r="3" ht="18" customHeight="1" spans="1:5">
      <c r="A3" s="222" t="s">
        <v>497</v>
      </c>
      <c r="B3" s="331"/>
      <c r="C3" s="332"/>
      <c r="D3" s="225"/>
      <c r="E3" s="284"/>
    </row>
    <row r="4" ht="18" customHeight="1" spans="1:5">
      <c r="A4" s="226" t="s">
        <v>451</v>
      </c>
      <c r="B4" s="333">
        <v>122387</v>
      </c>
      <c r="C4" s="232">
        <v>-5.9</v>
      </c>
      <c r="D4" s="295" t="s">
        <v>9</v>
      </c>
      <c r="E4" s="284"/>
    </row>
    <row r="5" ht="18" customHeight="1" spans="1:5">
      <c r="A5" s="226" t="s">
        <v>452</v>
      </c>
      <c r="B5" s="333">
        <v>5708</v>
      </c>
      <c r="C5" s="232">
        <v>-1.4</v>
      </c>
      <c r="D5" s="225">
        <v>1</v>
      </c>
      <c r="E5" s="284"/>
    </row>
    <row r="6" ht="18" customHeight="1" spans="1:5">
      <c r="A6" s="212" t="s">
        <v>453</v>
      </c>
      <c r="B6" s="333">
        <v>16993</v>
      </c>
      <c r="C6" s="232">
        <v>-5.2</v>
      </c>
      <c r="D6" s="225">
        <v>5</v>
      </c>
      <c r="E6" s="284"/>
    </row>
    <row r="7" ht="18" customHeight="1" spans="1:5">
      <c r="A7" s="230" t="s">
        <v>454</v>
      </c>
      <c r="B7" s="333">
        <v>10010</v>
      </c>
      <c r="C7" s="232">
        <v>-3.9</v>
      </c>
      <c r="D7" s="225">
        <v>4</v>
      </c>
      <c r="E7" s="284"/>
    </row>
    <row r="8" ht="18" customHeight="1" spans="1:5">
      <c r="A8" s="212" t="s">
        <v>455</v>
      </c>
      <c r="B8" s="333">
        <v>12378</v>
      </c>
      <c r="C8" s="232">
        <v>-10.1</v>
      </c>
      <c r="D8" s="225">
        <v>10</v>
      </c>
      <c r="E8" s="284"/>
    </row>
    <row r="9" ht="18" customHeight="1" spans="1:5">
      <c r="A9" s="212" t="s">
        <v>457</v>
      </c>
      <c r="B9" s="333">
        <v>10810</v>
      </c>
      <c r="C9" s="232">
        <v>-6.6</v>
      </c>
      <c r="D9" s="225">
        <v>7</v>
      </c>
      <c r="E9" s="284"/>
    </row>
    <row r="10" ht="18" customHeight="1" spans="1:5">
      <c r="A10" s="212" t="s">
        <v>458</v>
      </c>
      <c r="B10" s="333">
        <v>2894</v>
      </c>
      <c r="C10" s="232">
        <v>-8.7</v>
      </c>
      <c r="D10" s="225">
        <v>8</v>
      </c>
      <c r="E10" s="284"/>
    </row>
    <row r="11" ht="18" customHeight="1" spans="1:5">
      <c r="A11" s="212" t="s">
        <v>459</v>
      </c>
      <c r="B11" s="333">
        <v>9985</v>
      </c>
      <c r="C11" s="232">
        <v>-5.2</v>
      </c>
      <c r="D11" s="225">
        <v>5</v>
      </c>
      <c r="E11" s="284"/>
    </row>
    <row r="12" ht="18" customHeight="1" spans="1:5">
      <c r="A12" s="212" t="s">
        <v>460</v>
      </c>
      <c r="B12" s="333">
        <v>12952</v>
      </c>
      <c r="C12" s="232">
        <v>-3</v>
      </c>
      <c r="D12" s="225">
        <v>3</v>
      </c>
      <c r="E12" s="284"/>
    </row>
    <row r="13" ht="18" customHeight="1" spans="1:5">
      <c r="A13" s="212" t="s">
        <v>461</v>
      </c>
      <c r="B13" s="333">
        <v>30427</v>
      </c>
      <c r="C13" s="232">
        <v>-9.5</v>
      </c>
      <c r="D13" s="225">
        <v>9</v>
      </c>
      <c r="E13" s="284"/>
    </row>
    <row r="14" ht="18" customHeight="1" spans="1:5">
      <c r="A14" s="212" t="s">
        <v>471</v>
      </c>
      <c r="B14" s="333">
        <v>20666</v>
      </c>
      <c r="C14" s="232">
        <v>-1.4</v>
      </c>
      <c r="D14" s="225">
        <v>1</v>
      </c>
      <c r="E14" s="284"/>
    </row>
    <row r="15" ht="18" customHeight="1" spans="1:5">
      <c r="A15" s="222" t="s">
        <v>498</v>
      </c>
      <c r="B15" s="334"/>
      <c r="C15" s="335"/>
      <c r="D15" s="336"/>
    </row>
    <row r="16" ht="18" customHeight="1" spans="1:5">
      <c r="A16" s="226" t="s">
        <v>451</v>
      </c>
      <c r="B16" s="308">
        <v>13.41</v>
      </c>
      <c r="C16" s="232">
        <v>-2.8</v>
      </c>
      <c r="D16" s="295" t="s">
        <v>9</v>
      </c>
    </row>
    <row r="17" ht="18" customHeight="1" spans="1:4">
      <c r="A17" s="226" t="s">
        <v>452</v>
      </c>
      <c r="B17" s="308">
        <v>17.98</v>
      </c>
      <c r="C17" s="232">
        <v>3.4</v>
      </c>
      <c r="D17" s="225">
        <v>1</v>
      </c>
    </row>
    <row r="18" ht="18" customHeight="1" spans="1:4">
      <c r="A18" s="212" t="s">
        <v>453</v>
      </c>
      <c r="B18" s="308">
        <v>24.81</v>
      </c>
      <c r="C18" s="232">
        <v>-18.8</v>
      </c>
      <c r="D18" s="225">
        <v>10</v>
      </c>
    </row>
    <row r="19" ht="18" customHeight="1" spans="1:4">
      <c r="A19" s="230" t="s">
        <v>454</v>
      </c>
      <c r="B19" s="308">
        <v>28.48</v>
      </c>
      <c r="C19" s="232">
        <v>-0.8</v>
      </c>
      <c r="D19" s="225">
        <v>7</v>
      </c>
    </row>
    <row r="20" ht="18" customHeight="1" spans="1:4">
      <c r="A20" s="212" t="s">
        <v>455</v>
      </c>
      <c r="B20" s="308">
        <v>8.43</v>
      </c>
      <c r="C20" s="232">
        <v>-2</v>
      </c>
      <c r="D20" s="225">
        <v>9</v>
      </c>
    </row>
    <row r="21" ht="18" customHeight="1" spans="1:4">
      <c r="A21" s="212" t="s">
        <v>457</v>
      </c>
      <c r="B21" s="308">
        <v>8.27</v>
      </c>
      <c r="C21" s="232">
        <v>0.6</v>
      </c>
      <c r="D21" s="225">
        <v>4</v>
      </c>
    </row>
    <row r="22" ht="18" customHeight="1" spans="1:4">
      <c r="A22" s="212" t="s">
        <v>458</v>
      </c>
      <c r="B22" s="308">
        <v>2.62</v>
      </c>
      <c r="C22" s="232">
        <v>2.6</v>
      </c>
      <c r="D22" s="225">
        <v>2</v>
      </c>
    </row>
    <row r="23" ht="18" customHeight="1" spans="1:4">
      <c r="A23" s="212" t="s">
        <v>459</v>
      </c>
      <c r="B23" s="308">
        <v>1.14</v>
      </c>
      <c r="C23" s="232">
        <v>-0.7</v>
      </c>
      <c r="D23" s="225">
        <v>6</v>
      </c>
    </row>
    <row r="24" ht="18" customHeight="1" spans="1:4">
      <c r="A24" s="212" t="s">
        <v>460</v>
      </c>
      <c r="B24" s="308">
        <v>4.41</v>
      </c>
      <c r="C24" s="232">
        <v>1.9</v>
      </c>
      <c r="D24" s="225">
        <v>3</v>
      </c>
    </row>
    <row r="25" ht="18" customHeight="1" spans="1:4">
      <c r="A25" s="212" t="s">
        <v>461</v>
      </c>
      <c r="B25" s="308">
        <v>11.04</v>
      </c>
      <c r="C25" s="232">
        <v>0.1</v>
      </c>
      <c r="D25" s="225">
        <v>5</v>
      </c>
    </row>
    <row r="26" ht="18" customHeight="1" spans="1:4">
      <c r="A26" s="218" t="s">
        <v>471</v>
      </c>
      <c r="B26" s="337">
        <v>8.06</v>
      </c>
      <c r="C26" s="237">
        <v>-0.9</v>
      </c>
      <c r="D26" s="238">
        <v>8</v>
      </c>
    </row>
    <row r="27" spans="1:4">
      <c r="A27" s="338"/>
      <c r="B27" s="338"/>
      <c r="C27" s="338"/>
      <c r="D27" s="338"/>
    </row>
    <row r="33" spans="1:1">
      <c r="A33" s="302"/>
    </row>
    <row r="34" spans="1:1">
      <c r="A34" s="302"/>
    </row>
    <row r="35" spans="1:1">
      <c r="A35" s="302"/>
    </row>
    <row r="36" spans="1:1">
      <c r="A36" s="303"/>
    </row>
    <row r="37" spans="1:1">
      <c r="A37" s="304"/>
    </row>
    <row r="38" spans="1:1">
      <c r="A38" s="304"/>
    </row>
    <row r="39" spans="1:1">
      <c r="A39" s="304"/>
    </row>
    <row r="40" spans="1:1">
      <c r="A40" s="304"/>
    </row>
    <row r="41" spans="1:1">
      <c r="A41" s="304"/>
    </row>
    <row r="42" spans="1:1">
      <c r="A42" s="284"/>
    </row>
    <row r="43" spans="1:1">
      <c r="A43" s="302"/>
    </row>
  </sheetData>
  <mergeCells count="1">
    <mergeCell ref="A1:D1"/>
  </mergeCells>
  <pageMargins left="0.55" right="0.55" top="0.979166666666667" bottom="0.979166666666667" header="0.509027777777778" footer="0.509027777777778"/>
  <pageSetup paperSize="9" orientation="portrait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D28"/>
  <sheetViews>
    <sheetView workbookViewId="0">
      <selection activeCell="F15" sqref="F15"/>
    </sheetView>
  </sheetViews>
  <sheetFormatPr defaultColWidth="9" defaultRowHeight="14.25" outlineLevelCol="3"/>
  <cols>
    <col min="1" max="1" width="42.125" style="44" customWidth="1"/>
    <col min="2" max="2" width="12.25" style="44" customWidth="1"/>
    <col min="3" max="3" width="13.25" style="44" customWidth="1"/>
    <col min="4" max="4" width="15" style="44" customWidth="1"/>
    <col min="5" max="16384" width="9" style="44"/>
  </cols>
  <sheetData>
    <row r="1" ht="36" customHeight="1" spans="1:4">
      <c r="A1" s="197" t="s">
        <v>499</v>
      </c>
      <c r="B1" s="197"/>
      <c r="C1" s="197"/>
      <c r="D1" s="197"/>
    </row>
    <row r="2" ht="18" customHeight="1" spans="1:4">
      <c r="A2" s="313"/>
      <c r="B2" s="313"/>
      <c r="C2" s="313"/>
      <c r="D2" s="314" t="s">
        <v>425</v>
      </c>
    </row>
    <row r="3" ht="27.95" customHeight="1" spans="1:4">
      <c r="A3" s="315" t="s">
        <v>448</v>
      </c>
      <c r="B3" s="316" t="s">
        <v>109</v>
      </c>
      <c r="C3" s="317" t="s">
        <v>6</v>
      </c>
      <c r="D3" s="316" t="s">
        <v>449</v>
      </c>
    </row>
    <row r="4" ht="18" customHeight="1" spans="1:4">
      <c r="A4" s="318" t="s">
        <v>500</v>
      </c>
      <c r="B4" s="319"/>
      <c r="C4" s="320"/>
      <c r="D4" s="321"/>
    </row>
    <row r="5" ht="18" customHeight="1" spans="1:4">
      <c r="A5" s="322" t="s">
        <v>451</v>
      </c>
      <c r="B5" s="323">
        <v>108.74</v>
      </c>
      <c r="C5" s="324">
        <v>-5.5</v>
      </c>
      <c r="D5" s="325" t="s">
        <v>9</v>
      </c>
    </row>
    <row r="6" ht="18" customHeight="1" spans="1:4">
      <c r="A6" s="322" t="s">
        <v>452</v>
      </c>
      <c r="B6" s="323">
        <v>108.47</v>
      </c>
      <c r="C6" s="324">
        <v>7.8</v>
      </c>
      <c r="D6" s="321">
        <v>3</v>
      </c>
    </row>
    <row r="7" ht="18" customHeight="1" spans="1:4">
      <c r="A7" s="326" t="s">
        <v>453</v>
      </c>
      <c r="B7" s="323">
        <v>110.4</v>
      </c>
      <c r="C7" s="324">
        <v>9.9</v>
      </c>
      <c r="D7" s="321">
        <v>2</v>
      </c>
    </row>
    <row r="8" ht="18" customHeight="1" spans="1:4">
      <c r="A8" s="327" t="s">
        <v>454</v>
      </c>
      <c r="B8" s="323">
        <v>90.28</v>
      </c>
      <c r="C8" s="324">
        <v>-32.4</v>
      </c>
      <c r="D8" s="321">
        <v>8</v>
      </c>
    </row>
    <row r="9" ht="18" customHeight="1" spans="1:4">
      <c r="A9" s="326" t="s">
        <v>455</v>
      </c>
      <c r="B9" s="323">
        <v>109.67</v>
      </c>
      <c r="C9" s="324">
        <v>-13.9</v>
      </c>
      <c r="D9" s="321">
        <v>6</v>
      </c>
    </row>
    <row r="10" ht="18" customHeight="1" spans="1:4">
      <c r="A10" s="326" t="s">
        <v>457</v>
      </c>
      <c r="B10" s="323">
        <v>79.86</v>
      </c>
      <c r="C10" s="324">
        <v>-31</v>
      </c>
      <c r="D10" s="321">
        <v>7</v>
      </c>
    </row>
    <row r="11" ht="18" customHeight="1" spans="1:4">
      <c r="A11" s="326" t="s">
        <v>458</v>
      </c>
      <c r="B11" s="323">
        <v>140.77</v>
      </c>
      <c r="C11" s="324">
        <v>-90.5</v>
      </c>
      <c r="D11" s="321">
        <v>9</v>
      </c>
    </row>
    <row r="12" ht="18" customHeight="1" spans="1:4">
      <c r="A12" s="328" t="s">
        <v>459</v>
      </c>
      <c r="B12" s="323">
        <v>-277.48</v>
      </c>
      <c r="C12" s="324">
        <v>-224.1</v>
      </c>
      <c r="D12" s="321">
        <v>10</v>
      </c>
    </row>
    <row r="13" ht="18" customHeight="1" spans="1:4">
      <c r="A13" s="328" t="s">
        <v>460</v>
      </c>
      <c r="B13" s="323">
        <v>125.37</v>
      </c>
      <c r="C13" s="324">
        <v>36.2</v>
      </c>
      <c r="D13" s="321">
        <v>1</v>
      </c>
    </row>
    <row r="14" ht="18" customHeight="1" spans="1:4">
      <c r="A14" s="328" t="s">
        <v>461</v>
      </c>
      <c r="B14" s="323">
        <v>95.62</v>
      </c>
      <c r="C14" s="324">
        <v>-10.8</v>
      </c>
      <c r="D14" s="321">
        <v>5</v>
      </c>
    </row>
    <row r="15" s="52" customFormat="1" ht="18" customHeight="1" spans="1:4">
      <c r="A15" s="328" t="s">
        <v>471</v>
      </c>
      <c r="B15" s="323">
        <v>113.37</v>
      </c>
      <c r="C15" s="324">
        <v>-3.3</v>
      </c>
      <c r="D15" s="321">
        <v>4</v>
      </c>
    </row>
    <row r="16" ht="18" customHeight="1" spans="1:4">
      <c r="A16" s="318" t="s">
        <v>501</v>
      </c>
      <c r="B16" s="323"/>
      <c r="C16" s="324"/>
      <c r="D16" s="321"/>
    </row>
    <row r="17" ht="18" customHeight="1" spans="1:4">
      <c r="A17" s="322" t="s">
        <v>451</v>
      </c>
      <c r="B17" s="323">
        <v>68.96</v>
      </c>
      <c r="C17" s="324">
        <v>-1.6</v>
      </c>
      <c r="D17" s="325" t="s">
        <v>9</v>
      </c>
    </row>
    <row r="18" ht="18" customHeight="1" spans="1:4">
      <c r="A18" s="322" t="s">
        <v>452</v>
      </c>
      <c r="B18" s="323">
        <v>38.53</v>
      </c>
      <c r="C18" s="324">
        <v>-6.1</v>
      </c>
      <c r="D18" s="321">
        <v>10</v>
      </c>
    </row>
    <row r="19" ht="18" customHeight="1" spans="1:4">
      <c r="A19" s="326" t="s">
        <v>453</v>
      </c>
      <c r="B19" s="323">
        <v>56.54</v>
      </c>
      <c r="C19" s="324">
        <v>3.8</v>
      </c>
      <c r="D19" s="321">
        <v>3</v>
      </c>
    </row>
    <row r="20" ht="18" customHeight="1" spans="1:4">
      <c r="A20" s="327" t="s">
        <v>454</v>
      </c>
      <c r="B20" s="323">
        <v>92.66</v>
      </c>
      <c r="C20" s="324">
        <v>0.4</v>
      </c>
      <c r="D20" s="321">
        <v>5</v>
      </c>
    </row>
    <row r="21" ht="18" customHeight="1" spans="1:4">
      <c r="A21" s="326" t="s">
        <v>455</v>
      </c>
      <c r="B21" s="323">
        <v>60.63</v>
      </c>
      <c r="C21" s="324">
        <v>-1.9</v>
      </c>
      <c r="D21" s="321">
        <v>6</v>
      </c>
    </row>
    <row r="22" ht="18" customHeight="1" spans="1:4">
      <c r="A22" s="326" t="s">
        <v>457</v>
      </c>
      <c r="B22" s="323">
        <v>61.44</v>
      </c>
      <c r="C22" s="324">
        <v>11.1</v>
      </c>
      <c r="D22" s="321">
        <v>1</v>
      </c>
    </row>
    <row r="23" ht="18" customHeight="1" spans="1:4">
      <c r="A23" s="326" t="s">
        <v>458</v>
      </c>
      <c r="B23" s="323">
        <v>75.79</v>
      </c>
      <c r="C23" s="324">
        <v>-3.1</v>
      </c>
      <c r="D23" s="321">
        <v>8</v>
      </c>
    </row>
    <row r="24" ht="18" customHeight="1" spans="1:4">
      <c r="A24" s="328" t="s">
        <v>459</v>
      </c>
      <c r="B24" s="323">
        <v>102.66</v>
      </c>
      <c r="C24" s="324">
        <v>3.8</v>
      </c>
      <c r="D24" s="321">
        <v>3</v>
      </c>
    </row>
    <row r="25" ht="18" customHeight="1" spans="1:4">
      <c r="A25" s="328" t="s">
        <v>460</v>
      </c>
      <c r="B25" s="323">
        <v>87.75</v>
      </c>
      <c r="C25" s="324">
        <v>-2</v>
      </c>
      <c r="D25" s="321">
        <v>7</v>
      </c>
    </row>
    <row r="26" ht="18" customHeight="1" spans="1:4">
      <c r="A26" s="328" t="s">
        <v>461</v>
      </c>
      <c r="B26" s="323">
        <v>65.45</v>
      </c>
      <c r="C26" s="324">
        <v>5.3</v>
      </c>
      <c r="D26" s="321">
        <v>2</v>
      </c>
    </row>
    <row r="27" ht="18" customHeight="1" spans="1:4">
      <c r="A27" s="329" t="s">
        <v>471</v>
      </c>
      <c r="B27" s="323">
        <v>55.59</v>
      </c>
      <c r="C27" s="324">
        <v>-5.6</v>
      </c>
      <c r="D27" s="321">
        <v>9</v>
      </c>
    </row>
    <row r="28" spans="1:4">
      <c r="A28" s="309"/>
      <c r="B28" s="309"/>
      <c r="C28" s="309"/>
      <c r="D28" s="309"/>
    </row>
  </sheetData>
  <mergeCells count="1">
    <mergeCell ref="A1:D1"/>
  </mergeCells>
  <pageMargins left="0.75" right="0.75" top="1" bottom="1" header="0.509027777777778" footer="0.509027777777778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44"/>
  <sheetViews>
    <sheetView workbookViewId="0">
      <selection activeCell="F20" sqref="F20"/>
    </sheetView>
  </sheetViews>
  <sheetFormatPr defaultColWidth="9" defaultRowHeight="14.25" outlineLevelCol="4"/>
  <cols>
    <col min="1" max="1" width="41" style="45" customWidth="1"/>
    <col min="2" max="2" width="13.125" style="44" customWidth="1"/>
    <col min="3" max="3" width="13.125" style="305" customWidth="1"/>
    <col min="4" max="4" width="13.125" style="44" customWidth="1"/>
    <col min="5" max="5" width="9.75" style="44" customWidth="1"/>
    <col min="6" max="16384" width="9" style="44"/>
  </cols>
  <sheetData>
    <row r="1" ht="34.5" customHeight="1" spans="1:5">
      <c r="A1" s="197" t="s">
        <v>502</v>
      </c>
      <c r="B1" s="197"/>
      <c r="C1" s="197"/>
      <c r="D1" s="197"/>
    </row>
    <row r="2" ht="20.25" customHeight="1" spans="1:5">
      <c r="A2" s="112"/>
      <c r="B2" s="112"/>
      <c r="C2" s="221" t="s">
        <v>425</v>
      </c>
      <c r="D2" s="221"/>
    </row>
    <row r="3" ht="28.5" customHeight="1" spans="1:5">
      <c r="A3" s="91" t="s">
        <v>448</v>
      </c>
      <c r="B3" s="142" t="s">
        <v>109</v>
      </c>
      <c r="C3" s="92" t="s">
        <v>6</v>
      </c>
      <c r="D3" s="142" t="s">
        <v>449</v>
      </c>
      <c r="E3" s="52"/>
    </row>
    <row r="4" ht="18" customHeight="1" spans="1:5">
      <c r="A4" s="306" t="s">
        <v>503</v>
      </c>
      <c r="B4" s="234"/>
      <c r="C4" s="307"/>
      <c r="D4" s="234"/>
    </row>
    <row r="5" ht="18" customHeight="1" spans="1:5">
      <c r="A5" s="203" t="s">
        <v>451</v>
      </c>
      <c r="B5" s="308">
        <v>1.95</v>
      </c>
      <c r="C5" s="232">
        <v>0</v>
      </c>
      <c r="D5" s="295" t="s">
        <v>9</v>
      </c>
    </row>
    <row r="6" ht="18" customHeight="1" spans="1:5">
      <c r="A6" s="203" t="s">
        <v>452</v>
      </c>
      <c r="B6" s="308">
        <v>1.12</v>
      </c>
      <c r="C6" s="232">
        <v>0.1</v>
      </c>
      <c r="D6" s="225">
        <v>3</v>
      </c>
    </row>
    <row r="7" ht="18" customHeight="1" spans="1:5">
      <c r="A7" s="210" t="s">
        <v>453</v>
      </c>
      <c r="B7" s="308">
        <v>2.62</v>
      </c>
      <c r="C7" s="232">
        <v>-0.6</v>
      </c>
      <c r="D7" s="225">
        <v>9</v>
      </c>
    </row>
    <row r="8" ht="18" customHeight="1" spans="1:5">
      <c r="A8" s="211" t="s">
        <v>454</v>
      </c>
      <c r="B8" s="308">
        <v>5.52</v>
      </c>
      <c r="C8" s="232">
        <v>-0.1</v>
      </c>
      <c r="D8" s="225">
        <v>8</v>
      </c>
    </row>
    <row r="9" ht="18" customHeight="1" spans="1:5">
      <c r="A9" s="210" t="s">
        <v>455</v>
      </c>
      <c r="B9" s="308">
        <v>1.21</v>
      </c>
      <c r="C9" s="232">
        <v>0.1</v>
      </c>
      <c r="D9" s="225">
        <v>3</v>
      </c>
    </row>
    <row r="10" ht="18" customHeight="1" spans="1:5">
      <c r="A10" s="210" t="s">
        <v>457</v>
      </c>
      <c r="B10" s="308">
        <v>2.44</v>
      </c>
      <c r="C10" s="232">
        <v>-0.9</v>
      </c>
      <c r="D10" s="225">
        <v>10</v>
      </c>
    </row>
    <row r="11" ht="18" customHeight="1" spans="1:5">
      <c r="A11" s="210" t="s">
        <v>458</v>
      </c>
      <c r="B11" s="308">
        <v>0.87</v>
      </c>
      <c r="C11" s="232">
        <v>0.2</v>
      </c>
      <c r="D11" s="225">
        <v>2</v>
      </c>
    </row>
    <row r="12" ht="18" customHeight="1" spans="1:5">
      <c r="A12" s="212" t="s">
        <v>459</v>
      </c>
      <c r="B12" s="308">
        <v>0.56</v>
      </c>
      <c r="C12" s="232">
        <v>0.1</v>
      </c>
      <c r="D12" s="225">
        <v>3</v>
      </c>
    </row>
    <row r="13" ht="18" customHeight="1" spans="1:5">
      <c r="A13" s="212" t="s">
        <v>460</v>
      </c>
      <c r="B13" s="308">
        <v>1.65</v>
      </c>
      <c r="C13" s="232">
        <v>0</v>
      </c>
      <c r="D13" s="225">
        <v>7</v>
      </c>
    </row>
    <row r="14" ht="18" customHeight="1" spans="1:5">
      <c r="A14" s="212" t="s">
        <v>461</v>
      </c>
      <c r="B14" s="308">
        <v>3.58</v>
      </c>
      <c r="C14" s="232">
        <v>0.4</v>
      </c>
      <c r="D14" s="225">
        <v>1</v>
      </c>
    </row>
    <row r="15" ht="18" customHeight="1" spans="1:5">
      <c r="A15" s="212" t="s">
        <v>471</v>
      </c>
      <c r="B15" s="308">
        <v>1.81</v>
      </c>
      <c r="C15" s="232">
        <v>0.1</v>
      </c>
      <c r="D15" s="225">
        <v>3</v>
      </c>
    </row>
    <row r="16" ht="18" customHeight="1" spans="1:5">
      <c r="A16" s="198" t="s">
        <v>504</v>
      </c>
      <c r="B16" s="308"/>
      <c r="C16" s="232"/>
      <c r="D16" s="225"/>
      <c r="E16" s="52"/>
    </row>
    <row r="17" ht="18" customHeight="1" spans="1:5">
      <c r="A17" s="203" t="s">
        <v>451</v>
      </c>
      <c r="B17" s="308">
        <v>9.09</v>
      </c>
      <c r="C17" s="232">
        <v>-4.9</v>
      </c>
      <c r="D17" s="295" t="s">
        <v>9</v>
      </c>
      <c r="E17" s="52"/>
    </row>
    <row r="18" ht="18" customHeight="1" spans="1:5">
      <c r="A18" s="203" t="s">
        <v>452</v>
      </c>
      <c r="B18" s="308">
        <v>8.93</v>
      </c>
      <c r="C18" s="232">
        <v>5.5</v>
      </c>
      <c r="D18" s="225">
        <v>1</v>
      </c>
      <c r="E18" s="52"/>
    </row>
    <row r="19" ht="18" customHeight="1" spans="1:5">
      <c r="A19" s="210" t="s">
        <v>453</v>
      </c>
      <c r="B19" s="308">
        <v>2.21</v>
      </c>
      <c r="C19" s="232">
        <v>-7</v>
      </c>
      <c r="D19" s="225">
        <v>9</v>
      </c>
      <c r="E19" s="52"/>
    </row>
    <row r="20" ht="18" customHeight="1" spans="1:5">
      <c r="A20" s="211" t="s">
        <v>454</v>
      </c>
      <c r="B20" s="308">
        <v>71.99</v>
      </c>
      <c r="C20" s="232">
        <v>-11.8</v>
      </c>
      <c r="D20" s="225">
        <v>10</v>
      </c>
      <c r="E20" s="52"/>
    </row>
    <row r="21" ht="18" customHeight="1" spans="1:5">
      <c r="A21" s="210" t="s">
        <v>455</v>
      </c>
      <c r="B21" s="308">
        <v>11.84</v>
      </c>
      <c r="C21" s="232">
        <v>-3.7</v>
      </c>
      <c r="D21" s="225">
        <v>6</v>
      </c>
      <c r="E21" s="52"/>
    </row>
    <row r="22" ht="18" customHeight="1" spans="1:5">
      <c r="A22" s="210" t="s">
        <v>457</v>
      </c>
      <c r="B22" s="308">
        <v>3.61</v>
      </c>
      <c r="C22" s="232">
        <v>1.1</v>
      </c>
      <c r="D22" s="225">
        <v>3</v>
      </c>
      <c r="E22" s="52"/>
    </row>
    <row r="23" ht="18" customHeight="1" spans="1:5">
      <c r="A23" s="210" t="s">
        <v>458</v>
      </c>
      <c r="B23" s="308">
        <v>9.58</v>
      </c>
      <c r="C23" s="232">
        <v>-3.8</v>
      </c>
      <c r="D23" s="225">
        <v>7</v>
      </c>
      <c r="E23" s="52"/>
    </row>
    <row r="24" ht="18" customHeight="1" spans="1:5">
      <c r="A24" s="212" t="s">
        <v>459</v>
      </c>
      <c r="B24" s="308">
        <v>1.7</v>
      </c>
      <c r="C24" s="232">
        <v>-0.7</v>
      </c>
      <c r="D24" s="225">
        <v>5</v>
      </c>
      <c r="E24" s="52"/>
    </row>
    <row r="25" ht="18" customHeight="1" spans="1:5">
      <c r="A25" s="212" t="s">
        <v>460</v>
      </c>
      <c r="B25" s="308">
        <v>1.51</v>
      </c>
      <c r="C25" s="232">
        <v>1.6</v>
      </c>
      <c r="D25" s="225">
        <v>2</v>
      </c>
      <c r="E25" s="52"/>
    </row>
    <row r="26" ht="18" customHeight="1" spans="1:5">
      <c r="A26" s="212" t="s">
        <v>461</v>
      </c>
      <c r="B26" s="308">
        <v>2.83</v>
      </c>
      <c r="C26" s="232">
        <v>-0.5</v>
      </c>
      <c r="D26" s="225">
        <v>4</v>
      </c>
      <c r="E26" s="52"/>
    </row>
    <row r="27" ht="18" customHeight="1" spans="1:5">
      <c r="A27" s="212" t="s">
        <v>471</v>
      </c>
      <c r="B27" s="308">
        <v>8.13</v>
      </c>
      <c r="C27" s="232">
        <v>-6.9</v>
      </c>
      <c r="D27" s="225">
        <v>8</v>
      </c>
      <c r="E27" s="52"/>
    </row>
    <row r="28" spans="1:5">
      <c r="A28" s="309"/>
      <c r="B28" s="309"/>
      <c r="C28" s="309"/>
      <c r="D28" s="309"/>
    </row>
    <row r="34" spans="1:1">
      <c r="A34" s="310"/>
    </row>
    <row r="35" spans="1:1">
      <c r="A35" s="310"/>
    </row>
    <row r="36" spans="1:1">
      <c r="A36" s="310"/>
    </row>
    <row r="37" spans="1:1">
      <c r="A37" s="311"/>
    </row>
    <row r="38" spans="1:1">
      <c r="A38" s="312"/>
    </row>
    <row r="39" spans="1:1">
      <c r="A39" s="312"/>
    </row>
    <row r="40" spans="1:1">
      <c r="A40" s="312"/>
    </row>
    <row r="41" spans="1:1">
      <c r="A41" s="312"/>
    </row>
    <row r="42" spans="1:1">
      <c r="A42" s="304"/>
    </row>
    <row r="43" spans="1:1">
      <c r="A43" s="52"/>
    </row>
    <row r="44" spans="1:1">
      <c r="A44" s="310"/>
    </row>
  </sheetData>
  <mergeCells count="2">
    <mergeCell ref="A1:D1"/>
    <mergeCell ref="C2:D2"/>
  </mergeCells>
  <pageMargins left="0.75" right="0.75" top="0.588888888888889" bottom="0.588888888888889" header="0.509027777777778" footer="0.509027777777778"/>
  <pageSetup paperSize="9" orientation="portrait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C00000"/>
  </sheetPr>
  <dimension ref="A1:E44"/>
  <sheetViews>
    <sheetView workbookViewId="0">
      <selection activeCell="G18" sqref="G18"/>
    </sheetView>
  </sheetViews>
  <sheetFormatPr defaultColWidth="9" defaultRowHeight="14.25" outlineLevelCol="4"/>
  <cols>
    <col min="1" max="1" width="41" style="240" customWidth="1"/>
    <col min="2" max="2" width="13.125" style="241" customWidth="1"/>
    <col min="3" max="3" width="13.125" style="280" customWidth="1"/>
    <col min="4" max="4" width="13.125" style="241" customWidth="1"/>
    <col min="5" max="5" width="9.75" style="241" customWidth="1"/>
    <col min="6" max="16384" width="9" style="241"/>
  </cols>
  <sheetData>
    <row r="1" ht="34.5" customHeight="1" spans="1:5">
      <c r="A1" s="197" t="s">
        <v>505</v>
      </c>
      <c r="B1" s="197"/>
      <c r="C1" s="197"/>
      <c r="D1" s="197"/>
    </row>
    <row r="2" ht="20.25" customHeight="1" spans="1:5">
      <c r="A2" s="220"/>
      <c r="B2" s="220"/>
      <c r="C2" s="220"/>
      <c r="D2" s="281" t="s">
        <v>39</v>
      </c>
    </row>
    <row r="3" ht="28.5" customHeight="1" spans="1:5">
      <c r="A3" s="91" t="s">
        <v>448</v>
      </c>
      <c r="B3" s="142" t="s">
        <v>83</v>
      </c>
      <c r="C3" s="282" t="s">
        <v>6</v>
      </c>
      <c r="D3" s="283" t="s">
        <v>449</v>
      </c>
      <c r="E3" s="284"/>
    </row>
    <row r="4" ht="18" customHeight="1" spans="1:5">
      <c r="A4" s="233" t="s">
        <v>506</v>
      </c>
      <c r="B4" s="285"/>
      <c r="C4" s="286"/>
      <c r="D4" s="287"/>
      <c r="E4" s="284"/>
    </row>
    <row r="5" ht="18" customHeight="1" spans="1:5">
      <c r="A5" s="288" t="s">
        <v>451</v>
      </c>
      <c r="B5" s="107">
        <v>445.4616</v>
      </c>
      <c r="C5" s="109">
        <v>8.1</v>
      </c>
      <c r="D5" s="289" t="s">
        <v>9</v>
      </c>
      <c r="E5" s="284"/>
    </row>
    <row r="6" ht="18" customHeight="1" spans="1:5">
      <c r="A6" s="288" t="s">
        <v>452</v>
      </c>
      <c r="B6" s="107">
        <v>108.8189</v>
      </c>
      <c r="C6" s="109">
        <v>7.4</v>
      </c>
      <c r="D6" s="289">
        <v>8</v>
      </c>
      <c r="E6" s="284"/>
    </row>
    <row r="7" ht="18" customHeight="1" spans="1:5">
      <c r="A7" s="290" t="s">
        <v>453</v>
      </c>
      <c r="B7" s="107">
        <v>114.9509</v>
      </c>
      <c r="C7" s="109">
        <v>8.1</v>
      </c>
      <c r="D7" s="289">
        <v>5</v>
      </c>
      <c r="E7" s="284"/>
    </row>
    <row r="8" ht="18" customHeight="1" spans="1:5">
      <c r="A8" s="291" t="s">
        <v>454</v>
      </c>
      <c r="B8" s="107">
        <v>12.1542</v>
      </c>
      <c r="C8" s="109">
        <v>9</v>
      </c>
      <c r="D8" s="289">
        <v>3</v>
      </c>
      <c r="E8" s="284"/>
    </row>
    <row r="9" ht="18" customHeight="1" spans="1:5">
      <c r="A9" s="290" t="s">
        <v>455</v>
      </c>
      <c r="B9" s="107">
        <v>19.3423</v>
      </c>
      <c r="C9" s="109">
        <v>8.9</v>
      </c>
      <c r="D9" s="289">
        <v>4</v>
      </c>
      <c r="E9" s="284"/>
    </row>
    <row r="10" ht="18" customHeight="1" spans="1:5">
      <c r="A10" s="290" t="s">
        <v>456</v>
      </c>
      <c r="B10" s="107">
        <v>47.6538</v>
      </c>
      <c r="C10" s="231">
        <v>7.8</v>
      </c>
      <c r="D10" s="289">
        <v>7</v>
      </c>
      <c r="E10" s="284"/>
    </row>
    <row r="11" ht="18" customHeight="1" spans="1:5">
      <c r="A11" s="290" t="s">
        <v>457</v>
      </c>
      <c r="B11" s="107">
        <v>37.182</v>
      </c>
      <c r="C11" s="231">
        <v>9.7</v>
      </c>
      <c r="D11" s="289">
        <v>1</v>
      </c>
      <c r="E11" s="284"/>
    </row>
    <row r="12" ht="18" customHeight="1" spans="1:5">
      <c r="A12" s="290" t="s">
        <v>458</v>
      </c>
      <c r="B12" s="107">
        <v>23.7375</v>
      </c>
      <c r="C12" s="231">
        <v>6.5</v>
      </c>
      <c r="D12" s="289">
        <v>10</v>
      </c>
      <c r="E12" s="284"/>
    </row>
    <row r="13" ht="18" customHeight="1" spans="1:5">
      <c r="A13" s="290" t="s">
        <v>459</v>
      </c>
      <c r="B13" s="107">
        <v>42.5387</v>
      </c>
      <c r="C13" s="231">
        <v>8</v>
      </c>
      <c r="D13" s="289">
        <v>6</v>
      </c>
      <c r="E13" s="284"/>
    </row>
    <row r="14" ht="18" customHeight="1" spans="1:5">
      <c r="A14" s="290" t="s">
        <v>460</v>
      </c>
      <c r="B14" s="107">
        <v>32.093</v>
      </c>
      <c r="C14" s="231">
        <v>7.4</v>
      </c>
      <c r="D14" s="289">
        <v>8</v>
      </c>
      <c r="E14" s="284"/>
    </row>
    <row r="15" ht="18" customHeight="1" spans="1:5">
      <c r="A15" s="290" t="s">
        <v>461</v>
      </c>
      <c r="B15" s="107">
        <v>54.6482</v>
      </c>
      <c r="C15" s="231">
        <v>9.2</v>
      </c>
      <c r="D15" s="289">
        <v>2</v>
      </c>
      <c r="E15" s="284"/>
    </row>
    <row r="16" ht="18" customHeight="1" spans="1:5">
      <c r="A16" s="292" t="s">
        <v>507</v>
      </c>
      <c r="B16" s="107"/>
      <c r="C16" s="231"/>
      <c r="D16" s="289"/>
    </row>
    <row r="17" ht="18" customHeight="1" spans="1:4">
      <c r="A17" s="290" t="s">
        <v>451</v>
      </c>
      <c r="B17" s="107"/>
      <c r="C17" s="293">
        <v>17.6</v>
      </c>
      <c r="D17" s="225" t="s">
        <v>9</v>
      </c>
    </row>
    <row r="18" ht="18" customHeight="1" spans="1:4">
      <c r="A18" s="288" t="s">
        <v>452</v>
      </c>
      <c r="B18" s="107"/>
      <c r="C18" s="294">
        <v>12</v>
      </c>
      <c r="D18" s="295">
        <v>8</v>
      </c>
    </row>
    <row r="19" ht="18" customHeight="1" spans="1:4">
      <c r="A19" s="288" t="s">
        <v>453</v>
      </c>
      <c r="B19" s="107"/>
      <c r="C19" s="294">
        <v>23.1</v>
      </c>
      <c r="D19" s="296">
        <v>3</v>
      </c>
    </row>
    <row r="20" ht="18" customHeight="1" spans="1:4">
      <c r="A20" s="290" t="s">
        <v>454</v>
      </c>
      <c r="B20" s="107"/>
      <c r="C20" s="294">
        <v>24.4</v>
      </c>
      <c r="D20" s="296">
        <v>2</v>
      </c>
    </row>
    <row r="21" ht="18" customHeight="1" spans="1:4">
      <c r="A21" s="291" t="s">
        <v>455</v>
      </c>
      <c r="B21" s="107"/>
      <c r="C21" s="294">
        <v>16.6</v>
      </c>
      <c r="D21" s="296">
        <v>6</v>
      </c>
    </row>
    <row r="22" ht="18" customHeight="1" spans="1:4">
      <c r="A22" s="290" t="s">
        <v>456</v>
      </c>
      <c r="B22" s="107"/>
      <c r="C22" s="294">
        <v>18.8</v>
      </c>
      <c r="D22" s="296">
        <v>4</v>
      </c>
    </row>
    <row r="23" ht="18" customHeight="1" spans="1:4">
      <c r="A23" s="290" t="s">
        <v>457</v>
      </c>
      <c r="B23" s="107"/>
      <c r="C23" s="294">
        <v>16.8</v>
      </c>
      <c r="D23" s="296">
        <v>5</v>
      </c>
    </row>
    <row r="24" ht="18" customHeight="1" spans="1:4">
      <c r="A24" s="290" t="s">
        <v>458</v>
      </c>
      <c r="B24" s="107"/>
      <c r="C24" s="294">
        <v>16.3</v>
      </c>
      <c r="D24" s="296">
        <v>7</v>
      </c>
    </row>
    <row r="25" ht="18" customHeight="1" spans="1:4">
      <c r="A25" s="290" t="s">
        <v>459</v>
      </c>
      <c r="B25" s="107"/>
      <c r="C25" s="294">
        <v>36.6</v>
      </c>
      <c r="D25" s="296">
        <v>1</v>
      </c>
    </row>
    <row r="26" ht="18" customHeight="1" spans="1:4">
      <c r="A26" s="290" t="s">
        <v>470</v>
      </c>
      <c r="B26" s="107"/>
      <c r="C26" s="294">
        <v>-5.6</v>
      </c>
      <c r="D26" s="296" t="s">
        <v>9</v>
      </c>
    </row>
    <row r="27" ht="18" customHeight="1" spans="1:4">
      <c r="A27" s="290" t="s">
        <v>460</v>
      </c>
      <c r="B27" s="107"/>
      <c r="C27" s="294">
        <v>5.8</v>
      </c>
      <c r="D27" s="296">
        <v>10</v>
      </c>
    </row>
    <row r="28" ht="18" customHeight="1" spans="1:4">
      <c r="A28" s="297" t="s">
        <v>461</v>
      </c>
      <c r="B28" s="298"/>
      <c r="C28" s="299">
        <v>10.1</v>
      </c>
      <c r="D28" s="300">
        <v>9</v>
      </c>
    </row>
    <row r="29" spans="1:4">
      <c r="A29" s="88"/>
      <c r="B29" s="301"/>
      <c r="C29" s="88"/>
      <c r="D29" s="88"/>
    </row>
    <row r="34" spans="1:1">
      <c r="A34" s="302"/>
    </row>
    <row r="35" spans="1:1">
      <c r="A35" s="302"/>
    </row>
    <row r="36" spans="1:1">
      <c r="A36" s="302"/>
    </row>
    <row r="37" spans="1:1">
      <c r="A37" s="303"/>
    </row>
    <row r="38" spans="1:1">
      <c r="A38" s="304"/>
    </row>
    <row r="39" spans="1:1">
      <c r="A39" s="304"/>
    </row>
    <row r="40" spans="1:1">
      <c r="A40" s="304"/>
    </row>
    <row r="41" spans="1:1">
      <c r="A41" s="304"/>
    </row>
    <row r="42" spans="1:1">
      <c r="A42" s="304"/>
    </row>
    <row r="43" spans="1:1">
      <c r="A43" s="284"/>
    </row>
    <row r="44" spans="1:1">
      <c r="A44" s="302"/>
    </row>
  </sheetData>
  <mergeCells count="1">
    <mergeCell ref="A1:D1"/>
  </mergeCells>
  <pageMargins left="0.75" right="0.75" top="0.588888888888889" bottom="0.588888888888889" header="0.509027777777778" footer="0.509027777777778"/>
  <pageSetup paperSize="9" scale="99" orientation="portrait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C00000"/>
  </sheetPr>
  <dimension ref="A1:E28"/>
  <sheetViews>
    <sheetView showWhiteSpace="0" workbookViewId="0">
      <selection activeCell="F10" sqref="F10"/>
    </sheetView>
  </sheetViews>
  <sheetFormatPr defaultColWidth="9" defaultRowHeight="14.25" outlineLevelCol="4"/>
  <cols>
    <col min="1" max="1" width="31.75" style="240" customWidth="1"/>
    <col min="2" max="2" width="13.125" style="241" customWidth="1"/>
    <col min="3" max="3" width="12.75" style="241" customWidth="1"/>
    <col min="4" max="4" width="16" style="246" customWidth="1"/>
    <col min="5" max="16384" width="9" style="241"/>
  </cols>
  <sheetData>
    <row r="1" ht="33.75" customHeight="1" spans="1:4">
      <c r="A1" s="197" t="s">
        <v>508</v>
      </c>
      <c r="B1" s="197"/>
      <c r="C1" s="247"/>
      <c r="D1" s="197"/>
    </row>
    <row r="2" ht="20.25" customHeight="1" spans="1:4">
      <c r="A2" s="248"/>
      <c r="B2" s="248"/>
      <c r="C2" s="249"/>
      <c r="D2" s="250" t="s">
        <v>39</v>
      </c>
    </row>
    <row r="3" ht="31.5" customHeight="1" spans="1:4">
      <c r="A3" s="251" t="s">
        <v>448</v>
      </c>
      <c r="B3" s="252" t="s">
        <v>83</v>
      </c>
      <c r="C3" s="253" t="s">
        <v>6</v>
      </c>
      <c r="D3" s="252" t="s">
        <v>449</v>
      </c>
    </row>
    <row r="4" ht="18" customHeight="1" spans="1:4">
      <c r="A4" s="254" t="s">
        <v>509</v>
      </c>
      <c r="B4" s="255"/>
      <c r="C4" s="256"/>
      <c r="D4" s="257"/>
    </row>
    <row r="5" ht="18" customHeight="1" spans="1:4">
      <c r="A5" s="258" t="s">
        <v>451</v>
      </c>
      <c r="B5" s="259"/>
      <c r="C5" s="260">
        <v>4.3</v>
      </c>
      <c r="D5" s="261" t="s">
        <v>9</v>
      </c>
    </row>
    <row r="6" ht="18" customHeight="1" spans="1:4">
      <c r="A6" s="258" t="s">
        <v>452</v>
      </c>
      <c r="B6" s="259"/>
      <c r="C6" s="260">
        <v>-7.9</v>
      </c>
      <c r="D6" s="261">
        <v>6</v>
      </c>
    </row>
    <row r="7" ht="18" customHeight="1" spans="1:4">
      <c r="A7" s="262" t="s">
        <v>453</v>
      </c>
      <c r="B7" s="259"/>
      <c r="C7" s="260">
        <v>275.9</v>
      </c>
      <c r="D7" s="261">
        <v>2</v>
      </c>
    </row>
    <row r="8" ht="18" customHeight="1" spans="1:4">
      <c r="A8" s="263" t="s">
        <v>454</v>
      </c>
      <c r="B8" s="259"/>
      <c r="C8" s="260">
        <v>-29.4</v>
      </c>
      <c r="D8" s="261">
        <v>7</v>
      </c>
    </row>
    <row r="9" ht="18" customHeight="1" spans="1:4">
      <c r="A9" s="262" t="s">
        <v>455</v>
      </c>
      <c r="B9" s="259"/>
      <c r="C9" s="260">
        <v>-75.9</v>
      </c>
      <c r="D9" s="261">
        <v>10</v>
      </c>
    </row>
    <row r="10" ht="18" customHeight="1" spans="1:4">
      <c r="A10" s="262" t="s">
        <v>456</v>
      </c>
      <c r="B10" s="259"/>
      <c r="C10" s="260">
        <v>32.1</v>
      </c>
      <c r="D10" s="261">
        <v>4</v>
      </c>
    </row>
    <row r="11" ht="18" customHeight="1" spans="1:4">
      <c r="A11" s="262" t="s">
        <v>457</v>
      </c>
      <c r="B11" s="259"/>
      <c r="C11" s="260">
        <v>-40.1</v>
      </c>
      <c r="D11" s="261">
        <v>8</v>
      </c>
    </row>
    <row r="12" ht="18" customHeight="1" spans="1:4">
      <c r="A12" s="262" t="s">
        <v>458</v>
      </c>
      <c r="B12" s="259"/>
      <c r="C12" s="260">
        <v>115.9</v>
      </c>
      <c r="D12" s="261">
        <v>3</v>
      </c>
    </row>
    <row r="13" ht="18" customHeight="1" spans="1:4">
      <c r="A13" s="262" t="s">
        <v>459</v>
      </c>
      <c r="B13" s="259"/>
      <c r="C13" s="260">
        <v>-4.5</v>
      </c>
      <c r="D13" s="261">
        <v>5</v>
      </c>
    </row>
    <row r="14" ht="18" customHeight="1" spans="1:4">
      <c r="A14" s="262" t="s">
        <v>460</v>
      </c>
      <c r="B14" s="259"/>
      <c r="C14" s="260">
        <v>900.3</v>
      </c>
      <c r="D14" s="261">
        <v>1</v>
      </c>
    </row>
    <row r="15" ht="18" customHeight="1" spans="1:4">
      <c r="A15" s="262" t="s">
        <v>461</v>
      </c>
      <c r="B15" s="259"/>
      <c r="C15" s="260">
        <v>-49</v>
      </c>
      <c r="D15" s="261">
        <v>9</v>
      </c>
    </row>
    <row r="16" ht="18" customHeight="1" spans="1:4">
      <c r="A16" s="254" t="s">
        <v>510</v>
      </c>
      <c r="B16" s="264"/>
      <c r="C16" s="265"/>
      <c r="D16" s="266"/>
    </row>
    <row r="17" ht="18" customHeight="1" spans="1:5">
      <c r="A17" s="258" t="s">
        <v>451</v>
      </c>
      <c r="B17" s="259"/>
      <c r="C17" s="260">
        <v>163.9</v>
      </c>
      <c r="D17" s="267" t="s">
        <v>9</v>
      </c>
    </row>
    <row r="18" ht="18" customHeight="1" spans="1:5">
      <c r="A18" s="258" t="s">
        <v>452</v>
      </c>
      <c r="B18" s="259"/>
      <c r="C18" s="260">
        <v>-7.9</v>
      </c>
      <c r="D18" s="268">
        <v>8</v>
      </c>
      <c r="E18" s="269"/>
    </row>
    <row r="19" ht="18" customHeight="1" spans="1:5">
      <c r="A19" s="262" t="s">
        <v>453</v>
      </c>
      <c r="B19" s="259"/>
      <c r="C19" s="260">
        <v>1425.4</v>
      </c>
      <c r="D19" s="268">
        <v>2</v>
      </c>
      <c r="E19" s="269"/>
    </row>
    <row r="20" ht="18" customHeight="1" spans="1:5">
      <c r="A20" s="263" t="s">
        <v>454</v>
      </c>
      <c r="B20" s="259"/>
      <c r="C20" s="260">
        <v>93.4</v>
      </c>
      <c r="D20" s="268">
        <v>6</v>
      </c>
      <c r="E20" s="269"/>
    </row>
    <row r="21" ht="18" customHeight="1" spans="1:5">
      <c r="A21" s="262" t="s">
        <v>455</v>
      </c>
      <c r="B21" s="259"/>
      <c r="C21" s="260">
        <v>-70.2</v>
      </c>
      <c r="D21" s="268">
        <v>9</v>
      </c>
      <c r="E21" s="269"/>
    </row>
    <row r="22" ht="18" customHeight="1" spans="1:5">
      <c r="A22" s="262" t="s">
        <v>456</v>
      </c>
      <c r="B22" s="259"/>
      <c r="C22" s="260">
        <v>507.5</v>
      </c>
      <c r="D22" s="268">
        <v>3</v>
      </c>
      <c r="E22" s="269"/>
    </row>
    <row r="23" ht="18" customHeight="1" spans="1:5">
      <c r="A23" s="262" t="s">
        <v>457</v>
      </c>
      <c r="B23" s="259"/>
      <c r="C23" s="260">
        <v>4.3</v>
      </c>
      <c r="D23" s="268">
        <v>7</v>
      </c>
    </row>
    <row r="24" ht="18" customHeight="1" spans="1:5">
      <c r="A24" s="262" t="s">
        <v>458</v>
      </c>
      <c r="B24" s="270"/>
      <c r="C24" s="271" t="s">
        <v>9</v>
      </c>
      <c r="D24" s="268" t="s">
        <v>9</v>
      </c>
    </row>
    <row r="25" ht="18" customHeight="1" spans="1:5">
      <c r="A25" s="262" t="s">
        <v>459</v>
      </c>
      <c r="B25" s="259"/>
      <c r="C25" s="260">
        <v>263.1</v>
      </c>
      <c r="D25" s="268">
        <v>4</v>
      </c>
    </row>
    <row r="26" ht="18" customHeight="1" spans="1:5">
      <c r="A26" s="262" t="s">
        <v>460</v>
      </c>
      <c r="B26" s="259"/>
      <c r="C26" s="260">
        <v>2643</v>
      </c>
      <c r="D26" s="268">
        <v>1</v>
      </c>
    </row>
    <row r="27" ht="18" customHeight="1" spans="1:5">
      <c r="A27" s="272" t="s">
        <v>461</v>
      </c>
      <c r="B27" s="273"/>
      <c r="C27" s="274">
        <v>151.8</v>
      </c>
      <c r="D27" s="275">
        <v>5</v>
      </c>
    </row>
    <row r="28" spans="1:5">
      <c r="A28" s="276"/>
      <c r="B28" s="277"/>
      <c r="C28" s="278"/>
      <c r="D28" s="279"/>
    </row>
  </sheetData>
  <mergeCells count="1">
    <mergeCell ref="A1:D1"/>
  </mergeCells>
  <printOptions horizontalCentered="1"/>
  <pageMargins left="0.75" right="0.75" top="0.588888888888889" bottom="0.588888888888889" header="0.509027777777778" footer="0.509027777777778"/>
  <pageSetup paperSize="9" scale="97" orientation="portrait"/>
  <headerFooter alignWithMargins="0" scaleWithDoc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C00000"/>
  </sheetPr>
  <dimension ref="A1:E28"/>
  <sheetViews>
    <sheetView workbookViewId="0">
      <selection activeCell="F22" sqref="F22"/>
    </sheetView>
  </sheetViews>
  <sheetFormatPr defaultColWidth="9" defaultRowHeight="14.25" outlineLevelCol="4"/>
  <cols>
    <col min="1" max="1" width="36.75" style="240" customWidth="1"/>
    <col min="2" max="4" width="13.125" style="241" customWidth="1"/>
    <col min="5" max="16384" width="9" style="241"/>
  </cols>
  <sheetData>
    <row r="1" ht="33.75" customHeight="1" spans="1:5">
      <c r="A1" s="197" t="s">
        <v>511</v>
      </c>
      <c r="B1" s="197"/>
      <c r="C1" s="197"/>
      <c r="D1" s="197"/>
    </row>
    <row r="2" ht="20.25" customHeight="1" spans="1:5">
      <c r="A2" s="242"/>
      <c r="B2" s="242"/>
      <c r="C2" s="242"/>
      <c r="D2" s="243" t="s">
        <v>39</v>
      </c>
    </row>
    <row r="3" ht="31.5" customHeight="1" spans="1:5">
      <c r="A3" s="91" t="s">
        <v>448</v>
      </c>
      <c r="B3" s="142" t="s">
        <v>83</v>
      </c>
      <c r="C3" s="92" t="s">
        <v>6</v>
      </c>
      <c r="D3" s="142" t="s">
        <v>449</v>
      </c>
    </row>
    <row r="4" ht="18" customHeight="1" spans="1:5">
      <c r="A4" s="222" t="s">
        <v>512</v>
      </c>
      <c r="B4" s="223"/>
      <c r="C4" s="224"/>
      <c r="D4" s="225"/>
    </row>
    <row r="5" ht="18" customHeight="1" spans="1:5">
      <c r="A5" s="226" t="s">
        <v>451</v>
      </c>
      <c r="B5" s="227"/>
      <c r="C5" s="228">
        <v>26.9</v>
      </c>
      <c r="D5" s="225" t="s">
        <v>9</v>
      </c>
    </row>
    <row r="6" ht="18" customHeight="1" spans="1:5">
      <c r="A6" s="226" t="s">
        <v>452</v>
      </c>
      <c r="B6" s="229"/>
      <c r="C6" s="228">
        <v>18.7</v>
      </c>
      <c r="D6" s="225">
        <v>5</v>
      </c>
      <c r="E6" s="244"/>
    </row>
    <row r="7" ht="18" customHeight="1" spans="1:5">
      <c r="A7" s="212" t="s">
        <v>453</v>
      </c>
      <c r="B7" s="229"/>
      <c r="C7" s="228">
        <v>-16.7</v>
      </c>
      <c r="D7" s="225">
        <v>10</v>
      </c>
      <c r="E7" s="244"/>
    </row>
    <row r="8" ht="18" customHeight="1" spans="1:5">
      <c r="A8" s="230" t="s">
        <v>454</v>
      </c>
      <c r="B8" s="229"/>
      <c r="C8" s="228">
        <v>89.1</v>
      </c>
      <c r="D8" s="225">
        <v>3</v>
      </c>
      <c r="E8" s="244"/>
    </row>
    <row r="9" ht="18" customHeight="1" spans="1:5">
      <c r="A9" s="212" t="s">
        <v>455</v>
      </c>
      <c r="B9" s="229"/>
      <c r="C9" s="228">
        <v>143.1</v>
      </c>
      <c r="D9" s="225">
        <v>2</v>
      </c>
      <c r="E9" s="244"/>
    </row>
    <row r="10" ht="18" customHeight="1" spans="1:5">
      <c r="A10" s="212" t="s">
        <v>456</v>
      </c>
      <c r="B10" s="229"/>
      <c r="C10" s="231">
        <v>7.5</v>
      </c>
      <c r="D10" s="225">
        <v>8</v>
      </c>
    </row>
    <row r="11" ht="18" customHeight="1" spans="1:5">
      <c r="A11" s="212" t="s">
        <v>457</v>
      </c>
      <c r="B11" s="103"/>
      <c r="C11" s="232">
        <v>-12</v>
      </c>
      <c r="D11" s="225">
        <v>9</v>
      </c>
    </row>
    <row r="12" ht="18" customHeight="1" spans="1:5">
      <c r="A12" s="212" t="s">
        <v>458</v>
      </c>
      <c r="B12" s="103"/>
      <c r="C12" s="232">
        <v>8</v>
      </c>
      <c r="D12" s="225">
        <v>7</v>
      </c>
    </row>
    <row r="13" ht="18" customHeight="1" spans="1:5">
      <c r="A13" s="212" t="s">
        <v>459</v>
      </c>
      <c r="B13" s="103"/>
      <c r="C13" s="232">
        <v>401.9</v>
      </c>
      <c r="D13" s="225">
        <v>1</v>
      </c>
    </row>
    <row r="14" ht="18" customHeight="1" spans="1:5">
      <c r="A14" s="212" t="s">
        <v>460</v>
      </c>
      <c r="B14" s="103"/>
      <c r="C14" s="232">
        <v>24.7</v>
      </c>
      <c r="D14" s="225">
        <v>4</v>
      </c>
    </row>
    <row r="15" ht="18" customHeight="1" spans="1:5">
      <c r="A15" s="212" t="s">
        <v>461</v>
      </c>
      <c r="B15" s="103"/>
      <c r="C15" s="232">
        <v>14.1</v>
      </c>
      <c r="D15" s="225">
        <v>6</v>
      </c>
    </row>
    <row r="16" ht="18" customHeight="1" spans="1:5">
      <c r="A16" s="233" t="s">
        <v>513</v>
      </c>
      <c r="B16" s="103"/>
      <c r="C16" s="145"/>
      <c r="D16" s="234"/>
    </row>
    <row r="17" ht="18" customHeight="1" spans="1:4">
      <c r="A17" s="203" t="s">
        <v>451</v>
      </c>
      <c r="B17" s="103">
        <v>131.1506</v>
      </c>
      <c r="C17" s="235">
        <v>-0.9</v>
      </c>
      <c r="D17" s="225" t="s">
        <v>9</v>
      </c>
    </row>
    <row r="18" ht="18" customHeight="1" spans="1:4">
      <c r="A18" s="203" t="s">
        <v>452</v>
      </c>
      <c r="B18" s="103">
        <v>17.9013</v>
      </c>
      <c r="C18" s="232">
        <v>-16.9</v>
      </c>
      <c r="D18" s="225">
        <v>8</v>
      </c>
    </row>
    <row r="19" ht="18" customHeight="1" spans="1:4">
      <c r="A19" s="210" t="s">
        <v>453</v>
      </c>
      <c r="B19" s="103">
        <v>11.1743</v>
      </c>
      <c r="C19" s="232">
        <v>-21.2</v>
      </c>
      <c r="D19" s="225">
        <v>9</v>
      </c>
    </row>
    <row r="20" ht="18" customHeight="1" spans="1:4">
      <c r="A20" s="211" t="s">
        <v>454</v>
      </c>
      <c r="B20" s="103">
        <v>2.3708</v>
      </c>
      <c r="C20" s="232">
        <v>-7.5</v>
      </c>
      <c r="D20" s="225">
        <v>6</v>
      </c>
    </row>
    <row r="21" ht="18" customHeight="1" spans="1:4">
      <c r="A21" s="210" t="s">
        <v>455</v>
      </c>
      <c r="B21" s="103">
        <v>7.0881</v>
      </c>
      <c r="C21" s="232">
        <v>4.9</v>
      </c>
      <c r="D21" s="225">
        <v>5</v>
      </c>
    </row>
    <row r="22" ht="18" customHeight="1" spans="1:4">
      <c r="A22" s="210" t="s">
        <v>456</v>
      </c>
      <c r="B22" s="103">
        <v>7.4133</v>
      </c>
      <c r="C22" s="232">
        <v>-75.7</v>
      </c>
      <c r="D22" s="225">
        <v>10</v>
      </c>
    </row>
    <row r="23" ht="18" customHeight="1" spans="1:4">
      <c r="A23" s="210" t="s">
        <v>457</v>
      </c>
      <c r="B23" s="103">
        <v>32.6827</v>
      </c>
      <c r="C23" s="232">
        <v>58.1</v>
      </c>
      <c r="D23" s="225">
        <v>4</v>
      </c>
    </row>
    <row r="24" ht="18" customHeight="1" spans="1:4">
      <c r="A24" s="212" t="s">
        <v>458</v>
      </c>
      <c r="B24" s="103">
        <v>10.8542</v>
      </c>
      <c r="C24" s="232">
        <v>86.7</v>
      </c>
      <c r="D24" s="225">
        <v>1</v>
      </c>
    </row>
    <row r="25" ht="18" customHeight="1" spans="1:4">
      <c r="A25" s="212" t="s">
        <v>459</v>
      </c>
      <c r="B25" s="103">
        <v>6.8075</v>
      </c>
      <c r="C25" s="232">
        <v>67.6</v>
      </c>
      <c r="D25" s="225">
        <v>3</v>
      </c>
    </row>
    <row r="26" ht="18" customHeight="1" spans="1:4">
      <c r="A26" s="212" t="s">
        <v>460</v>
      </c>
      <c r="B26" s="103">
        <v>16.8816</v>
      </c>
      <c r="C26" s="232">
        <v>80.1</v>
      </c>
      <c r="D26" s="225">
        <v>2</v>
      </c>
    </row>
    <row r="27" ht="18" customHeight="1" spans="1:4">
      <c r="A27" s="218" t="s">
        <v>461</v>
      </c>
      <c r="B27" s="236">
        <v>21.2574</v>
      </c>
      <c r="C27" s="237">
        <v>-11.6</v>
      </c>
      <c r="D27" s="238">
        <v>7</v>
      </c>
    </row>
    <row r="28" spans="1:4">
      <c r="B28" s="245"/>
      <c r="C28" s="245"/>
      <c r="D28" s="245"/>
    </row>
  </sheetData>
  <mergeCells count="1">
    <mergeCell ref="A1:D1"/>
  </mergeCells>
  <pageMargins left="0.75" right="0.75" top="0.388888888888889" bottom="0.388888888888889" header="0.509027777777778" footer="0.509027777777778"/>
  <pageSetup paperSize="9" scale="96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19"/>
  <sheetViews>
    <sheetView zoomScale="90" zoomScaleNormal="90" workbookViewId="0">
      <selection activeCell="A1" sqref="A1:C19"/>
    </sheetView>
  </sheetViews>
  <sheetFormatPr defaultColWidth="9" defaultRowHeight="14.25" outlineLevelCol="4"/>
  <cols>
    <col min="1" max="1" width="27.875" style="702" customWidth="1"/>
    <col min="2" max="2" width="17.375" style="702" customWidth="1"/>
    <col min="3" max="3" width="15" style="702" customWidth="1"/>
    <col min="4" max="4" width="12.625" style="702"/>
    <col min="5" max="5" width="11.625" style="702"/>
    <col min="6" max="7" width="12.625" style="702"/>
    <col min="8" max="9" width="9" style="702"/>
    <col min="10" max="10" width="12.625" style="702"/>
    <col min="11" max="16384" width="9" style="702"/>
  </cols>
  <sheetData>
    <row r="1" ht="28.5" customHeight="1" spans="1:5">
      <c r="A1" s="86" t="s">
        <v>38</v>
      </c>
      <c r="B1" s="86"/>
      <c r="C1" s="86"/>
    </row>
    <row r="2" ht="20" customHeight="1" spans="1:5">
      <c r="A2" s="703"/>
      <c r="B2" s="703"/>
      <c r="C2" s="373" t="s">
        <v>39</v>
      </c>
    </row>
    <row r="3" ht="35.25" customHeight="1" spans="1:5">
      <c r="A3" s="330" t="s">
        <v>40</v>
      </c>
      <c r="B3" s="282" t="s">
        <v>41</v>
      </c>
      <c r="C3" s="283" t="s">
        <v>42</v>
      </c>
    </row>
    <row r="4" ht="30.95" customHeight="1" spans="1:5">
      <c r="A4" s="226" t="s">
        <v>43</v>
      </c>
      <c r="B4" s="704">
        <v>670.483</v>
      </c>
      <c r="C4" s="705">
        <v>6.79998425115946</v>
      </c>
      <c r="D4" s="706"/>
      <c r="E4" s="706"/>
    </row>
    <row r="5" ht="30.95" customHeight="1" spans="1:5">
      <c r="A5" s="226" t="s">
        <v>44</v>
      </c>
      <c r="B5" s="707">
        <v>93.7282</v>
      </c>
      <c r="C5" s="708">
        <v>6.25737712284018</v>
      </c>
      <c r="D5" s="706"/>
      <c r="E5" s="706"/>
    </row>
    <row r="6" ht="30.95" customHeight="1" spans="1:5">
      <c r="A6" s="226" t="s">
        <v>45</v>
      </c>
      <c r="B6" s="707">
        <v>230.142</v>
      </c>
      <c r="C6" s="708">
        <v>7.30595526063857</v>
      </c>
      <c r="D6" s="706"/>
      <c r="E6" s="706"/>
    </row>
    <row r="7" ht="30.95" customHeight="1" spans="1:5">
      <c r="A7" s="226" t="s">
        <v>46</v>
      </c>
      <c r="B7" s="709">
        <v>27.644</v>
      </c>
      <c r="C7" s="710">
        <v>10.3953036614153</v>
      </c>
      <c r="D7" s="706"/>
      <c r="E7" s="706"/>
    </row>
    <row r="8" ht="30.95" customHeight="1" spans="1:5">
      <c r="A8" s="226" t="s">
        <v>47</v>
      </c>
      <c r="B8" s="711">
        <v>346.6128</v>
      </c>
      <c r="C8" s="712">
        <v>6.5902888835959</v>
      </c>
      <c r="D8" s="706"/>
      <c r="E8" s="706"/>
    </row>
    <row r="9" ht="30.95" customHeight="1" spans="1:5">
      <c r="A9" s="226" t="s">
        <v>48</v>
      </c>
      <c r="B9" s="713">
        <v>28.7985</v>
      </c>
      <c r="C9" s="714">
        <v>6.22350908170395</v>
      </c>
      <c r="E9" s="715"/>
    </row>
    <row r="10" ht="30.95" customHeight="1" spans="1:5">
      <c r="A10" s="226" t="s">
        <v>49</v>
      </c>
      <c r="B10" s="716">
        <v>56.0173</v>
      </c>
      <c r="C10" s="717">
        <v>5.43763379544371</v>
      </c>
      <c r="E10" s="715"/>
    </row>
    <row r="11" ht="30.95" customHeight="1" spans="1:5">
      <c r="A11" s="226" t="s">
        <v>50</v>
      </c>
      <c r="B11" s="718">
        <v>10.9751</v>
      </c>
      <c r="C11" s="719">
        <v>1.90158448158324</v>
      </c>
      <c r="E11" s="715"/>
    </row>
    <row r="12" ht="30.95" customHeight="1" spans="1:5">
      <c r="A12" s="226" t="s">
        <v>51</v>
      </c>
      <c r="B12" s="720">
        <v>25.1938</v>
      </c>
      <c r="C12" s="721">
        <v>7.00543650374749</v>
      </c>
      <c r="E12" s="715"/>
    </row>
    <row r="13" ht="30.95" customHeight="1" spans="1:5">
      <c r="A13" s="226" t="s">
        <v>52</v>
      </c>
      <c r="B13" s="722">
        <v>51.8486</v>
      </c>
      <c r="C13" s="723">
        <v>5.6712764538926</v>
      </c>
      <c r="E13" s="715"/>
    </row>
    <row r="14" ht="30.95" customHeight="1" spans="1:5">
      <c r="A14" s="226" t="s">
        <v>53</v>
      </c>
      <c r="B14" s="724">
        <v>40.0504</v>
      </c>
      <c r="C14" s="725">
        <v>16.5134454049571</v>
      </c>
      <c r="E14" s="715"/>
    </row>
    <row r="15" ht="30.95" customHeight="1" spans="1:5">
      <c r="A15" s="726" t="s">
        <v>54</v>
      </c>
      <c r="B15" s="727">
        <v>129.3612</v>
      </c>
      <c r="C15" s="728">
        <v>5.5206742620722</v>
      </c>
      <c r="E15" s="715"/>
    </row>
    <row r="16" ht="30.95" customHeight="1" spans="1:5">
      <c r="A16" s="729" t="s">
        <v>55</v>
      </c>
      <c r="B16" s="730">
        <v>96.2779</v>
      </c>
      <c r="C16" s="731">
        <v>6.3199820535331</v>
      </c>
      <c r="E16" s="715"/>
    </row>
    <row r="17" ht="30.95" customHeight="1" spans="1:5">
      <c r="A17" s="226" t="s">
        <v>56</v>
      </c>
      <c r="B17" s="732">
        <v>204.3162</v>
      </c>
      <c r="C17" s="733">
        <v>6.69235851687347</v>
      </c>
      <c r="E17" s="734"/>
    </row>
    <row r="18" ht="30.95" customHeight="1" spans="1:5">
      <c r="A18" s="735" t="s">
        <v>57</v>
      </c>
      <c r="B18" s="736" t="s">
        <v>58</v>
      </c>
      <c r="C18" s="737"/>
      <c r="E18" s="715"/>
    </row>
    <row r="19" ht="21" customHeight="1" spans="1:5">
      <c r="A19" s="738" t="s">
        <v>59</v>
      </c>
      <c r="B19" s="738"/>
      <c r="C19" s="738"/>
    </row>
  </sheetData>
  <mergeCells count="3">
    <mergeCell ref="A1:C1"/>
    <mergeCell ref="B18:C18"/>
    <mergeCell ref="A19:C19"/>
  </mergeCells>
  <printOptions horizontalCentered="1"/>
  <pageMargins left="0.75" right="0.75" top="0.979166666666667" bottom="0.979166666666667" header="0.509027777777778" footer="0.509027777777778"/>
  <pageSetup paperSize="9" orientation="portrait" blackAndWhite="1"/>
  <headerFooter alignWithMargins="0" scaleWithDoc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F28"/>
  <sheetViews>
    <sheetView workbookViewId="0">
      <selection activeCell="G26" sqref="G26"/>
    </sheetView>
  </sheetViews>
  <sheetFormatPr defaultColWidth="9" defaultRowHeight="14.25" outlineLevelCol="5"/>
  <cols>
    <col min="1" max="1" width="32.75" style="45" customWidth="1"/>
    <col min="2" max="4" width="13.125" style="44" customWidth="1"/>
    <col min="5" max="16384" width="9" style="44"/>
  </cols>
  <sheetData>
    <row r="1" ht="33.75" customHeight="1" spans="1:6">
      <c r="A1" s="197" t="s">
        <v>514</v>
      </c>
      <c r="B1" s="197"/>
      <c r="C1" s="197"/>
      <c r="D1" s="197"/>
    </row>
    <row r="2" ht="20.25" customHeight="1" spans="1:6">
      <c r="A2" s="220"/>
      <c r="B2" s="220"/>
      <c r="C2" s="221" t="s">
        <v>39</v>
      </c>
      <c r="D2" s="221"/>
    </row>
    <row r="3" ht="31.5" customHeight="1" spans="1:6">
      <c r="A3" s="91" t="s">
        <v>448</v>
      </c>
      <c r="B3" s="142" t="s">
        <v>83</v>
      </c>
      <c r="C3" s="92" t="s">
        <v>6</v>
      </c>
      <c r="D3" s="142" t="s">
        <v>449</v>
      </c>
    </row>
    <row r="4" ht="18" customHeight="1" spans="1:6">
      <c r="A4" s="222" t="s">
        <v>515</v>
      </c>
      <c r="B4" s="223"/>
      <c r="C4" s="224"/>
      <c r="D4" s="225"/>
      <c r="E4" s="202"/>
    </row>
    <row r="5" ht="18" customHeight="1" spans="1:6">
      <c r="A5" s="226" t="s">
        <v>451</v>
      </c>
      <c r="B5" s="227">
        <v>34.0085</v>
      </c>
      <c r="C5" s="228">
        <v>12.4</v>
      </c>
      <c r="D5" s="225" t="s">
        <v>9</v>
      </c>
      <c r="F5" s="207"/>
    </row>
    <row r="6" ht="18" customHeight="1" spans="1:6">
      <c r="A6" s="226" t="s">
        <v>452</v>
      </c>
      <c r="B6" s="229">
        <v>0.9271</v>
      </c>
      <c r="C6" s="228">
        <v>1.9</v>
      </c>
      <c r="D6" s="225">
        <v>8</v>
      </c>
      <c r="F6" s="207"/>
    </row>
    <row r="7" ht="18" customHeight="1" spans="1:6">
      <c r="A7" s="212" t="s">
        <v>453</v>
      </c>
      <c r="B7" s="229">
        <v>2.37</v>
      </c>
      <c r="C7" s="228">
        <v>0.7</v>
      </c>
      <c r="D7" s="225">
        <v>9</v>
      </c>
      <c r="F7" s="207"/>
    </row>
    <row r="8" ht="18" customHeight="1" spans="1:6">
      <c r="A8" s="230" t="s">
        <v>454</v>
      </c>
      <c r="B8" s="229">
        <v>0.8875</v>
      </c>
      <c r="C8" s="228">
        <v>10.2</v>
      </c>
      <c r="D8" s="225">
        <v>6</v>
      </c>
      <c r="F8" s="207"/>
    </row>
    <row r="9" ht="18" customHeight="1" spans="1:6">
      <c r="A9" s="212" t="s">
        <v>455</v>
      </c>
      <c r="B9" s="229">
        <v>1.8222</v>
      </c>
      <c r="C9" s="228">
        <v>20.9</v>
      </c>
      <c r="D9" s="225">
        <v>2</v>
      </c>
      <c r="F9" s="207"/>
    </row>
    <row r="10" ht="18" customHeight="1" spans="1:6">
      <c r="A10" s="212" t="s">
        <v>456</v>
      </c>
      <c r="B10" s="229">
        <v>4.6475</v>
      </c>
      <c r="C10" s="231">
        <v>56.7</v>
      </c>
      <c r="D10" s="225">
        <v>1</v>
      </c>
    </row>
    <row r="11" ht="18" customHeight="1" spans="1:6">
      <c r="A11" s="212" t="s">
        <v>457</v>
      </c>
      <c r="B11" s="103">
        <v>2.3637</v>
      </c>
      <c r="C11" s="232">
        <v>11.2</v>
      </c>
      <c r="D11" s="225">
        <v>4</v>
      </c>
    </row>
    <row r="12" ht="18" customHeight="1" spans="1:6">
      <c r="A12" s="212" t="s">
        <v>458</v>
      </c>
      <c r="B12" s="103">
        <v>1.421</v>
      </c>
      <c r="C12" s="232">
        <v>13.1</v>
      </c>
      <c r="D12" s="225">
        <v>3</v>
      </c>
    </row>
    <row r="13" ht="18" customHeight="1" spans="1:6">
      <c r="A13" s="212" t="s">
        <v>459</v>
      </c>
      <c r="B13" s="103">
        <v>1.6599</v>
      </c>
      <c r="C13" s="232">
        <v>-2</v>
      </c>
      <c r="D13" s="225">
        <v>10</v>
      </c>
    </row>
    <row r="14" ht="18" customHeight="1" spans="1:6">
      <c r="A14" s="212" t="s">
        <v>460</v>
      </c>
      <c r="B14" s="103">
        <v>1.5734</v>
      </c>
      <c r="C14" s="232">
        <v>4.1</v>
      </c>
      <c r="D14" s="225">
        <v>7</v>
      </c>
    </row>
    <row r="15" ht="18" customHeight="1" spans="1:6">
      <c r="A15" s="212" t="s">
        <v>461</v>
      </c>
      <c r="B15" s="103">
        <v>2.7818</v>
      </c>
      <c r="C15" s="232">
        <v>10.4</v>
      </c>
      <c r="D15" s="225">
        <v>5</v>
      </c>
    </row>
    <row r="16" ht="18" customHeight="1" spans="1:6">
      <c r="A16" s="233" t="s">
        <v>516</v>
      </c>
      <c r="B16" s="103"/>
      <c r="C16" s="145"/>
      <c r="D16" s="234"/>
    </row>
    <row r="17" ht="18" customHeight="1" spans="1:6">
      <c r="A17" s="203" t="s">
        <v>451</v>
      </c>
      <c r="B17" s="103">
        <v>127.0713</v>
      </c>
      <c r="C17" s="235">
        <v>15.5</v>
      </c>
      <c r="D17" s="225" t="s">
        <v>9</v>
      </c>
    </row>
    <row r="18" ht="18" customHeight="1" spans="1:6">
      <c r="A18" s="203" t="s">
        <v>452</v>
      </c>
      <c r="B18" s="103">
        <v>3.9282</v>
      </c>
      <c r="C18" s="232">
        <v>24.2</v>
      </c>
      <c r="D18" s="225">
        <v>3</v>
      </c>
      <c r="F18" s="202"/>
    </row>
    <row r="19" ht="18" customHeight="1" spans="1:6">
      <c r="A19" s="210" t="s">
        <v>453</v>
      </c>
      <c r="B19" s="103">
        <v>5.411</v>
      </c>
      <c r="C19" s="232">
        <v>19.4</v>
      </c>
      <c r="D19" s="225">
        <v>5</v>
      </c>
      <c r="F19" s="202"/>
    </row>
    <row r="20" ht="18" customHeight="1" spans="1:6">
      <c r="A20" s="211" t="s">
        <v>454</v>
      </c>
      <c r="B20" s="103">
        <v>4.3279</v>
      </c>
      <c r="C20" s="232">
        <v>16.4</v>
      </c>
      <c r="D20" s="225">
        <v>6</v>
      </c>
      <c r="F20" s="202"/>
    </row>
    <row r="21" ht="18" customHeight="1" spans="1:6">
      <c r="A21" s="210" t="s">
        <v>455</v>
      </c>
      <c r="B21" s="103">
        <v>4.0851</v>
      </c>
      <c r="C21" s="232">
        <v>27.8</v>
      </c>
      <c r="D21" s="225">
        <v>1</v>
      </c>
      <c r="F21" s="202"/>
    </row>
    <row r="22" ht="18" customHeight="1" spans="1:6">
      <c r="A22" s="210" t="s">
        <v>456</v>
      </c>
      <c r="B22" s="103">
        <v>5.5908</v>
      </c>
      <c r="C22" s="232">
        <v>9.3</v>
      </c>
      <c r="D22" s="225">
        <v>7</v>
      </c>
    </row>
    <row r="23" ht="18" customHeight="1" spans="1:6">
      <c r="A23" s="210" t="s">
        <v>457</v>
      </c>
      <c r="B23" s="103">
        <v>14.76</v>
      </c>
      <c r="C23" s="232">
        <v>1.4</v>
      </c>
      <c r="D23" s="225">
        <v>10</v>
      </c>
    </row>
    <row r="24" ht="18" customHeight="1" spans="1:6">
      <c r="A24" s="212" t="s">
        <v>458</v>
      </c>
      <c r="B24" s="103">
        <v>10.5125</v>
      </c>
      <c r="C24" s="232">
        <v>4.6</v>
      </c>
      <c r="D24" s="225">
        <v>8</v>
      </c>
    </row>
    <row r="25" ht="18" customHeight="1" spans="1:6">
      <c r="A25" s="212" t="s">
        <v>459</v>
      </c>
      <c r="B25" s="103">
        <v>14.1528</v>
      </c>
      <c r="C25" s="232">
        <v>2.8</v>
      </c>
      <c r="D25" s="225">
        <v>9</v>
      </c>
    </row>
    <row r="26" ht="18" customHeight="1" spans="1:6">
      <c r="A26" s="212" t="s">
        <v>460</v>
      </c>
      <c r="B26" s="103">
        <v>14.1805</v>
      </c>
      <c r="C26" s="232">
        <v>21.1</v>
      </c>
      <c r="D26" s="225">
        <v>4</v>
      </c>
    </row>
    <row r="27" ht="18" customHeight="1" spans="1:6">
      <c r="A27" s="218" t="s">
        <v>461</v>
      </c>
      <c r="B27" s="236">
        <v>23.3057</v>
      </c>
      <c r="C27" s="237">
        <v>26.4</v>
      </c>
      <c r="D27" s="238">
        <v>2</v>
      </c>
    </row>
    <row r="28" spans="1:6">
      <c r="A28" s="239"/>
      <c r="B28" s="239"/>
      <c r="C28" s="239"/>
      <c r="D28" s="239"/>
    </row>
  </sheetData>
  <mergeCells count="2">
    <mergeCell ref="A1:D1"/>
    <mergeCell ref="C2:D2"/>
  </mergeCells>
  <pageMargins left="0.75" right="0.75" top="0.388888888888889" bottom="0.388888888888889" header="0.509027777777778" footer="0.509027777777778"/>
  <pageSetup paperSize="9" scale="96" orientation="portrait"/>
  <headerFooter alignWithMargins="0" scaleWithDoc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F28"/>
  <sheetViews>
    <sheetView workbookViewId="0">
      <selection activeCell="F18" sqref="F18"/>
    </sheetView>
  </sheetViews>
  <sheetFormatPr defaultColWidth="9" defaultRowHeight="14.25" outlineLevelCol="5"/>
  <cols>
    <col min="1" max="1" width="34.25" style="45" customWidth="1"/>
    <col min="2" max="4" width="13.125" style="44" customWidth="1"/>
    <col min="5" max="16384" width="9" style="44"/>
  </cols>
  <sheetData>
    <row r="1" ht="33.75" customHeight="1" spans="1:6">
      <c r="A1" s="197" t="s">
        <v>517</v>
      </c>
      <c r="B1" s="197"/>
      <c r="C1" s="197"/>
      <c r="D1" s="197"/>
    </row>
    <row r="2" ht="31.5" customHeight="1" spans="1:6">
      <c r="A2" s="91" t="s">
        <v>448</v>
      </c>
      <c r="B2" s="142" t="s">
        <v>83</v>
      </c>
      <c r="C2" s="92" t="s">
        <v>6</v>
      </c>
      <c r="D2" s="142" t="s">
        <v>449</v>
      </c>
    </row>
    <row r="3" ht="27" customHeight="1" spans="1:6">
      <c r="A3" s="198" t="s">
        <v>518</v>
      </c>
      <c r="B3" s="199"/>
      <c r="C3" s="200"/>
      <c r="D3" s="201"/>
      <c r="E3" s="202"/>
    </row>
    <row r="4" ht="18" customHeight="1" spans="1:6">
      <c r="A4" s="203" t="s">
        <v>451</v>
      </c>
      <c r="B4" s="204">
        <v>53.5536</v>
      </c>
      <c r="C4" s="205">
        <v>14.7</v>
      </c>
      <c r="D4" s="206" t="s">
        <v>9</v>
      </c>
      <c r="F4" s="207"/>
    </row>
    <row r="5" ht="18" customHeight="1" spans="1:6">
      <c r="A5" s="203" t="s">
        <v>452</v>
      </c>
      <c r="B5" s="208" t="s">
        <v>9</v>
      </c>
      <c r="C5" s="209" t="s">
        <v>9</v>
      </c>
      <c r="D5" s="206" t="s">
        <v>9</v>
      </c>
      <c r="F5" s="207"/>
    </row>
    <row r="6" ht="18" customHeight="1" spans="1:6">
      <c r="A6" s="210" t="s">
        <v>453</v>
      </c>
      <c r="B6" s="208" t="s">
        <v>9</v>
      </c>
      <c r="C6" s="209" t="s">
        <v>9</v>
      </c>
      <c r="D6" s="206" t="s">
        <v>9</v>
      </c>
      <c r="F6" s="207"/>
    </row>
    <row r="7" ht="18" customHeight="1" spans="1:6">
      <c r="A7" s="211" t="s">
        <v>454</v>
      </c>
      <c r="B7" s="208" t="s">
        <v>9</v>
      </c>
      <c r="C7" s="209" t="s">
        <v>9</v>
      </c>
      <c r="D7" s="206" t="s">
        <v>9</v>
      </c>
      <c r="F7" s="207"/>
    </row>
    <row r="8" ht="18" customHeight="1" spans="1:6">
      <c r="A8" s="210" t="s">
        <v>455</v>
      </c>
      <c r="B8" s="208" t="s">
        <v>9</v>
      </c>
      <c r="C8" s="209" t="s">
        <v>9</v>
      </c>
      <c r="D8" s="206" t="s">
        <v>9</v>
      </c>
      <c r="F8" s="207"/>
    </row>
    <row r="9" ht="18" customHeight="1" spans="1:6">
      <c r="A9" s="210" t="s">
        <v>456</v>
      </c>
      <c r="B9" s="208" t="s">
        <v>9</v>
      </c>
      <c r="C9" s="209" t="s">
        <v>9</v>
      </c>
      <c r="D9" s="206" t="s">
        <v>9</v>
      </c>
    </row>
    <row r="10" ht="18" customHeight="1" spans="1:6">
      <c r="A10" s="210" t="s">
        <v>457</v>
      </c>
      <c r="B10" s="208" t="s">
        <v>9</v>
      </c>
      <c r="C10" s="209" t="s">
        <v>9</v>
      </c>
      <c r="D10" s="206" t="s">
        <v>9</v>
      </c>
    </row>
    <row r="11" ht="18" customHeight="1" spans="1:6">
      <c r="A11" s="212" t="s">
        <v>458</v>
      </c>
      <c r="B11" s="208" t="s">
        <v>9</v>
      </c>
      <c r="C11" s="209" t="s">
        <v>9</v>
      </c>
      <c r="D11" s="206" t="s">
        <v>9</v>
      </c>
    </row>
    <row r="12" ht="18" customHeight="1" spans="1:6">
      <c r="A12" s="212" t="s">
        <v>459</v>
      </c>
      <c r="B12" s="208" t="s">
        <v>9</v>
      </c>
      <c r="C12" s="209" t="s">
        <v>9</v>
      </c>
      <c r="D12" s="206" t="s">
        <v>9</v>
      </c>
    </row>
    <row r="13" ht="18" customHeight="1" spans="1:6">
      <c r="A13" s="212" t="s">
        <v>460</v>
      </c>
      <c r="B13" s="208" t="s">
        <v>9</v>
      </c>
      <c r="C13" s="209" t="s">
        <v>9</v>
      </c>
      <c r="D13" s="206" t="s">
        <v>9</v>
      </c>
    </row>
    <row r="14" ht="18" customHeight="1" spans="1:6">
      <c r="A14" s="212" t="s">
        <v>461</v>
      </c>
      <c r="B14" s="208" t="s">
        <v>9</v>
      </c>
      <c r="C14" s="209" t="s">
        <v>9</v>
      </c>
      <c r="D14" s="206" t="s">
        <v>9</v>
      </c>
    </row>
    <row r="15" ht="26.1" customHeight="1" spans="1:6">
      <c r="A15" s="198" t="s">
        <v>519</v>
      </c>
      <c r="B15" s="213"/>
      <c r="C15" s="214"/>
      <c r="D15" s="206"/>
    </row>
    <row r="16" ht="18" customHeight="1" spans="1:6">
      <c r="A16" s="203" t="s">
        <v>451</v>
      </c>
      <c r="B16" s="215">
        <v>7165</v>
      </c>
      <c r="C16" s="216">
        <v>173.3</v>
      </c>
      <c r="D16" s="206" t="s">
        <v>9</v>
      </c>
    </row>
    <row r="17" ht="18" customHeight="1" spans="1:6">
      <c r="A17" s="203" t="s">
        <v>452</v>
      </c>
      <c r="B17" s="215">
        <v>0</v>
      </c>
      <c r="C17" s="216">
        <v>-100</v>
      </c>
      <c r="D17" s="206" t="s">
        <v>9</v>
      </c>
      <c r="F17" s="202"/>
    </row>
    <row r="18" ht="18" customHeight="1" spans="1:6">
      <c r="A18" s="210" t="s">
        <v>453</v>
      </c>
      <c r="B18" s="215">
        <v>0</v>
      </c>
      <c r="C18" s="216">
        <v>-100</v>
      </c>
      <c r="D18" s="206" t="s">
        <v>9</v>
      </c>
      <c r="F18" s="202"/>
    </row>
    <row r="19" ht="18" customHeight="1" spans="1:6">
      <c r="A19" s="211" t="s">
        <v>454</v>
      </c>
      <c r="B19" s="215">
        <v>126</v>
      </c>
      <c r="C19" s="217" t="s">
        <v>9</v>
      </c>
      <c r="D19" s="206" t="s">
        <v>9</v>
      </c>
      <c r="F19" s="202"/>
    </row>
    <row r="20" ht="18" customHeight="1" spans="1:6">
      <c r="A20" s="210" t="s">
        <v>455</v>
      </c>
      <c r="B20" s="215">
        <v>474</v>
      </c>
      <c r="C20" s="216">
        <v>4209.1</v>
      </c>
      <c r="D20" s="206" t="s">
        <v>9</v>
      </c>
      <c r="F20" s="202"/>
    </row>
    <row r="21" ht="18" customHeight="1" spans="1:6">
      <c r="A21" s="210" t="s">
        <v>456</v>
      </c>
      <c r="B21" s="215">
        <v>0</v>
      </c>
      <c r="C21" s="206" t="s">
        <v>9</v>
      </c>
      <c r="D21" s="206" t="s">
        <v>9</v>
      </c>
    </row>
    <row r="22" ht="18" customHeight="1" spans="1:6">
      <c r="A22" s="210" t="s">
        <v>457</v>
      </c>
      <c r="B22" s="215">
        <v>577</v>
      </c>
      <c r="C22" s="217" t="s">
        <v>9</v>
      </c>
      <c r="D22" s="206" t="s">
        <v>9</v>
      </c>
    </row>
    <row r="23" ht="18" customHeight="1" spans="1:6">
      <c r="A23" s="212" t="s">
        <v>458</v>
      </c>
      <c r="B23" s="215">
        <v>454</v>
      </c>
      <c r="C23" s="216">
        <v>278.3</v>
      </c>
      <c r="D23" s="206" t="s">
        <v>9</v>
      </c>
    </row>
    <row r="24" ht="18" customHeight="1" spans="1:6">
      <c r="A24" s="212" t="s">
        <v>459</v>
      </c>
      <c r="B24" s="215">
        <v>510</v>
      </c>
      <c r="C24" s="216">
        <v>1033.3</v>
      </c>
      <c r="D24" s="206" t="s">
        <v>9</v>
      </c>
    </row>
    <row r="25" ht="18" customHeight="1" spans="1:6">
      <c r="A25" s="212" t="s">
        <v>470</v>
      </c>
      <c r="B25" s="206" t="s">
        <v>9</v>
      </c>
      <c r="C25" s="206" t="s">
        <v>9</v>
      </c>
      <c r="D25" s="206" t="s">
        <v>9</v>
      </c>
    </row>
    <row r="26" ht="18" customHeight="1" spans="1:6">
      <c r="A26" s="212" t="s">
        <v>460</v>
      </c>
      <c r="B26" s="215">
        <v>0</v>
      </c>
      <c r="C26" s="216">
        <v>-100</v>
      </c>
      <c r="D26" s="206" t="s">
        <v>9</v>
      </c>
    </row>
    <row r="27" ht="18" customHeight="1" spans="1:6">
      <c r="A27" s="218" t="s">
        <v>461</v>
      </c>
      <c r="B27" s="215">
        <v>20</v>
      </c>
      <c r="C27" s="206" t="s">
        <v>9</v>
      </c>
      <c r="D27" s="206" t="s">
        <v>9</v>
      </c>
    </row>
    <row r="28" ht="21" customHeight="1" spans="1:6">
      <c r="A28" s="219" t="s">
        <v>520</v>
      </c>
      <c r="B28" s="219"/>
      <c r="C28" s="219"/>
      <c r="D28" s="219"/>
    </row>
  </sheetData>
  <mergeCells count="2">
    <mergeCell ref="A1:D1"/>
    <mergeCell ref="A28:D28"/>
  </mergeCells>
  <pageMargins left="0.75" right="0.75" top="0.388888888888889" bottom="0.388888888888889" header="0.509027777777778" footer="0.509027777777778"/>
  <pageSetup paperSize="9" scale="96" orientation="portrait"/>
  <headerFooter alignWithMargins="0" scaleWithDoc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O27"/>
  <sheetViews>
    <sheetView workbookViewId="0">
      <selection activeCell="K11" sqref="K11"/>
    </sheetView>
  </sheetViews>
  <sheetFormatPr defaultColWidth="9" defaultRowHeight="14.25"/>
  <cols>
    <col min="1" max="1" width="16.375" customWidth="1"/>
    <col min="2" max="2" width="13" customWidth="1"/>
    <col min="3" max="3" width="9.375" customWidth="1"/>
    <col min="4" max="4" width="8.625" customWidth="1"/>
    <col min="5" max="5" width="14.625" customWidth="1"/>
    <col min="6" max="6" width="10.5" customWidth="1"/>
    <col min="7" max="7" width="8.625" customWidth="1"/>
  </cols>
  <sheetData>
    <row r="1" ht="24" spans="1:15">
      <c r="A1" t="s">
        <v>521</v>
      </c>
      <c r="G1" s="167"/>
    </row>
    <row r="2" ht="29.1" customHeight="1" spans="1:15">
      <c r="A2" t="s">
        <v>39</v>
      </c>
    </row>
    <row r="3" s="164" customFormat="1" ht="30" customHeight="1" spans="1:15">
      <c r="A3" t="s">
        <v>522</v>
      </c>
      <c r="B3" t="s">
        <v>523</v>
      </c>
      <c r="C3"/>
      <c r="D3"/>
      <c r="E3" t="s">
        <v>524</v>
      </c>
      <c r="F3"/>
      <c r="G3"/>
    </row>
    <row r="4" s="165" customFormat="1" ht="36" customHeight="1" spans="1:15">
      <c r="A4"/>
      <c r="B4" s="168" t="s">
        <v>525</v>
      </c>
      <c r="C4" s="169" t="s">
        <v>526</v>
      </c>
      <c r="D4" s="170" t="s">
        <v>449</v>
      </c>
      <c r="E4" s="168" t="s">
        <v>525</v>
      </c>
      <c r="F4" s="171" t="s">
        <v>526</v>
      </c>
      <c r="G4" s="171" t="s">
        <v>449</v>
      </c>
      <c r="H4" s="172"/>
      <c r="O4" s="173"/>
    </row>
    <row r="5" s="165" customFormat="1" ht="25.5" customHeight="1" spans="1:15">
      <c r="A5" s="174" t="s">
        <v>527</v>
      </c>
      <c r="B5" s="175" t="s">
        <v>9</v>
      </c>
      <c r="C5" s="175" t="s">
        <v>9</v>
      </c>
      <c r="D5" s="175" t="s">
        <v>9</v>
      </c>
      <c r="E5" s="176" t="s">
        <v>9</v>
      </c>
      <c r="F5" s="177" t="s">
        <v>9</v>
      </c>
      <c r="G5" s="175" t="s">
        <v>9</v>
      </c>
      <c r="I5" s="178"/>
      <c r="J5" s="178"/>
      <c r="K5" s="179"/>
      <c r="O5" s="173"/>
    </row>
    <row r="6" s="165" customFormat="1" ht="23.1" customHeight="1" spans="1:15">
      <c r="A6" s="174" t="s">
        <v>528</v>
      </c>
      <c r="B6" s="180">
        <v>4837.68</v>
      </c>
      <c r="C6" s="11">
        <v>6.2</v>
      </c>
      <c r="D6" s="175" t="s">
        <v>9</v>
      </c>
      <c r="E6" s="180">
        <v>716.8</v>
      </c>
      <c r="F6" s="181">
        <v>-5.3</v>
      </c>
      <c r="G6" s="175" t="s">
        <v>9</v>
      </c>
      <c r="I6" s="178"/>
      <c r="J6" s="182"/>
      <c r="O6" s="183"/>
    </row>
    <row r="7" ht="23.1" customHeight="1" spans="1:15">
      <c r="A7" s="165" t="s">
        <v>529</v>
      </c>
      <c r="B7" s="180" t="e">
        <v>#REF!</v>
      </c>
      <c r="C7" s="11" t="e">
        <v>#REF!</v>
      </c>
      <c r="D7" s="184" t="e">
        <f t="shared" ref="D7:D27" si="0">RANK(C7,$C$7:$C$27,0)</f>
        <v>#REF!</v>
      </c>
      <c r="E7" s="180" t="e">
        <v>#REF!</v>
      </c>
      <c r="F7" s="181" t="e">
        <v>#REF!</v>
      </c>
      <c r="G7" s="175" t="e">
        <f t="shared" ref="G7:G27" si="1">RANK(F7,$F$7:$F$27,0)</f>
        <v>#REF!</v>
      </c>
      <c r="I7" s="185"/>
      <c r="J7" s="186"/>
      <c r="K7" s="187"/>
      <c r="L7" s="188"/>
      <c r="O7" s="189"/>
    </row>
    <row r="8" ht="23.1" customHeight="1" spans="1:15">
      <c r="A8" s="165" t="s">
        <v>530</v>
      </c>
      <c r="B8" s="180" t="e">
        <v>#REF!</v>
      </c>
      <c r="C8" s="11" t="e">
        <v>#REF!</v>
      </c>
      <c r="D8" s="184" t="e">
        <f t="shared" si="0"/>
        <v>#REF!</v>
      </c>
      <c r="E8" s="180" t="e">
        <v>#REF!</v>
      </c>
      <c r="F8" s="181" t="e">
        <v>#REF!</v>
      </c>
      <c r="G8" s="175" t="e">
        <f t="shared" si="1"/>
        <v>#REF!</v>
      </c>
      <c r="I8" s="185"/>
      <c r="J8" s="186"/>
      <c r="K8" s="187"/>
      <c r="L8" s="188"/>
      <c r="O8" s="189"/>
    </row>
    <row r="9" ht="23.1" customHeight="1" spans="1:15">
      <c r="A9" s="165" t="s">
        <v>531</v>
      </c>
      <c r="B9" s="180" t="e">
        <v>#REF!</v>
      </c>
      <c r="C9" s="11" t="e">
        <v>#REF!</v>
      </c>
      <c r="D9" s="184" t="e">
        <f t="shared" si="0"/>
        <v>#REF!</v>
      </c>
      <c r="E9" s="180" t="e">
        <v>#REF!</v>
      </c>
      <c r="F9" s="181" t="e">
        <v>#REF!</v>
      </c>
      <c r="G9" s="175" t="e">
        <f t="shared" si="1"/>
        <v>#REF!</v>
      </c>
      <c r="I9" s="185"/>
      <c r="J9" s="186"/>
      <c r="K9" s="187"/>
      <c r="L9" s="188"/>
      <c r="O9" s="189"/>
    </row>
    <row r="10" ht="23.1" customHeight="1" spans="1:15">
      <c r="A10" s="165" t="s">
        <v>532</v>
      </c>
      <c r="B10" s="180" t="e">
        <v>#REF!</v>
      </c>
      <c r="C10" s="11" t="e">
        <v>#REF!</v>
      </c>
      <c r="D10" s="184" t="e">
        <f t="shared" si="0"/>
        <v>#REF!</v>
      </c>
      <c r="E10" s="180" t="e">
        <v>#REF!</v>
      </c>
      <c r="F10" s="181" t="e">
        <v>#REF!</v>
      </c>
      <c r="G10" s="175" t="e">
        <f t="shared" si="1"/>
        <v>#REF!</v>
      </c>
      <c r="I10" s="185"/>
      <c r="J10" s="186"/>
      <c r="K10" s="187"/>
      <c r="L10" s="188"/>
      <c r="O10" s="189"/>
    </row>
    <row r="11" ht="23.1" customHeight="1" spans="1:15">
      <c r="A11" s="165" t="s">
        <v>533</v>
      </c>
      <c r="B11" s="180" t="e">
        <v>#REF!</v>
      </c>
      <c r="C11" s="11" t="e">
        <v>#REF!</v>
      </c>
      <c r="D11" s="184" t="e">
        <f t="shared" si="0"/>
        <v>#REF!</v>
      </c>
      <c r="E11" s="180" t="e">
        <v>#REF!</v>
      </c>
      <c r="F11" s="181" t="e">
        <v>#REF!</v>
      </c>
      <c r="G11" s="175" t="e">
        <f t="shared" si="1"/>
        <v>#REF!</v>
      </c>
      <c r="I11" s="185"/>
      <c r="J11" s="186"/>
      <c r="K11" s="187"/>
      <c r="L11" s="188"/>
      <c r="O11" s="189"/>
    </row>
    <row r="12" ht="23.1" customHeight="1" spans="1:15">
      <c r="A12" s="165" t="s">
        <v>534</v>
      </c>
      <c r="B12" s="180" t="e">
        <v>#REF!</v>
      </c>
      <c r="C12" s="11" t="e">
        <v>#REF!</v>
      </c>
      <c r="D12" s="184" t="e">
        <f t="shared" si="0"/>
        <v>#REF!</v>
      </c>
      <c r="E12" s="180" t="e">
        <v>#REF!</v>
      </c>
      <c r="F12" s="181" t="e">
        <v>#REF!</v>
      </c>
      <c r="G12" s="175" t="e">
        <f t="shared" si="1"/>
        <v>#REF!</v>
      </c>
      <c r="I12" s="185"/>
      <c r="J12" s="186"/>
      <c r="K12" s="187"/>
      <c r="L12" s="188"/>
      <c r="O12" s="189"/>
    </row>
    <row r="13" ht="23.1" customHeight="1" spans="1:15">
      <c r="A13" s="165" t="s">
        <v>535</v>
      </c>
      <c r="B13" s="180" t="e">
        <v>#REF!</v>
      </c>
      <c r="C13" s="11" t="e">
        <v>#REF!</v>
      </c>
      <c r="D13" s="184" t="e">
        <f t="shared" si="0"/>
        <v>#REF!</v>
      </c>
      <c r="E13" s="180" t="e">
        <v>#REF!</v>
      </c>
      <c r="F13" s="181" t="e">
        <v>#REF!</v>
      </c>
      <c r="G13" s="175" t="e">
        <f t="shared" si="1"/>
        <v>#REF!</v>
      </c>
      <c r="I13" s="185"/>
      <c r="J13" s="186"/>
      <c r="K13" s="187"/>
      <c r="L13" s="188"/>
      <c r="O13" s="189"/>
    </row>
    <row r="14" ht="23.1" customHeight="1" spans="1:15">
      <c r="A14" s="165" t="s">
        <v>536</v>
      </c>
      <c r="B14" s="180" t="e">
        <v>#REF!</v>
      </c>
      <c r="C14" s="11" t="e">
        <v>#REF!</v>
      </c>
      <c r="D14" s="184" t="e">
        <f t="shared" si="0"/>
        <v>#REF!</v>
      </c>
      <c r="E14" s="180" t="e">
        <v>#REF!</v>
      </c>
      <c r="F14" s="181" t="e">
        <v>#REF!</v>
      </c>
      <c r="G14" s="175" t="e">
        <f t="shared" si="1"/>
        <v>#REF!</v>
      </c>
      <c r="I14" s="185"/>
      <c r="J14" s="186"/>
      <c r="K14" s="187"/>
      <c r="L14" s="188"/>
      <c r="O14" s="189"/>
    </row>
    <row r="15" ht="23.1" customHeight="1" spans="1:15">
      <c r="A15" s="165" t="s">
        <v>537</v>
      </c>
      <c r="B15" s="180" t="e">
        <v>#REF!</v>
      </c>
      <c r="C15" s="11">
        <v>-1.2</v>
      </c>
      <c r="D15" s="184" t="e">
        <f t="shared" si="0"/>
        <v>#REF!</v>
      </c>
      <c r="E15" s="180" t="e">
        <v>#REF!</v>
      </c>
      <c r="F15" s="181" t="e">
        <v>#REF!</v>
      </c>
      <c r="G15" s="175" t="e">
        <f t="shared" si="1"/>
        <v>#REF!</v>
      </c>
      <c r="I15" s="185"/>
      <c r="J15" s="186"/>
      <c r="K15" s="187"/>
      <c r="L15" s="188"/>
      <c r="O15" s="189"/>
    </row>
    <row r="16" ht="23.1" customHeight="1" spans="1:15">
      <c r="A16" s="165" t="s">
        <v>538</v>
      </c>
      <c r="B16" s="180" t="e">
        <v>#REF!</v>
      </c>
      <c r="C16" s="11" t="e">
        <v>#REF!</v>
      </c>
      <c r="D16" s="184" t="e">
        <f t="shared" si="0"/>
        <v>#REF!</v>
      </c>
      <c r="E16" s="180" t="e">
        <v>#REF!</v>
      </c>
      <c r="F16" s="181" t="e">
        <v>#REF!</v>
      </c>
      <c r="G16" s="175" t="e">
        <f t="shared" si="1"/>
        <v>#REF!</v>
      </c>
      <c r="I16" s="185"/>
      <c r="J16" s="186"/>
      <c r="K16" s="187"/>
      <c r="L16" s="188"/>
      <c r="O16" s="189"/>
    </row>
    <row r="17" ht="23.1" customHeight="1" spans="1:15">
      <c r="A17" s="165" t="s">
        <v>539</v>
      </c>
      <c r="B17" s="180" t="e">
        <v>#REF!</v>
      </c>
      <c r="C17" s="11" t="e">
        <v>#REF!</v>
      </c>
      <c r="D17" s="184" t="e">
        <f t="shared" si="0"/>
        <v>#REF!</v>
      </c>
      <c r="E17" s="180" t="e">
        <v>#REF!</v>
      </c>
      <c r="F17" s="181" t="e">
        <v>#REF!</v>
      </c>
      <c r="G17" s="175" t="e">
        <f t="shared" si="1"/>
        <v>#REF!</v>
      </c>
      <c r="I17" s="185"/>
      <c r="J17" s="186"/>
      <c r="K17" s="187"/>
      <c r="L17" s="188"/>
      <c r="O17" s="189"/>
    </row>
    <row r="18" ht="23.1" customHeight="1" spans="1:15">
      <c r="A18" s="165" t="s">
        <v>540</v>
      </c>
      <c r="B18" s="180" t="e">
        <v>#REF!</v>
      </c>
      <c r="C18" s="11" t="e">
        <v>#REF!</v>
      </c>
      <c r="D18" s="184" t="e">
        <f t="shared" si="0"/>
        <v>#REF!</v>
      </c>
      <c r="E18" s="180" t="e">
        <v>#REF!</v>
      </c>
      <c r="F18" s="181" t="e">
        <v>#REF!</v>
      </c>
      <c r="G18" s="175" t="e">
        <f t="shared" si="1"/>
        <v>#REF!</v>
      </c>
      <c r="I18" s="185"/>
      <c r="J18" s="186"/>
      <c r="K18" s="187"/>
      <c r="L18" s="188"/>
      <c r="O18" s="189"/>
    </row>
    <row r="19" ht="23.1" customHeight="1" spans="1:15">
      <c r="A19" s="165" t="s">
        <v>541</v>
      </c>
      <c r="B19" s="180" t="e">
        <v>#REF!</v>
      </c>
      <c r="C19" s="11" t="e">
        <v>#REF!</v>
      </c>
      <c r="D19" s="184" t="e">
        <f t="shared" si="0"/>
        <v>#REF!</v>
      </c>
      <c r="E19" s="180" t="e">
        <v>#REF!</v>
      </c>
      <c r="F19" s="181" t="e">
        <v>#REF!</v>
      </c>
      <c r="G19" s="175" t="e">
        <f t="shared" si="1"/>
        <v>#REF!</v>
      </c>
      <c r="I19" s="185"/>
      <c r="J19" s="186"/>
      <c r="K19" s="187"/>
      <c r="L19" s="188"/>
      <c r="O19" s="189"/>
    </row>
    <row r="20" ht="23.1" customHeight="1" spans="1:15">
      <c r="A20" s="165" t="s">
        <v>542</v>
      </c>
      <c r="B20" s="180" t="e">
        <v>#REF!</v>
      </c>
      <c r="C20" s="11" t="e">
        <v>#REF!</v>
      </c>
      <c r="D20" s="184" t="e">
        <f t="shared" si="0"/>
        <v>#REF!</v>
      </c>
      <c r="E20" s="180" t="e">
        <v>#REF!</v>
      </c>
      <c r="F20" s="181" t="e">
        <v>#REF!</v>
      </c>
      <c r="G20" s="175" t="e">
        <f t="shared" si="1"/>
        <v>#REF!</v>
      </c>
      <c r="I20" s="185"/>
      <c r="J20" s="186"/>
      <c r="K20" s="187"/>
      <c r="L20" s="188"/>
      <c r="O20" s="189"/>
    </row>
    <row r="21" ht="23.1" customHeight="1" spans="1:15">
      <c r="A21" s="165" t="s">
        <v>543</v>
      </c>
      <c r="B21" s="180" t="e">
        <v>#REF!</v>
      </c>
      <c r="C21" s="11" t="e">
        <v>#REF!</v>
      </c>
      <c r="D21" s="184" t="e">
        <f t="shared" si="0"/>
        <v>#REF!</v>
      </c>
      <c r="E21" s="180" t="e">
        <v>#REF!</v>
      </c>
      <c r="F21" s="181" t="e">
        <v>#REF!</v>
      </c>
      <c r="G21" s="175" t="e">
        <f t="shared" si="1"/>
        <v>#REF!</v>
      </c>
      <c r="I21" s="185"/>
      <c r="J21" s="186"/>
      <c r="K21" s="187"/>
      <c r="L21" s="188"/>
      <c r="O21" s="189"/>
    </row>
    <row r="22" ht="23.1" customHeight="1" spans="1:15">
      <c r="A22" s="165" t="s">
        <v>544</v>
      </c>
      <c r="B22" s="180" t="e">
        <v>#REF!</v>
      </c>
      <c r="C22" s="11" t="e">
        <v>#REF!</v>
      </c>
      <c r="D22" s="184" t="e">
        <f t="shared" si="0"/>
        <v>#REF!</v>
      </c>
      <c r="E22" s="180" t="e">
        <v>#REF!</v>
      </c>
      <c r="F22" s="181" t="e">
        <v>#REF!</v>
      </c>
      <c r="G22" s="175" t="e">
        <f t="shared" si="1"/>
        <v>#REF!</v>
      </c>
      <c r="I22" s="185"/>
      <c r="J22" s="186"/>
      <c r="K22" s="187"/>
      <c r="L22" s="188"/>
      <c r="O22" s="189"/>
    </row>
    <row r="23" ht="23.1" customHeight="1" spans="1:15">
      <c r="A23" s="165" t="s">
        <v>545</v>
      </c>
      <c r="B23" s="180" t="e">
        <v>#REF!</v>
      </c>
      <c r="C23" s="11" t="e">
        <v>#REF!</v>
      </c>
      <c r="D23" s="184" t="e">
        <f t="shared" si="0"/>
        <v>#REF!</v>
      </c>
      <c r="E23" s="180" t="e">
        <v>#REF!</v>
      </c>
      <c r="F23" s="181" t="e">
        <v>#REF!</v>
      </c>
      <c r="G23" s="175" t="e">
        <f t="shared" si="1"/>
        <v>#REF!</v>
      </c>
      <c r="I23" s="185"/>
      <c r="J23" s="186"/>
      <c r="K23" s="187"/>
      <c r="L23" s="188"/>
      <c r="O23" s="189"/>
    </row>
    <row r="24" ht="23.1" customHeight="1" spans="1:15">
      <c r="A24" s="165" t="s">
        <v>546</v>
      </c>
      <c r="B24" s="180" t="e">
        <v>#REF!</v>
      </c>
      <c r="C24" s="11" t="e">
        <v>#REF!</v>
      </c>
      <c r="D24" s="184" t="e">
        <f t="shared" si="0"/>
        <v>#REF!</v>
      </c>
      <c r="E24" s="180" t="e">
        <v>#REF!</v>
      </c>
      <c r="F24" s="181" t="e">
        <v>#REF!</v>
      </c>
      <c r="G24" s="175" t="e">
        <f t="shared" si="1"/>
        <v>#REF!</v>
      </c>
      <c r="I24" s="185"/>
      <c r="J24" s="186"/>
      <c r="K24" s="187"/>
      <c r="L24" s="188"/>
      <c r="O24" s="189"/>
    </row>
    <row r="25" ht="23.1" customHeight="1" spans="1:15">
      <c r="A25" s="165" t="s">
        <v>547</v>
      </c>
      <c r="B25" s="180" t="e">
        <v>#REF!</v>
      </c>
      <c r="C25" s="11" t="e">
        <v>#REF!</v>
      </c>
      <c r="D25" s="184" t="e">
        <f t="shared" si="0"/>
        <v>#REF!</v>
      </c>
      <c r="E25" s="180" t="e">
        <v>#REF!</v>
      </c>
      <c r="F25" s="181" t="e">
        <v>#REF!</v>
      </c>
      <c r="G25" s="175" t="e">
        <f t="shared" si="1"/>
        <v>#REF!</v>
      </c>
      <c r="I25" s="185"/>
      <c r="J25" s="186"/>
      <c r="K25" s="187"/>
      <c r="L25" s="188"/>
      <c r="O25" s="189"/>
    </row>
    <row r="26" ht="23.1" customHeight="1" spans="1:15">
      <c r="A26" s="165" t="s">
        <v>548</v>
      </c>
      <c r="B26" s="180" t="e">
        <v>#REF!</v>
      </c>
      <c r="C26" s="11" t="e">
        <v>#REF!</v>
      </c>
      <c r="D26" s="184" t="e">
        <f t="shared" si="0"/>
        <v>#REF!</v>
      </c>
      <c r="E26" s="180" t="e">
        <v>#REF!</v>
      </c>
      <c r="F26" s="181" t="e">
        <v>#REF!</v>
      </c>
      <c r="G26" s="175" t="e">
        <f t="shared" si="1"/>
        <v>#REF!</v>
      </c>
      <c r="I26" s="185"/>
      <c r="J26" s="186"/>
      <c r="K26" s="187"/>
      <c r="L26" s="188"/>
      <c r="O26" s="189"/>
    </row>
    <row r="27" s="166" customFormat="1" ht="23.1" customHeight="1" spans="1:15">
      <c r="A27" s="190" t="s">
        <v>549</v>
      </c>
      <c r="B27" s="191" t="e">
        <v>#REF!</v>
      </c>
      <c r="C27" s="192" t="e">
        <v>#REF!</v>
      </c>
      <c r="D27" s="193" t="e">
        <f t="shared" si="0"/>
        <v>#REF!</v>
      </c>
      <c r="E27" s="191" t="e">
        <v>#REF!</v>
      </c>
      <c r="F27" s="194" t="e">
        <v>#REF!</v>
      </c>
      <c r="G27" s="195" t="e">
        <f t="shared" si="1"/>
        <v>#REF!</v>
      </c>
      <c r="H27" s="196"/>
      <c r="I27" s="185"/>
      <c r="J27" s="186"/>
      <c r="K27" s="187"/>
      <c r="L27" s="196"/>
      <c r="M27" s="196"/>
      <c r="N27" s="196"/>
      <c r="O27" s="183"/>
    </row>
  </sheetData>
  <mergeCells count="5">
    <mergeCell ref="A1:F1"/>
    <mergeCell ref="A2:G2"/>
    <mergeCell ref="B3:D3"/>
    <mergeCell ref="E3:G3"/>
    <mergeCell ref="A3:A4"/>
  </mergeCells>
  <pageMargins left="0.75" right="0.75" top="1" bottom="1" header="0.509027777777778" footer="0.509027777777778"/>
  <headerFooter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IV31"/>
  <sheetViews>
    <sheetView topLeftCell="A4" workbookViewId="0">
      <selection activeCell="G31" sqref="G31"/>
    </sheetView>
  </sheetViews>
  <sheetFormatPr defaultColWidth="9" defaultRowHeight="14.25"/>
  <cols>
    <col min="1" max="1" width="14.375" style="45" customWidth="1"/>
    <col min="2" max="2" width="26.875" customWidth="1"/>
    <col min="3" max="3" width="18.875" customWidth="1"/>
    <col min="4" max="4" width="0.5" hidden="1" customWidth="1"/>
    <col min="5" max="6" width="9" hidden="1" customWidth="1"/>
  </cols>
  <sheetData>
    <row r="1" ht="33.75" customHeight="1" spans="1:7">
      <c r="A1" s="3" t="s">
        <v>550</v>
      </c>
      <c r="B1" s="3"/>
      <c r="C1" s="3"/>
      <c r="D1" s="3"/>
      <c r="E1" s="3"/>
      <c r="F1" s="3"/>
      <c r="G1" s="46"/>
    </row>
    <row r="2" ht="20.25" customHeight="1" spans="1:7">
      <c r="A2" s="148"/>
      <c r="B2" s="148"/>
      <c r="C2" s="62" t="s">
        <v>551</v>
      </c>
      <c r="D2" s="62"/>
      <c r="E2" s="62"/>
      <c r="F2" s="62"/>
      <c r="G2" s="46"/>
    </row>
    <row r="3" s="44" customFormat="1" ht="31.5" customHeight="1" spans="1:7">
      <c r="A3" t="s">
        <v>552</v>
      </c>
      <c r="B3" t="s">
        <v>11</v>
      </c>
      <c r="C3"/>
      <c r="D3" s="149"/>
      <c r="E3" s="150"/>
      <c r="F3" s="151"/>
      <c r="G3" s="52"/>
    </row>
    <row r="4" s="44" customFormat="1" ht="31.5" customHeight="1" spans="1:7">
      <c r="A4"/>
      <c r="B4" s="7" t="s">
        <v>553</v>
      </c>
      <c r="C4" s="8" t="s">
        <v>554</v>
      </c>
      <c r="D4" s="152"/>
      <c r="E4" s="153"/>
      <c r="F4" s="154"/>
      <c r="G4" s="52"/>
    </row>
    <row r="5" ht="18" customHeight="1" spans="1:7">
      <c r="A5" s="155">
        <v>2016</v>
      </c>
      <c r="B5" s="156"/>
      <c r="C5" s="82"/>
      <c r="D5" s="157"/>
      <c r="E5" s="157"/>
      <c r="F5" s="157"/>
    </row>
    <row r="6" ht="18" customHeight="1" spans="1:7">
      <c r="A6" s="155">
        <v>6</v>
      </c>
      <c r="B6" s="156">
        <f>ROUND(3143799,0)</f>
        <v>3143799</v>
      </c>
      <c r="C6" s="158">
        <f>ROUND(10.5,1)</f>
        <v>10.5</v>
      </c>
      <c r="D6" s="157"/>
      <c r="E6" s="157"/>
      <c r="F6" s="157"/>
    </row>
    <row r="7" ht="18" customHeight="1" spans="1:7">
      <c r="A7" s="155">
        <v>7</v>
      </c>
      <c r="B7" s="156">
        <f>ROUND(3788981,0)</f>
        <v>3788981</v>
      </c>
      <c r="C7" s="159">
        <f>ROUND(10.6,1)</f>
        <v>10.6</v>
      </c>
      <c r="D7" s="157"/>
      <c r="E7" s="157"/>
      <c r="F7" s="157"/>
    </row>
    <row r="8" ht="18" customHeight="1" spans="1:7">
      <c r="A8" s="155">
        <v>8</v>
      </c>
      <c r="B8" s="156">
        <f>ROUND(4431853,0)</f>
        <v>4431853</v>
      </c>
      <c r="C8" s="159">
        <f>ROUND(10.6,1)</f>
        <v>10.6</v>
      </c>
      <c r="D8" s="157"/>
      <c r="E8" s="157"/>
      <c r="F8" s="157"/>
    </row>
    <row r="9" ht="18" customHeight="1" spans="1:7">
      <c r="A9" s="155">
        <v>9</v>
      </c>
      <c r="B9" s="156">
        <f>ROUND(5129609,0)</f>
        <v>5129609</v>
      </c>
      <c r="C9" s="159">
        <f>ROUND(11,1)</f>
        <v>11</v>
      </c>
      <c r="D9" s="157"/>
      <c r="E9" s="157"/>
      <c r="F9" s="157"/>
    </row>
    <row r="10" ht="18" customHeight="1" spans="1:7">
      <c r="A10" s="155">
        <v>10</v>
      </c>
      <c r="B10" s="156">
        <f>ROUND(5824115,0)</f>
        <v>5824115</v>
      </c>
      <c r="C10" s="159">
        <f>ROUND(11.5,1)</f>
        <v>11.5</v>
      </c>
      <c r="D10" s="157"/>
      <c r="E10" s="157"/>
      <c r="F10" s="157"/>
    </row>
    <row r="11" spans="1:7">
      <c r="A11" s="155">
        <v>11</v>
      </c>
      <c r="B11" s="156">
        <f>ROUND(6614788,0)</f>
        <v>6614788</v>
      </c>
      <c r="C11" s="159">
        <f>ROUND(11.7,1)</f>
        <v>11.7</v>
      </c>
    </row>
    <row r="12" spans="1:7">
      <c r="A12" s="160">
        <v>12</v>
      </c>
      <c r="B12" s="42">
        <f>ROUND(7665202,0)</f>
        <v>7665202</v>
      </c>
      <c r="C12" s="21">
        <f>ROUND(11.5,1)</f>
        <v>11.5</v>
      </c>
    </row>
    <row r="13" ht="18" customHeight="1" spans="1:7">
      <c r="A13" s="155">
        <v>2017</v>
      </c>
      <c r="B13" s="156"/>
      <c r="C13" s="158"/>
      <c r="D13" s="157"/>
      <c r="E13" s="157"/>
      <c r="F13" s="157"/>
    </row>
    <row r="14" spans="1:7">
      <c r="A14" s="155">
        <v>2</v>
      </c>
      <c r="B14" s="16">
        <f>ROUND(1142507,0)</f>
        <v>1142507</v>
      </c>
      <c r="C14" s="161">
        <f>ROUND(7.5,1)</f>
        <v>7.5</v>
      </c>
    </row>
    <row r="15" spans="1:7">
      <c r="A15" s="15">
        <v>3</v>
      </c>
      <c r="B15" s="16">
        <f>ROUND(1799926,0)</f>
        <v>1799926</v>
      </c>
      <c r="C15" s="21">
        <f>ROUND(7.7,1)</f>
        <v>7.7</v>
      </c>
    </row>
    <row r="16" spans="1:7">
      <c r="A16" s="15">
        <v>4</v>
      </c>
      <c r="B16" s="16">
        <f>ROUND(2404934,0)</f>
        <v>2404934</v>
      </c>
      <c r="C16" s="21">
        <f>ROUND(8.1,1)</f>
        <v>8.1</v>
      </c>
    </row>
    <row r="17" spans="1:256">
      <c r="A17" s="15">
        <v>5</v>
      </c>
      <c r="B17" s="16">
        <f>ROUND(3144236,0)</f>
        <v>3144236</v>
      </c>
      <c r="C17" s="21">
        <f>ROUND(7.5,1)</f>
        <v>7.5</v>
      </c>
    </row>
    <row r="18" spans="1:256">
      <c r="A18" s="15">
        <v>6</v>
      </c>
      <c r="B18" s="16">
        <f>ROUND(4030867,0)</f>
        <v>4030867</v>
      </c>
      <c r="C18" s="21">
        <f>ROUND(8.5,)</f>
        <v>9</v>
      </c>
    </row>
    <row r="19" spans="1:256">
      <c r="A19" s="15">
        <v>7</v>
      </c>
      <c r="B19" s="156">
        <f>ROUND(4819573,0)</f>
        <v>4819573</v>
      </c>
      <c r="C19" s="158">
        <f>ROUND(8.8,1)</f>
        <v>8.8</v>
      </c>
    </row>
    <row r="20" spans="1:256">
      <c r="A20" s="162">
        <v>8</v>
      </c>
      <c r="B20" s="42">
        <f>ROUND(5627416,0)</f>
        <v>5627416</v>
      </c>
      <c r="C20" s="21">
        <f>ROUND(9.1,1)</f>
        <v>9.1</v>
      </c>
    </row>
    <row r="21" spans="1:256">
      <c r="A21" s="162">
        <v>9</v>
      </c>
      <c r="B21" s="42">
        <f>ROUND(6503597,0)</f>
        <v>6503597</v>
      </c>
      <c r="C21" s="158">
        <f>ROUND(9.6,1)</f>
        <v>9.6</v>
      </c>
    </row>
    <row r="22" spans="1:256">
      <c r="A22" s="162">
        <v>10</v>
      </c>
      <c r="B22" s="42">
        <f>ROUND(7316245,0)</f>
        <v>7316245</v>
      </c>
      <c r="C22" s="21">
        <f>ROUND(9.3,1)</f>
        <v>9.3</v>
      </c>
    </row>
    <row r="23" spans="1:256">
      <c r="A23" s="163">
        <v>11</v>
      </c>
      <c r="B23" s="16">
        <f>ROUND(8208997,0)</f>
        <v>8208997</v>
      </c>
      <c r="C23" s="21">
        <f>ROUND(9.1,1)</f>
        <v>9.1</v>
      </c>
    </row>
    <row r="24" spans="1:256">
      <c r="A24" s="163">
        <v>12</v>
      </c>
      <c r="B24" s="16">
        <f>ROUND(8357945,0)</f>
        <v>8357945</v>
      </c>
      <c r="C24" s="21">
        <f>ROUND(8.5,1)</f>
        <v>8.5</v>
      </c>
    </row>
    <row r="25" spans="1:256">
      <c r="A25" s="15">
        <v>2018</v>
      </c>
      <c r="B25" s="16"/>
      <c r="C25" s="21"/>
    </row>
    <row r="26" spans="1:256">
      <c r="A26" s="15">
        <v>2</v>
      </c>
      <c r="B26" s="16">
        <f>ROUND(1129112,0)</f>
        <v>1129112</v>
      </c>
      <c r="C26" s="21">
        <f>ROUND(0.2,1)</f>
        <v>0.2</v>
      </c>
    </row>
    <row r="27" spans="1:256">
      <c r="A27" s="15">
        <v>3</v>
      </c>
      <c r="B27" s="16">
        <f>ROUND(1788963,0)</f>
        <v>1788963</v>
      </c>
      <c r="C27" s="21">
        <f>ROUND(2.9,1)</f>
        <v>2.9</v>
      </c>
    </row>
    <row r="28" spans="1:256">
      <c r="A28" s="15">
        <v>4</v>
      </c>
      <c r="B28" s="42">
        <f>ROUND(2439875,0)</f>
        <v>2439875</v>
      </c>
      <c r="C28" s="21">
        <f>ROUND(3.8,1)</f>
        <v>3.8</v>
      </c>
    </row>
    <row r="29" spans="1:256">
      <c r="A29" s="15">
        <v>5</v>
      </c>
      <c r="B29" s="42">
        <v>3086749</v>
      </c>
      <c r="C29" s="21">
        <v>4.1</v>
      </c>
    </row>
    <row r="30" spans="1:256">
      <c r="A30" s="22">
        <v>6</v>
      </c>
      <c r="B30" s="43">
        <v>3845140</v>
      </c>
      <c r="C30" s="24">
        <v>4.7</v>
      </c>
    </row>
    <row r="31" spans="1:256"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162"/>
      <c r="U31" s="162"/>
      <c r="V31" s="162"/>
      <c r="W31" s="162"/>
      <c r="X31" s="162"/>
      <c r="Y31" s="162"/>
      <c r="Z31" s="162"/>
      <c r="AA31" s="162"/>
      <c r="AB31" s="162"/>
      <c r="AC31" s="162"/>
      <c r="AD31" s="162"/>
      <c r="AE31" s="162"/>
      <c r="AF31" s="162"/>
      <c r="AG31" s="162"/>
      <c r="AH31" s="162"/>
      <c r="AI31" s="162"/>
      <c r="AJ31" s="162"/>
      <c r="AK31" s="162"/>
      <c r="AL31" s="162"/>
      <c r="AM31" s="162"/>
      <c r="AN31" s="162"/>
      <c r="AO31" s="162"/>
      <c r="AP31" s="162"/>
      <c r="AQ31" s="162"/>
      <c r="AR31" s="162"/>
      <c r="AS31" s="162"/>
      <c r="AT31" s="162"/>
      <c r="AU31" s="162"/>
      <c r="AV31" s="162"/>
      <c r="AW31" s="162"/>
      <c r="AX31" s="162"/>
      <c r="AY31" s="162"/>
      <c r="AZ31" s="162"/>
      <c r="BA31" s="162"/>
      <c r="BB31" s="162"/>
      <c r="BC31" s="162"/>
      <c r="BD31" s="162"/>
      <c r="BE31" s="162"/>
      <c r="BF31" s="162"/>
      <c r="BG31" s="162"/>
      <c r="BH31" s="162"/>
      <c r="BI31" s="162"/>
      <c r="BJ31" s="162"/>
      <c r="BK31" s="162"/>
      <c r="BL31" s="162"/>
      <c r="BM31" s="162"/>
      <c r="BN31" s="162"/>
      <c r="BO31" s="162"/>
      <c r="BP31" s="162"/>
      <c r="BQ31" s="162"/>
      <c r="BR31" s="162"/>
      <c r="BS31" s="162"/>
      <c r="BT31" s="162"/>
      <c r="BU31" s="162"/>
      <c r="BV31" s="162"/>
      <c r="BW31" s="162"/>
      <c r="BX31" s="162"/>
      <c r="BY31" s="162"/>
      <c r="BZ31" s="162"/>
      <c r="CA31" s="162"/>
      <c r="CB31" s="162"/>
      <c r="CC31" s="162"/>
      <c r="CD31" s="162"/>
      <c r="CE31" s="162"/>
      <c r="CF31" s="162"/>
      <c r="CG31" s="162"/>
      <c r="CH31" s="162"/>
      <c r="CI31" s="162"/>
      <c r="CJ31" s="162"/>
      <c r="CK31" s="162"/>
      <c r="CL31" s="162"/>
      <c r="CM31" s="162"/>
      <c r="CN31" s="162"/>
      <c r="CO31" s="162"/>
      <c r="CP31" s="162"/>
      <c r="CQ31" s="162"/>
      <c r="CR31" s="162"/>
      <c r="CS31" s="162"/>
      <c r="CT31" s="162"/>
      <c r="CU31" s="162"/>
      <c r="CV31" s="162"/>
      <c r="CW31" s="162"/>
      <c r="CX31" s="162"/>
      <c r="CY31" s="162"/>
      <c r="CZ31" s="162"/>
      <c r="DA31" s="162"/>
      <c r="DB31" s="162"/>
      <c r="DC31" s="162"/>
      <c r="DD31" s="162"/>
      <c r="DE31" s="162"/>
      <c r="DF31" s="162"/>
      <c r="DG31" s="162"/>
      <c r="DH31" s="162"/>
      <c r="DI31" s="162"/>
      <c r="DJ31" s="162"/>
      <c r="DK31" s="162"/>
      <c r="DL31" s="162"/>
      <c r="DM31" s="162"/>
      <c r="DN31" s="162"/>
      <c r="DO31" s="162"/>
      <c r="DP31" s="162"/>
      <c r="DQ31" s="162"/>
      <c r="DR31" s="162"/>
      <c r="DS31" s="162"/>
      <c r="DT31" s="162"/>
      <c r="DU31" s="162"/>
      <c r="DV31" s="162"/>
      <c r="DW31" s="162"/>
      <c r="DX31" s="162"/>
      <c r="DY31" s="162"/>
      <c r="DZ31" s="162"/>
      <c r="EA31" s="162"/>
      <c r="EB31" s="162"/>
      <c r="EC31" s="162"/>
      <c r="ED31" s="162"/>
      <c r="EE31" s="162"/>
      <c r="EF31" s="162"/>
      <c r="EG31" s="162"/>
      <c r="EH31" s="162"/>
      <c r="EI31" s="162"/>
      <c r="EJ31" s="162"/>
      <c r="EK31" s="162"/>
      <c r="EL31" s="162"/>
      <c r="EM31" s="162"/>
      <c r="EN31" s="162"/>
      <c r="EO31" s="162"/>
      <c r="EP31" s="162"/>
      <c r="EQ31" s="162"/>
      <c r="ER31" s="162"/>
      <c r="ES31" s="162"/>
      <c r="ET31" s="162"/>
      <c r="EU31" s="162"/>
      <c r="EV31" s="162"/>
      <c r="EW31" s="162"/>
      <c r="EX31" s="162"/>
      <c r="EY31" s="162"/>
      <c r="EZ31" s="162"/>
      <c r="FA31" s="162"/>
      <c r="FB31" s="162"/>
      <c r="FC31" s="162"/>
      <c r="FD31" s="162"/>
      <c r="FE31" s="162"/>
      <c r="FF31" s="162"/>
      <c r="FG31" s="162"/>
      <c r="FH31" s="162"/>
      <c r="FI31" s="162"/>
      <c r="FJ31" s="162"/>
      <c r="FK31" s="162"/>
      <c r="FL31" s="162"/>
      <c r="FM31" s="162"/>
      <c r="FN31" s="162"/>
      <c r="FO31" s="162"/>
      <c r="FP31" s="162"/>
      <c r="FQ31" s="162"/>
      <c r="FR31" s="162"/>
      <c r="FS31" s="162"/>
      <c r="FT31" s="162"/>
      <c r="FU31" s="162"/>
      <c r="FV31" s="162"/>
      <c r="FW31" s="162"/>
      <c r="FX31" s="162"/>
      <c r="FY31" s="162"/>
      <c r="FZ31" s="162"/>
      <c r="GA31" s="162"/>
      <c r="GB31" s="162"/>
      <c r="GC31" s="162"/>
      <c r="GD31" s="162"/>
      <c r="GE31" s="162"/>
      <c r="GF31" s="162"/>
      <c r="GG31" s="162"/>
      <c r="GH31" s="162"/>
      <c r="GI31" s="162"/>
      <c r="GJ31" s="162"/>
      <c r="GK31" s="162"/>
      <c r="GL31" s="162"/>
      <c r="GM31" s="162"/>
      <c r="GN31" s="162"/>
      <c r="GO31" s="162"/>
      <c r="GP31" s="162"/>
      <c r="GQ31" s="162"/>
      <c r="GR31" s="162"/>
      <c r="GS31" s="162"/>
      <c r="GT31" s="162"/>
      <c r="GU31" s="162"/>
      <c r="GV31" s="162"/>
      <c r="GW31" s="162"/>
      <c r="GX31" s="162"/>
      <c r="GY31" s="162"/>
      <c r="GZ31" s="162"/>
      <c r="HA31" s="162"/>
      <c r="HB31" s="162"/>
      <c r="HC31" s="162"/>
      <c r="HD31" s="162"/>
      <c r="HE31" s="162"/>
      <c r="HF31" s="162"/>
      <c r="HG31" s="162"/>
      <c r="HH31" s="162"/>
      <c r="HI31" s="162"/>
      <c r="HJ31" s="162"/>
      <c r="HK31" s="162"/>
      <c r="HL31" s="162"/>
      <c r="HM31" s="162"/>
      <c r="HN31" s="162"/>
      <c r="HO31" s="162"/>
      <c r="HP31" s="162"/>
      <c r="HQ31" s="162"/>
      <c r="HR31" s="162"/>
      <c r="HS31" s="162"/>
      <c r="HT31" s="162"/>
      <c r="HU31" s="162"/>
      <c r="HV31" s="162"/>
      <c r="HW31" s="162"/>
      <c r="HX31" s="162"/>
      <c r="HY31" s="162"/>
      <c r="HZ31" s="162"/>
      <c r="IA31" s="162"/>
      <c r="IB31" s="162"/>
      <c r="IC31" s="162"/>
      <c r="ID31" s="162"/>
      <c r="IE31" s="162"/>
      <c r="IF31" s="162"/>
      <c r="IG31" s="162"/>
      <c r="IH31" s="162"/>
      <c r="II31" s="162"/>
      <c r="IJ31" s="162"/>
      <c r="IK31" s="162"/>
      <c r="IL31" s="162"/>
      <c r="IM31" s="162"/>
      <c r="IN31" s="162"/>
      <c r="IO31" s="162"/>
      <c r="IP31" s="162"/>
      <c r="IQ31" s="162"/>
      <c r="IR31" s="162"/>
      <c r="IS31" s="162"/>
      <c r="IT31" s="162"/>
      <c r="IU31" s="162"/>
      <c r="IV31" s="162"/>
    </row>
  </sheetData>
  <mergeCells count="4">
    <mergeCell ref="A1:F1"/>
    <mergeCell ref="C2:F2"/>
    <mergeCell ref="B3:C3"/>
    <mergeCell ref="A3:A4"/>
  </mergeCells>
  <pageMargins left="0.75" right="0.75" top="1" bottom="1" header="0.5" footer="0.5"/>
  <pageSetup paperSize="9" orientation="portrait"/>
  <headerFooter alignWithMargins="0" scaleWithDoc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31"/>
  <sheetViews>
    <sheetView workbookViewId="0">
      <selection activeCell="G17" sqref="G17"/>
    </sheetView>
  </sheetViews>
  <sheetFormatPr defaultColWidth="9" defaultRowHeight="14.25" outlineLevelCol="4"/>
  <cols>
    <col min="2" max="2" width="12.375" customWidth="1"/>
    <col min="3" max="3" width="10.375" customWidth="1"/>
    <col min="4" max="4" width="14.125" customWidth="1"/>
    <col min="5" max="5" width="10.125" customWidth="1"/>
  </cols>
  <sheetData>
    <row r="1" ht="27" customHeight="1" spans="1:5">
      <c r="A1" s="86" t="s">
        <v>11</v>
      </c>
      <c r="B1" s="86"/>
      <c r="C1" s="86"/>
      <c r="D1" s="86"/>
      <c r="E1" s="86"/>
    </row>
    <row r="2" ht="15" spans="1:5">
      <c r="A2" s="88"/>
      <c r="B2" s="88"/>
      <c r="C2" s="88"/>
      <c r="D2" s="88"/>
      <c r="E2" s="90" t="s">
        <v>39</v>
      </c>
    </row>
    <row r="3" ht="18" customHeight="1" spans="1:5">
      <c r="A3" s="91" t="s">
        <v>555</v>
      </c>
      <c r="B3" s="92" t="s">
        <v>556</v>
      </c>
      <c r="C3" s="92"/>
      <c r="D3" s="92" t="s">
        <v>557</v>
      </c>
      <c r="E3" s="142"/>
    </row>
    <row r="4" ht="18" customHeight="1" spans="1:5">
      <c r="A4" s="95"/>
      <c r="B4" s="96" t="s">
        <v>558</v>
      </c>
      <c r="C4" s="96" t="s">
        <v>42</v>
      </c>
      <c r="D4" s="96" t="s">
        <v>558</v>
      </c>
      <c r="E4" s="143" t="s">
        <v>42</v>
      </c>
    </row>
    <row r="5" spans="1:5">
      <c r="A5" s="99" t="s">
        <v>559</v>
      </c>
      <c r="B5" s="100"/>
      <c r="C5" s="100"/>
      <c r="D5" s="100"/>
      <c r="E5" s="144"/>
    </row>
    <row r="6" spans="1:5">
      <c r="A6" s="99" t="s">
        <v>560</v>
      </c>
      <c r="B6" s="103">
        <v>88.0656</v>
      </c>
      <c r="C6" s="145">
        <v>5.8</v>
      </c>
      <c r="D6" s="103">
        <v>114.2507</v>
      </c>
      <c r="E6" s="146">
        <v>7.5</v>
      </c>
    </row>
    <row r="7" spans="1:5">
      <c r="A7" s="99" t="s">
        <v>81</v>
      </c>
      <c r="B7" s="103">
        <v>139.582</v>
      </c>
      <c r="C7" s="145">
        <v>8.8</v>
      </c>
      <c r="D7" s="103">
        <v>179.9926</v>
      </c>
      <c r="E7" s="146">
        <v>7.7</v>
      </c>
    </row>
    <row r="8" spans="1:5">
      <c r="A8" s="99" t="s">
        <v>561</v>
      </c>
      <c r="B8" s="103">
        <v>185.228</v>
      </c>
      <c r="C8" s="145">
        <v>9.4</v>
      </c>
      <c r="D8" s="103">
        <v>240.4934</v>
      </c>
      <c r="E8" s="146">
        <v>8.1</v>
      </c>
    </row>
    <row r="9" spans="1:5">
      <c r="A9" s="99" t="s">
        <v>562</v>
      </c>
      <c r="B9" s="103">
        <v>242.3485</v>
      </c>
      <c r="C9" s="145">
        <v>10.2</v>
      </c>
      <c r="D9" s="103">
        <v>314.4236</v>
      </c>
      <c r="E9" s="146">
        <v>7.5</v>
      </c>
    </row>
    <row r="10" spans="1:5">
      <c r="A10" s="99" t="s">
        <v>563</v>
      </c>
      <c r="B10" s="106">
        <v>314.3799</v>
      </c>
      <c r="C10" s="145">
        <v>10.5</v>
      </c>
      <c r="D10" s="107">
        <v>403.0867</v>
      </c>
      <c r="E10" s="108">
        <v>9</v>
      </c>
    </row>
    <row r="11" spans="1:5">
      <c r="A11" s="99" t="s">
        <v>564</v>
      </c>
      <c r="B11" s="106">
        <v>378.8981</v>
      </c>
      <c r="C11" s="145">
        <v>10.6</v>
      </c>
      <c r="D11" s="107">
        <v>481.9573</v>
      </c>
      <c r="E11" s="146">
        <v>8.8</v>
      </c>
    </row>
    <row r="12" spans="1:5">
      <c r="A12" s="99" t="s">
        <v>565</v>
      </c>
      <c r="B12" s="106">
        <v>443.1853</v>
      </c>
      <c r="C12" s="145">
        <v>10.6</v>
      </c>
      <c r="D12" s="107">
        <v>562.7416</v>
      </c>
      <c r="E12" s="146">
        <v>9.1</v>
      </c>
    </row>
    <row r="13" spans="1:5">
      <c r="A13" s="99" t="s">
        <v>566</v>
      </c>
      <c r="B13" s="106">
        <v>512.9609</v>
      </c>
      <c r="C13" s="109">
        <v>11</v>
      </c>
      <c r="D13" s="107">
        <v>650.3597</v>
      </c>
      <c r="E13" s="146">
        <v>9.6</v>
      </c>
    </row>
    <row r="14" spans="1:5">
      <c r="A14" s="99" t="s">
        <v>567</v>
      </c>
      <c r="B14" s="103">
        <v>582.4115</v>
      </c>
      <c r="C14" s="145">
        <v>11.5</v>
      </c>
      <c r="D14" s="103">
        <v>731.6245</v>
      </c>
      <c r="E14" s="146">
        <v>9.3</v>
      </c>
    </row>
    <row r="15" spans="1:5">
      <c r="A15" s="99" t="s">
        <v>568</v>
      </c>
      <c r="B15" s="103">
        <v>661.4788</v>
      </c>
      <c r="C15" s="145">
        <v>11.7</v>
      </c>
      <c r="D15" s="103">
        <v>820.8997</v>
      </c>
      <c r="E15" s="146">
        <v>9.1</v>
      </c>
    </row>
    <row r="16" spans="1:5">
      <c r="A16" s="99" t="s">
        <v>569</v>
      </c>
      <c r="B16" s="103">
        <v>766.5202</v>
      </c>
      <c r="C16" s="145">
        <v>11.5</v>
      </c>
      <c r="D16" s="103">
        <v>835.7945</v>
      </c>
      <c r="E16" s="146">
        <v>8.5</v>
      </c>
    </row>
    <row r="17" ht="18" customHeight="1" spans="1:5">
      <c r="A17" s="95" t="s">
        <v>555</v>
      </c>
      <c r="B17" s="96" t="s">
        <v>36</v>
      </c>
      <c r="C17" s="96"/>
      <c r="D17" s="96" t="s">
        <v>570</v>
      </c>
      <c r="E17" s="143"/>
    </row>
    <row r="18" ht="18" customHeight="1" spans="1:5">
      <c r="A18" s="95"/>
      <c r="B18" s="96" t="s">
        <v>558</v>
      </c>
      <c r="C18" s="96" t="s">
        <v>42</v>
      </c>
      <c r="D18" s="96" t="s">
        <v>558</v>
      </c>
      <c r="E18" s="143" t="s">
        <v>42</v>
      </c>
    </row>
    <row r="19" spans="1:5">
      <c r="A19" s="112" t="s">
        <v>559</v>
      </c>
      <c r="B19" s="139"/>
      <c r="C19" s="139"/>
      <c r="D19" s="139"/>
      <c r="E19" s="147"/>
    </row>
    <row r="20" spans="1:5">
      <c r="A20" s="112" t="s">
        <v>560</v>
      </c>
      <c r="B20" s="116">
        <v>112.9112</v>
      </c>
      <c r="C20" s="117">
        <v>0.2</v>
      </c>
      <c r="D20" s="116">
        <v>108.21</v>
      </c>
      <c r="E20" s="132">
        <v>3.7</v>
      </c>
    </row>
    <row r="21" spans="1:5">
      <c r="A21" s="112" t="s">
        <v>81</v>
      </c>
      <c r="B21" s="116">
        <v>178.8963</v>
      </c>
      <c r="C21" s="117">
        <v>2.9</v>
      </c>
      <c r="D21" s="116">
        <v>179.84</v>
      </c>
      <c r="E21" s="132">
        <v>7</v>
      </c>
    </row>
    <row r="22" spans="1:5">
      <c r="A22" s="112" t="s">
        <v>561</v>
      </c>
      <c r="B22" s="116">
        <v>243.9875</v>
      </c>
      <c r="C22" s="117">
        <v>3.8</v>
      </c>
      <c r="D22" s="116"/>
      <c r="E22" s="132"/>
    </row>
    <row r="23" spans="1:5">
      <c r="A23" s="112" t="s">
        <v>562</v>
      </c>
      <c r="B23" s="116">
        <v>308.6749</v>
      </c>
      <c r="C23" s="117">
        <v>4.1</v>
      </c>
      <c r="D23" s="116"/>
      <c r="E23" s="132"/>
    </row>
    <row r="24" spans="1:5">
      <c r="A24" s="112" t="s">
        <v>563</v>
      </c>
      <c r="B24" s="116">
        <v>384.514</v>
      </c>
      <c r="C24" s="117">
        <v>4.7</v>
      </c>
      <c r="D24" s="116"/>
      <c r="E24" s="132"/>
    </row>
    <row r="25" spans="1:5">
      <c r="A25" s="112" t="s">
        <v>564</v>
      </c>
      <c r="B25" s="116">
        <v>452.674</v>
      </c>
      <c r="C25" s="117">
        <v>3.7</v>
      </c>
      <c r="D25" s="116"/>
      <c r="E25" s="132"/>
    </row>
    <row r="26" spans="1:5">
      <c r="A26" s="112" t="s">
        <v>565</v>
      </c>
      <c r="B26" s="116">
        <v>518.2177</v>
      </c>
      <c r="C26" s="117">
        <v>2.2</v>
      </c>
      <c r="D26" s="116"/>
      <c r="E26" s="132"/>
    </row>
    <row r="27" spans="1:5">
      <c r="A27" s="112" t="s">
        <v>566</v>
      </c>
      <c r="B27" s="116">
        <v>593.4615</v>
      </c>
      <c r="C27" s="117">
        <v>4.1</v>
      </c>
      <c r="D27" s="116"/>
      <c r="E27" s="115"/>
    </row>
    <row r="28" spans="1:5">
      <c r="A28" s="112" t="s">
        <v>567</v>
      </c>
      <c r="B28" s="116">
        <v>635.9812</v>
      </c>
      <c r="C28" s="117">
        <v>4.3</v>
      </c>
      <c r="D28" s="116"/>
      <c r="E28" s="115"/>
    </row>
    <row r="29" spans="1:5">
      <c r="A29" s="112" t="s">
        <v>568</v>
      </c>
      <c r="B29" s="116">
        <v>705.7427</v>
      </c>
      <c r="C29" s="117">
        <v>4.8</v>
      </c>
      <c r="D29" s="116"/>
      <c r="E29" s="115"/>
    </row>
    <row r="30" ht="15" spans="1:5">
      <c r="A30" s="119" t="s">
        <v>569</v>
      </c>
      <c r="B30" s="120">
        <v>769.97</v>
      </c>
      <c r="C30" s="121">
        <v>5</v>
      </c>
      <c r="D30" s="120"/>
      <c r="E30" s="123"/>
    </row>
    <row r="31" spans="1:5">
      <c r="A31" s="124"/>
      <c r="B31" s="124"/>
      <c r="C31" s="124"/>
      <c r="D31" s="124"/>
      <c r="E31" s="124"/>
    </row>
  </sheetData>
  <mergeCells count="7">
    <mergeCell ref="A1:E1"/>
    <mergeCell ref="B3:C3"/>
    <mergeCell ref="D3:E3"/>
    <mergeCell ref="B17:C17"/>
    <mergeCell ref="D17:E17"/>
    <mergeCell ref="A3:A4"/>
    <mergeCell ref="A17:A18"/>
  </mergeCells>
  <pageMargins left="0.75" right="0.75" top="1" bottom="1" header="0.509027777777778" footer="0.509027777777778"/>
  <headerFooter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30"/>
  <sheetViews>
    <sheetView workbookViewId="0">
      <selection activeCell="H25" sqref="H25"/>
    </sheetView>
  </sheetViews>
  <sheetFormatPr defaultColWidth="9" defaultRowHeight="14.25" outlineLevelCol="4"/>
  <cols>
    <col min="2" max="2" width="12.375" customWidth="1"/>
    <col min="3" max="3" width="10.375" customWidth="1"/>
    <col min="4" max="4" width="14.125" customWidth="1"/>
    <col min="5" max="5" width="10.125" customWidth="1"/>
  </cols>
  <sheetData>
    <row r="1" ht="27" customHeight="1" spans="1:5">
      <c r="A1" s="86" t="s">
        <v>12</v>
      </c>
      <c r="B1" s="86"/>
      <c r="C1" s="87"/>
      <c r="D1" s="86"/>
      <c r="E1" s="87"/>
    </row>
    <row r="2" ht="15" spans="1:5">
      <c r="A2" s="88"/>
      <c r="B2" s="88"/>
      <c r="C2" s="89"/>
      <c r="D2" s="88"/>
      <c r="E2" s="136" t="s">
        <v>39</v>
      </c>
    </row>
    <row r="3" ht="18" customHeight="1" spans="1:5">
      <c r="A3" s="91" t="s">
        <v>555</v>
      </c>
      <c r="B3" s="92" t="s">
        <v>556</v>
      </c>
      <c r="C3" s="93"/>
      <c r="D3" s="92" t="s">
        <v>557</v>
      </c>
      <c r="E3" s="94"/>
    </row>
    <row r="4" ht="18" customHeight="1" spans="1:5">
      <c r="A4" s="95"/>
      <c r="B4" s="96" t="s">
        <v>558</v>
      </c>
      <c r="C4" s="110" t="s">
        <v>42</v>
      </c>
      <c r="D4" s="96" t="s">
        <v>558</v>
      </c>
      <c r="E4" s="111" t="s">
        <v>42</v>
      </c>
    </row>
    <row r="5" spans="1:5">
      <c r="A5" s="99" t="s">
        <v>559</v>
      </c>
      <c r="B5" s="100"/>
      <c r="C5" s="101"/>
      <c r="D5" s="100"/>
      <c r="E5" s="102"/>
    </row>
    <row r="6" spans="1:5">
      <c r="A6" s="99" t="s">
        <v>560</v>
      </c>
      <c r="B6" s="103">
        <v>75.6403</v>
      </c>
      <c r="C6" s="104">
        <v>11.1</v>
      </c>
      <c r="D6" s="103">
        <v>79.6488</v>
      </c>
      <c r="E6" s="105">
        <v>5.3</v>
      </c>
    </row>
    <row r="7" spans="1:5">
      <c r="A7" s="99" t="s">
        <v>81</v>
      </c>
      <c r="B7" s="103">
        <v>146.0309</v>
      </c>
      <c r="C7" s="104">
        <v>6</v>
      </c>
      <c r="D7" s="103">
        <v>157.5746</v>
      </c>
      <c r="E7" s="105">
        <v>7.9</v>
      </c>
    </row>
    <row r="8" spans="1:5">
      <c r="A8" s="99" t="s">
        <v>561</v>
      </c>
      <c r="B8" s="103">
        <v>207.1341</v>
      </c>
      <c r="C8" s="104">
        <v>5</v>
      </c>
      <c r="D8" s="103">
        <v>205.6743</v>
      </c>
      <c r="E8" s="105">
        <v>-0.7</v>
      </c>
    </row>
    <row r="9" spans="1:5">
      <c r="A9" s="99" t="s">
        <v>562</v>
      </c>
      <c r="B9" s="103">
        <v>307.9283</v>
      </c>
      <c r="C9" s="104">
        <v>7.2</v>
      </c>
      <c r="D9" s="103">
        <v>288.9968</v>
      </c>
      <c r="E9" s="105">
        <v>-6.1</v>
      </c>
    </row>
    <row r="10" spans="1:5">
      <c r="A10" s="99" t="s">
        <v>563</v>
      </c>
      <c r="B10" s="106">
        <v>509.6563</v>
      </c>
      <c r="C10" s="104">
        <v>15.1</v>
      </c>
      <c r="D10" s="107">
        <v>560.4382</v>
      </c>
      <c r="E10" s="108">
        <v>10</v>
      </c>
    </row>
    <row r="11" spans="1:5">
      <c r="A11" s="99" t="s">
        <v>564</v>
      </c>
      <c r="B11" s="106">
        <v>626.3505</v>
      </c>
      <c r="C11" s="104">
        <v>16.3</v>
      </c>
      <c r="D11" s="107">
        <v>686.4511</v>
      </c>
      <c r="E11" s="105">
        <v>9.6</v>
      </c>
    </row>
    <row r="12" spans="1:5">
      <c r="A12" s="99" t="s">
        <v>565</v>
      </c>
      <c r="B12" s="106">
        <v>737.2203</v>
      </c>
      <c r="C12" s="104">
        <v>24.8</v>
      </c>
      <c r="D12" s="107">
        <v>809.6944</v>
      </c>
      <c r="E12" s="105">
        <v>9.8</v>
      </c>
    </row>
    <row r="13" spans="1:5">
      <c r="A13" s="99" t="s">
        <v>566</v>
      </c>
      <c r="B13" s="106">
        <v>871.7492</v>
      </c>
      <c r="C13" s="109">
        <v>23.5</v>
      </c>
      <c r="D13" s="107">
        <v>977.2404</v>
      </c>
      <c r="E13" s="105">
        <v>12.1</v>
      </c>
    </row>
    <row r="14" spans="1:5">
      <c r="A14" s="99" t="s">
        <v>567</v>
      </c>
      <c r="B14" s="103">
        <v>1021.5452</v>
      </c>
      <c r="C14" s="104">
        <v>22.6</v>
      </c>
      <c r="D14" s="103">
        <v>1136.7531</v>
      </c>
      <c r="E14" s="105">
        <v>11.3</v>
      </c>
    </row>
    <row r="15" spans="1:5">
      <c r="A15" s="99" t="s">
        <v>568</v>
      </c>
      <c r="B15" s="103">
        <v>1200.0485</v>
      </c>
      <c r="C15" s="104">
        <v>23.9</v>
      </c>
      <c r="D15" s="103">
        <v>1337.6063</v>
      </c>
      <c r="E15" s="105">
        <v>11.5</v>
      </c>
    </row>
    <row r="16" spans="1:5">
      <c r="A16" s="99" t="s">
        <v>569</v>
      </c>
      <c r="B16" s="103">
        <v>1531.5995</v>
      </c>
      <c r="C16" s="104">
        <v>16.6</v>
      </c>
      <c r="D16" s="103">
        <v>1641.5341</v>
      </c>
      <c r="E16" s="105">
        <v>7.2</v>
      </c>
    </row>
    <row r="17" ht="18" customHeight="1" spans="1:5">
      <c r="A17" s="95" t="s">
        <v>555</v>
      </c>
      <c r="B17" s="96" t="s">
        <v>36</v>
      </c>
      <c r="C17" s="110"/>
      <c r="D17" s="96" t="s">
        <v>570</v>
      </c>
      <c r="E17" s="111"/>
    </row>
    <row r="18" ht="18" customHeight="1" spans="1:5">
      <c r="A18" s="95"/>
      <c r="B18" s="96" t="s">
        <v>558</v>
      </c>
      <c r="C18" s="110" t="s">
        <v>42</v>
      </c>
      <c r="D18" s="96" t="s">
        <v>558</v>
      </c>
      <c r="E18" s="111" t="s">
        <v>42</v>
      </c>
    </row>
    <row r="19" spans="1:5">
      <c r="A19" s="112" t="s">
        <v>559</v>
      </c>
      <c r="B19" s="139"/>
      <c r="C19" s="140"/>
      <c r="D19" s="139"/>
      <c r="E19" s="141"/>
    </row>
    <row r="20" spans="1:5">
      <c r="A20" s="112" t="s">
        <v>560</v>
      </c>
      <c r="B20" s="116">
        <v>84.4761</v>
      </c>
      <c r="C20" s="117">
        <v>8.8</v>
      </c>
      <c r="D20" s="116"/>
      <c r="E20" s="132">
        <v>16.1</v>
      </c>
    </row>
    <row r="21" spans="1:5">
      <c r="A21" s="112" t="s">
        <v>81</v>
      </c>
      <c r="B21" s="116">
        <v>202.0022</v>
      </c>
      <c r="C21" s="117">
        <v>31.6</v>
      </c>
      <c r="D21" s="116"/>
      <c r="E21" s="132">
        <v>17.6</v>
      </c>
    </row>
    <row r="22" spans="1:5">
      <c r="A22" s="112" t="s">
        <v>561</v>
      </c>
      <c r="B22" s="116">
        <v>263.9275</v>
      </c>
      <c r="C22" s="117">
        <v>31</v>
      </c>
      <c r="D22" s="116"/>
      <c r="E22" s="132"/>
    </row>
    <row r="23" spans="1:5">
      <c r="A23" s="112" t="s">
        <v>562</v>
      </c>
      <c r="B23" s="116">
        <v>339.1968</v>
      </c>
      <c r="C23" s="117">
        <v>19.6</v>
      </c>
      <c r="D23" s="116"/>
      <c r="E23" s="132"/>
    </row>
    <row r="24" spans="1:5">
      <c r="A24" s="112" t="s">
        <v>563</v>
      </c>
      <c r="B24" s="116">
        <v>551.5829</v>
      </c>
      <c r="C24" s="117">
        <v>13.6</v>
      </c>
      <c r="D24" s="116"/>
      <c r="E24" s="132"/>
    </row>
    <row r="25" spans="1:5">
      <c r="A25" s="112" t="s">
        <v>564</v>
      </c>
      <c r="B25" s="116">
        <v>617.6436</v>
      </c>
      <c r="C25" s="117">
        <v>8.1</v>
      </c>
      <c r="D25" s="116"/>
      <c r="E25" s="132"/>
    </row>
    <row r="26" spans="1:5">
      <c r="A26" s="112" t="s">
        <v>565</v>
      </c>
      <c r="B26" s="116">
        <v>691.7895</v>
      </c>
      <c r="C26" s="117">
        <v>6.8</v>
      </c>
      <c r="D26" s="116"/>
      <c r="E26" s="132"/>
    </row>
    <row r="27" spans="1:5">
      <c r="A27" s="112" t="s">
        <v>566</v>
      </c>
      <c r="B27" s="116">
        <v>822.5954</v>
      </c>
      <c r="C27" s="117">
        <v>10.3</v>
      </c>
      <c r="D27" s="116"/>
      <c r="E27" s="115"/>
    </row>
    <row r="28" spans="1:5">
      <c r="A28" s="112" t="s">
        <v>567</v>
      </c>
      <c r="B28" s="116">
        <v>934.2435</v>
      </c>
      <c r="C28" s="117">
        <v>11.3</v>
      </c>
      <c r="D28" s="116"/>
      <c r="E28" s="115"/>
    </row>
    <row r="29" spans="1:5">
      <c r="A29" s="112" t="s">
        <v>568</v>
      </c>
      <c r="B29" s="116">
        <v>1085.1949</v>
      </c>
      <c r="C29" s="117">
        <v>13.7</v>
      </c>
      <c r="D29" s="116"/>
      <c r="E29" s="115"/>
    </row>
    <row r="30" ht="15" spans="1:5">
      <c r="A30" s="119" t="s">
        <v>569</v>
      </c>
      <c r="B30" s="120">
        <v>1260.1176</v>
      </c>
      <c r="C30" s="121">
        <v>12.8</v>
      </c>
      <c r="D30" s="120"/>
      <c r="E30" s="123"/>
    </row>
  </sheetData>
  <mergeCells count="7">
    <mergeCell ref="A1:E1"/>
    <mergeCell ref="B3:C3"/>
    <mergeCell ref="D3:E3"/>
    <mergeCell ref="B17:C17"/>
    <mergeCell ref="D17:E17"/>
    <mergeCell ref="A3:A4"/>
    <mergeCell ref="A17:A18"/>
  </mergeCells>
  <pageMargins left="0.75" right="0.75" top="1" bottom="1" header="0.509027777777778" footer="0.509027777777778"/>
  <headerFooter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31"/>
  <sheetViews>
    <sheetView workbookViewId="0">
      <selection activeCell="H12" sqref="H12"/>
    </sheetView>
  </sheetViews>
  <sheetFormatPr defaultColWidth="9" defaultRowHeight="14.25" outlineLevelCol="4"/>
  <cols>
    <col min="2" max="2" width="12.375" customWidth="1"/>
    <col min="3" max="3" width="10.375" customWidth="1"/>
    <col min="4" max="4" width="14.125" customWidth="1"/>
    <col min="5" max="5" width="10.125" customWidth="1"/>
  </cols>
  <sheetData>
    <row r="1" ht="27" customHeight="1" spans="1:5">
      <c r="A1" s="86" t="s">
        <v>16</v>
      </c>
      <c r="B1" s="86"/>
      <c r="C1" s="87"/>
      <c r="D1" s="86"/>
      <c r="E1" s="87"/>
    </row>
    <row r="2" ht="15" spans="1:5">
      <c r="A2" s="88"/>
      <c r="B2" s="88"/>
      <c r="C2" s="89"/>
      <c r="D2" s="88"/>
      <c r="E2" s="136" t="s">
        <v>39</v>
      </c>
    </row>
    <row r="3" ht="18" customHeight="1" spans="1:5">
      <c r="A3" s="91" t="s">
        <v>555</v>
      </c>
      <c r="B3" s="92" t="s">
        <v>556</v>
      </c>
      <c r="C3" s="93"/>
      <c r="D3" s="92" t="s">
        <v>557</v>
      </c>
      <c r="E3" s="94"/>
    </row>
    <row r="4" ht="18" customHeight="1" spans="1:5">
      <c r="A4" s="95"/>
      <c r="B4" s="96" t="s">
        <v>558</v>
      </c>
      <c r="C4" s="110" t="s">
        <v>42</v>
      </c>
      <c r="D4" s="96" t="s">
        <v>558</v>
      </c>
      <c r="E4" s="111" t="s">
        <v>42</v>
      </c>
    </row>
    <row r="5" spans="1:5">
      <c r="A5" s="99" t="s">
        <v>559</v>
      </c>
      <c r="B5" s="100"/>
      <c r="C5" s="101"/>
      <c r="D5" s="100"/>
      <c r="E5" s="102"/>
    </row>
    <row r="6" spans="1:5">
      <c r="A6" s="99" t="s">
        <v>560</v>
      </c>
      <c r="B6" s="103">
        <v>223.3322</v>
      </c>
      <c r="C6" s="104">
        <v>9</v>
      </c>
      <c r="D6" s="103">
        <v>252.0522</v>
      </c>
      <c r="E6" s="105">
        <v>12</v>
      </c>
    </row>
    <row r="7" spans="1:5">
      <c r="A7" s="99" t="s">
        <v>81</v>
      </c>
      <c r="B7" s="103">
        <v>331.636</v>
      </c>
      <c r="C7" s="104">
        <v>9</v>
      </c>
      <c r="D7" s="103">
        <v>375.5066</v>
      </c>
      <c r="E7" s="105">
        <v>12.1</v>
      </c>
    </row>
    <row r="8" spans="1:5">
      <c r="A8" s="99" t="s">
        <v>561</v>
      </c>
      <c r="B8" s="103">
        <v>440.1999</v>
      </c>
      <c r="C8" s="104">
        <v>8.9</v>
      </c>
      <c r="D8" s="103">
        <v>496.8495</v>
      </c>
      <c r="E8" s="105">
        <v>11.8</v>
      </c>
    </row>
    <row r="9" spans="1:5">
      <c r="A9" s="99" t="s">
        <v>562</v>
      </c>
      <c r="B9" s="103">
        <v>557.7986</v>
      </c>
      <c r="C9" s="104">
        <v>8.9</v>
      </c>
      <c r="D9" s="103">
        <v>624.7711</v>
      </c>
      <c r="E9" s="105">
        <v>11.5</v>
      </c>
    </row>
    <row r="10" spans="1:5">
      <c r="A10" s="99" t="s">
        <v>563</v>
      </c>
      <c r="B10" s="106">
        <v>676.0206</v>
      </c>
      <c r="C10" s="104">
        <v>8.8</v>
      </c>
      <c r="D10" s="107">
        <v>754.3984</v>
      </c>
      <c r="E10" s="108">
        <v>11.1</v>
      </c>
    </row>
    <row r="11" spans="1:5">
      <c r="A11" s="99" t="s">
        <v>564</v>
      </c>
      <c r="B11" s="106">
        <v>797.589</v>
      </c>
      <c r="C11" s="104">
        <v>9</v>
      </c>
      <c r="D11" s="107">
        <v>886.5132</v>
      </c>
      <c r="E11" s="105">
        <v>10.8</v>
      </c>
    </row>
    <row r="12" spans="1:5">
      <c r="A12" s="99" t="s">
        <v>565</v>
      </c>
      <c r="B12" s="106">
        <v>919.3703</v>
      </c>
      <c r="C12" s="104">
        <v>8.9</v>
      </c>
      <c r="D12" s="107">
        <v>1016.5674</v>
      </c>
      <c r="E12" s="105">
        <v>10.2</v>
      </c>
    </row>
    <row r="13" spans="1:5">
      <c r="A13" s="99" t="s">
        <v>566</v>
      </c>
      <c r="B13" s="106">
        <v>1045.7008</v>
      </c>
      <c r="C13" s="109">
        <v>9.3</v>
      </c>
      <c r="D13" s="107">
        <v>1155.8877</v>
      </c>
      <c r="E13" s="105">
        <v>10.2</v>
      </c>
    </row>
    <row r="14" spans="1:5">
      <c r="A14" s="99" t="s">
        <v>567</v>
      </c>
      <c r="B14" s="103">
        <v>1178.216</v>
      </c>
      <c r="C14" s="104">
        <v>9.5</v>
      </c>
      <c r="D14" s="103">
        <v>1296.2204</v>
      </c>
      <c r="E14" s="105">
        <v>10.2</v>
      </c>
    </row>
    <row r="15" spans="1:5">
      <c r="A15" s="99" t="s">
        <v>568</v>
      </c>
      <c r="B15" s="103">
        <v>1302.5842</v>
      </c>
      <c r="C15" s="104">
        <v>9.4</v>
      </c>
      <c r="D15" s="103">
        <v>1433.9245</v>
      </c>
      <c r="E15" s="105">
        <v>10.2</v>
      </c>
    </row>
    <row r="16" spans="1:5">
      <c r="A16" s="99" t="s">
        <v>569</v>
      </c>
      <c r="B16" s="103">
        <v>1432.957</v>
      </c>
      <c r="C16" s="104">
        <v>9.5</v>
      </c>
      <c r="D16" s="103">
        <v>1578.0802</v>
      </c>
      <c r="E16" s="105">
        <v>10.1</v>
      </c>
    </row>
    <row r="17" ht="18" customHeight="1" spans="1:5">
      <c r="A17" s="95" t="s">
        <v>555</v>
      </c>
      <c r="B17" s="96" t="s">
        <v>36</v>
      </c>
      <c r="C17" s="110"/>
      <c r="D17" s="96" t="s">
        <v>570</v>
      </c>
      <c r="E17" s="111"/>
    </row>
    <row r="18" ht="18" customHeight="1" spans="1:5">
      <c r="A18" s="95"/>
      <c r="B18" s="96" t="s">
        <v>558</v>
      </c>
      <c r="C18" s="110" t="s">
        <v>42</v>
      </c>
      <c r="D18" s="96" t="s">
        <v>558</v>
      </c>
      <c r="E18" s="111" t="s">
        <v>42</v>
      </c>
    </row>
    <row r="19" spans="1:5">
      <c r="A19" s="112" t="s">
        <v>559</v>
      </c>
      <c r="B19" s="139"/>
      <c r="C19" s="140"/>
      <c r="D19" s="139"/>
      <c r="E19" s="141"/>
    </row>
    <row r="20" spans="1:5">
      <c r="A20" s="112" t="s">
        <v>560</v>
      </c>
      <c r="B20" s="116">
        <v>276.1961</v>
      </c>
      <c r="C20" s="117">
        <v>10.1</v>
      </c>
      <c r="D20" s="116">
        <v>298.7</v>
      </c>
      <c r="E20" s="132">
        <v>8.1</v>
      </c>
    </row>
    <row r="21" spans="1:5">
      <c r="A21" s="112" t="s">
        <v>81</v>
      </c>
      <c r="B21" s="116">
        <v>412.0563</v>
      </c>
      <c r="C21" s="117">
        <v>10.1</v>
      </c>
      <c r="D21" s="116">
        <v>445.4616</v>
      </c>
      <c r="E21" s="132">
        <v>8.1</v>
      </c>
    </row>
    <row r="22" spans="1:5">
      <c r="A22" s="112" t="s">
        <v>561</v>
      </c>
      <c r="B22" s="116">
        <v>546.284</v>
      </c>
      <c r="C22" s="117">
        <v>10.1</v>
      </c>
      <c r="D22" s="116"/>
      <c r="E22" s="132"/>
    </row>
    <row r="23" spans="1:5">
      <c r="A23" s="112" t="s">
        <v>562</v>
      </c>
      <c r="B23" s="116">
        <v>682.9174</v>
      </c>
      <c r="C23" s="117">
        <v>10</v>
      </c>
      <c r="D23" s="116"/>
      <c r="E23" s="132"/>
    </row>
    <row r="24" spans="1:5">
      <c r="A24" s="112" t="s">
        <v>563</v>
      </c>
      <c r="B24" s="116">
        <v>821.4416</v>
      </c>
      <c r="C24" s="117">
        <v>10</v>
      </c>
      <c r="D24" s="116"/>
      <c r="E24" s="132"/>
    </row>
    <row r="25" spans="1:5">
      <c r="A25" s="112" t="s">
        <v>564</v>
      </c>
      <c r="B25" s="116">
        <v>965.6007</v>
      </c>
      <c r="C25" s="117">
        <v>10.2</v>
      </c>
      <c r="D25" s="116"/>
      <c r="E25" s="132"/>
    </row>
    <row r="26" spans="1:5">
      <c r="A26" s="112" t="s">
        <v>565</v>
      </c>
      <c r="B26" s="116">
        <v>1106.5086</v>
      </c>
      <c r="C26" s="117">
        <v>10.3</v>
      </c>
      <c r="D26" s="116"/>
      <c r="E26" s="132"/>
    </row>
    <row r="27" spans="1:5">
      <c r="A27" s="112" t="s">
        <v>566</v>
      </c>
      <c r="B27" s="116">
        <v>1255.6134</v>
      </c>
      <c r="C27" s="117">
        <v>10.4</v>
      </c>
      <c r="D27" s="116"/>
      <c r="E27" s="115"/>
    </row>
    <row r="28" spans="1:5">
      <c r="A28" s="112" t="s">
        <v>567</v>
      </c>
      <c r="B28" s="116">
        <v>1404.109</v>
      </c>
      <c r="C28" s="117">
        <v>10.3</v>
      </c>
      <c r="D28" s="116"/>
      <c r="E28" s="115"/>
    </row>
    <row r="29" spans="1:5">
      <c r="A29" s="112" t="s">
        <v>568</v>
      </c>
      <c r="B29" s="116">
        <v>1549.0711</v>
      </c>
      <c r="C29" s="117">
        <v>10.3</v>
      </c>
      <c r="D29" s="116"/>
      <c r="E29" s="115"/>
    </row>
    <row r="30" ht="15" spans="1:5">
      <c r="A30" s="119" t="s">
        <v>569</v>
      </c>
      <c r="B30" s="120">
        <v>1697.3</v>
      </c>
      <c r="C30" s="121">
        <v>10.3</v>
      </c>
      <c r="D30" s="120"/>
      <c r="E30" s="123"/>
    </row>
    <row r="31" spans="1:5">
      <c r="A31" s="124"/>
      <c r="B31" s="124"/>
      <c r="C31" s="133"/>
      <c r="D31" s="124"/>
      <c r="E31" s="133"/>
    </row>
  </sheetData>
  <mergeCells count="7">
    <mergeCell ref="A1:E1"/>
    <mergeCell ref="B3:C3"/>
    <mergeCell ref="D3:E3"/>
    <mergeCell ref="B17:C17"/>
    <mergeCell ref="D17:E17"/>
    <mergeCell ref="A3:A4"/>
    <mergeCell ref="A17:A18"/>
  </mergeCells>
  <pageMargins left="0.75" right="0.75" top="1" bottom="1" header="0.509027777777778" footer="0.509027777777778"/>
  <headerFooter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31"/>
  <sheetViews>
    <sheetView workbookViewId="0">
      <selection activeCell="H28" sqref="H28"/>
    </sheetView>
  </sheetViews>
  <sheetFormatPr defaultColWidth="9" defaultRowHeight="14.25" outlineLevelCol="4"/>
  <cols>
    <col min="2" max="2" width="12.375" customWidth="1"/>
    <col min="3" max="3" width="10.375" customWidth="1"/>
    <col min="4" max="4" width="14.125" customWidth="1"/>
    <col min="5" max="5" width="11.25" customWidth="1"/>
  </cols>
  <sheetData>
    <row r="1" ht="27" customHeight="1" spans="1:5">
      <c r="A1" s="86" t="s">
        <v>37</v>
      </c>
      <c r="B1" s="86"/>
      <c r="C1" s="87"/>
      <c r="D1" s="86"/>
      <c r="E1" s="87"/>
    </row>
    <row r="2" ht="15" spans="1:5">
      <c r="A2" s="88"/>
      <c r="B2" s="88"/>
      <c r="C2" s="89"/>
      <c r="D2" s="88"/>
      <c r="E2" s="136" t="s">
        <v>571</v>
      </c>
    </row>
    <row r="3" ht="18" customHeight="1" spans="1:5">
      <c r="A3" s="91" t="s">
        <v>555</v>
      </c>
      <c r="B3" s="92" t="s">
        <v>556</v>
      </c>
      <c r="C3" s="93"/>
      <c r="D3" s="92" t="s">
        <v>557</v>
      </c>
      <c r="E3" s="94"/>
    </row>
    <row r="4" ht="18" customHeight="1" spans="1:5">
      <c r="A4" s="95"/>
      <c r="B4" s="96" t="s">
        <v>558</v>
      </c>
      <c r="C4" s="110" t="s">
        <v>42</v>
      </c>
      <c r="D4" s="96" t="s">
        <v>558</v>
      </c>
      <c r="E4" s="111" t="s">
        <v>42</v>
      </c>
    </row>
    <row r="5" spans="1:5">
      <c r="A5" s="99" t="s">
        <v>559</v>
      </c>
      <c r="B5" s="100"/>
      <c r="C5" s="101"/>
      <c r="D5" s="100"/>
      <c r="E5" s="102"/>
    </row>
    <row r="6" spans="1:5">
      <c r="A6" s="99" t="s">
        <v>560</v>
      </c>
      <c r="B6" s="103">
        <v>38.2733</v>
      </c>
      <c r="C6" s="104">
        <v>-12.3</v>
      </c>
      <c r="D6" s="103">
        <v>41.5396</v>
      </c>
      <c r="E6" s="105">
        <v>14</v>
      </c>
    </row>
    <row r="7" spans="1:5">
      <c r="A7" s="99" t="s">
        <v>81</v>
      </c>
      <c r="B7" s="103">
        <v>58.0649</v>
      </c>
      <c r="C7" s="104">
        <v>-7.6</v>
      </c>
      <c r="D7" s="103">
        <v>72.8464</v>
      </c>
      <c r="E7" s="105">
        <v>29.6</v>
      </c>
    </row>
    <row r="8" spans="1:5">
      <c r="A8" s="99" t="s">
        <v>561</v>
      </c>
      <c r="B8" s="103">
        <v>74.7649</v>
      </c>
      <c r="C8" s="104">
        <v>-13.4</v>
      </c>
      <c r="D8" s="103">
        <v>100.1592</v>
      </c>
      <c r="E8" s="105">
        <v>37.3</v>
      </c>
    </row>
    <row r="9" spans="1:5">
      <c r="A9" s="99" t="s">
        <v>562</v>
      </c>
      <c r="B9" s="103">
        <v>97.3433</v>
      </c>
      <c r="C9" s="104">
        <v>-16.3</v>
      </c>
      <c r="D9" s="103">
        <v>134.1854</v>
      </c>
      <c r="E9" s="105">
        <v>40.5</v>
      </c>
    </row>
    <row r="10" spans="1:5">
      <c r="A10" s="99" t="s">
        <v>563</v>
      </c>
      <c r="B10" s="106">
        <v>120.4325</v>
      </c>
      <c r="C10" s="104">
        <v>-20.8</v>
      </c>
      <c r="D10" s="107">
        <v>163.9816</v>
      </c>
      <c r="E10" s="108">
        <v>38.3</v>
      </c>
    </row>
    <row r="11" spans="1:5">
      <c r="A11" s="99" t="s">
        <v>564</v>
      </c>
      <c r="B11" s="106">
        <v>147.2935</v>
      </c>
      <c r="C11" s="104">
        <v>-19.6</v>
      </c>
      <c r="D11" s="107">
        <v>196.4922</v>
      </c>
      <c r="E11" s="105">
        <v>35.1</v>
      </c>
    </row>
    <row r="12" spans="1:5">
      <c r="A12" s="99" t="s">
        <v>565</v>
      </c>
      <c r="B12" s="106">
        <v>177.3237</v>
      </c>
      <c r="C12" s="104">
        <v>-18.1</v>
      </c>
      <c r="D12" s="107">
        <v>225.0708</v>
      </c>
      <c r="E12" s="105">
        <v>28.2</v>
      </c>
    </row>
    <row r="13" spans="1:5">
      <c r="A13" s="99" t="s">
        <v>566</v>
      </c>
      <c r="B13" s="106">
        <v>213.1449</v>
      </c>
      <c r="C13" s="109">
        <v>-11.9</v>
      </c>
      <c r="D13" s="107">
        <v>249.3223</v>
      </c>
      <c r="E13" s="105">
        <v>18</v>
      </c>
    </row>
    <row r="14" spans="1:5">
      <c r="A14" s="99" t="s">
        <v>567</v>
      </c>
      <c r="B14" s="103">
        <v>240.9083</v>
      </c>
      <c r="C14" s="104">
        <v>-8.6</v>
      </c>
      <c r="D14" s="103">
        <v>271.8035</v>
      </c>
      <c r="E14" s="105">
        <v>13.7</v>
      </c>
    </row>
    <row r="15" spans="1:5">
      <c r="A15" s="99" t="s">
        <v>568</v>
      </c>
      <c r="B15" s="103">
        <v>271.3898</v>
      </c>
      <c r="C15" s="104">
        <v>-5.2</v>
      </c>
      <c r="D15" s="103">
        <v>302.6274</v>
      </c>
      <c r="E15" s="105">
        <v>11.5</v>
      </c>
    </row>
    <row r="16" spans="1:5">
      <c r="A16" s="99" t="s">
        <v>569</v>
      </c>
      <c r="B16" s="103">
        <v>304.4443</v>
      </c>
      <c r="C16" s="104">
        <v>-4.6</v>
      </c>
      <c r="D16" s="103">
        <v>345.6404</v>
      </c>
      <c r="E16" s="105">
        <v>13.5</v>
      </c>
    </row>
    <row r="17" ht="18" customHeight="1" spans="1:5">
      <c r="A17" s="95" t="s">
        <v>555</v>
      </c>
      <c r="B17" s="96" t="s">
        <v>36</v>
      </c>
      <c r="C17" s="110"/>
      <c r="D17" s="96" t="s">
        <v>570</v>
      </c>
      <c r="E17" s="111"/>
    </row>
    <row r="18" ht="18" customHeight="1" spans="1:5">
      <c r="A18" s="95"/>
      <c r="B18" s="96" t="s">
        <v>558</v>
      </c>
      <c r="C18" s="110" t="s">
        <v>42</v>
      </c>
      <c r="D18" s="96" t="s">
        <v>558</v>
      </c>
      <c r="E18" s="111" t="s">
        <v>42</v>
      </c>
    </row>
    <row r="19" spans="1:5">
      <c r="A19" s="112" t="s">
        <v>559</v>
      </c>
      <c r="B19" s="139"/>
      <c r="C19" s="140"/>
      <c r="D19" s="137">
        <v>36.8</v>
      </c>
      <c r="E19" s="115">
        <v>44.4</v>
      </c>
    </row>
    <row r="20" spans="1:5">
      <c r="A20" s="112" t="s">
        <v>560</v>
      </c>
      <c r="B20" s="116">
        <v>44.6469</v>
      </c>
      <c r="C20" s="117">
        <v>7.4167</v>
      </c>
      <c r="D20" s="116">
        <v>53.5536</v>
      </c>
      <c r="E20" s="132">
        <v>14.7</v>
      </c>
    </row>
    <row r="21" spans="1:5">
      <c r="A21" s="112" t="s">
        <v>81</v>
      </c>
      <c r="B21" s="116">
        <v>69.3423</v>
      </c>
      <c r="C21" s="117">
        <v>-4.9</v>
      </c>
      <c r="D21" s="116"/>
      <c r="E21" s="132"/>
    </row>
    <row r="22" spans="1:5">
      <c r="A22" s="112" t="s">
        <v>561</v>
      </c>
      <c r="B22" s="116">
        <v>94.2513</v>
      </c>
      <c r="C22" s="117">
        <v>-6</v>
      </c>
      <c r="D22" s="116"/>
      <c r="E22" s="132"/>
    </row>
    <row r="23" spans="1:5">
      <c r="A23" s="112" t="s">
        <v>562</v>
      </c>
      <c r="B23" s="116">
        <v>128.9132</v>
      </c>
      <c r="C23" s="117">
        <v>-4</v>
      </c>
      <c r="D23" s="116"/>
      <c r="E23" s="132"/>
    </row>
    <row r="24" spans="1:5">
      <c r="A24" s="112" t="s">
        <v>563</v>
      </c>
      <c r="B24" s="116">
        <v>165.2306</v>
      </c>
      <c r="C24" s="117">
        <v>0.7</v>
      </c>
      <c r="D24" s="116"/>
      <c r="E24" s="132"/>
    </row>
    <row r="25" spans="1:5">
      <c r="A25" s="112" t="s">
        <v>564</v>
      </c>
      <c r="B25" s="116">
        <v>202.0126</v>
      </c>
      <c r="C25" s="117">
        <v>2.8</v>
      </c>
      <c r="D25" s="116"/>
      <c r="E25" s="132"/>
    </row>
    <row r="26" spans="1:5">
      <c r="A26" s="112" t="s">
        <v>565</v>
      </c>
      <c r="B26" s="116">
        <v>238.4131</v>
      </c>
      <c r="C26" s="117">
        <v>5.9</v>
      </c>
      <c r="D26" s="116"/>
      <c r="E26" s="132"/>
    </row>
    <row r="27" spans="1:5">
      <c r="A27" s="112" t="s">
        <v>566</v>
      </c>
      <c r="B27" s="116">
        <v>270.612</v>
      </c>
      <c r="C27" s="117">
        <v>8.5</v>
      </c>
      <c r="D27" s="116"/>
      <c r="E27" s="115"/>
    </row>
    <row r="28" spans="1:5">
      <c r="A28" s="112" t="s">
        <v>567</v>
      </c>
      <c r="B28" s="116">
        <v>304.2856</v>
      </c>
      <c r="C28" s="117">
        <v>11.9</v>
      </c>
      <c r="D28" s="116"/>
      <c r="E28" s="115"/>
    </row>
    <row r="29" spans="1:5">
      <c r="A29" s="112" t="s">
        <v>568</v>
      </c>
      <c r="B29" s="116">
        <v>341.42</v>
      </c>
      <c r="C29" s="117">
        <v>12.8</v>
      </c>
      <c r="D29" s="116"/>
      <c r="E29" s="115"/>
    </row>
    <row r="30" ht="15" spans="1:5">
      <c r="A30" s="119" t="s">
        <v>569</v>
      </c>
      <c r="B30" s="120">
        <v>377.03</v>
      </c>
      <c r="C30" s="121">
        <v>9</v>
      </c>
      <c r="D30" s="120"/>
      <c r="E30" s="123"/>
    </row>
    <row r="31" ht="21" customHeight="1" spans="1:5">
      <c r="A31" s="138" t="s">
        <v>572</v>
      </c>
      <c r="B31" s="138"/>
      <c r="C31" s="138"/>
      <c r="D31" s="138"/>
      <c r="E31" s="138"/>
    </row>
  </sheetData>
  <mergeCells count="8">
    <mergeCell ref="A1:E1"/>
    <mergeCell ref="B3:C3"/>
    <mergeCell ref="D3:E3"/>
    <mergeCell ref="B17:C17"/>
    <mergeCell ref="D17:E17"/>
    <mergeCell ref="A31:E31"/>
    <mergeCell ref="A3:A4"/>
    <mergeCell ref="A17:A18"/>
  </mergeCells>
  <pageMargins left="0.75" right="0.75" top="1" bottom="1" header="0.509027777777778" footer="0.509027777777778"/>
  <headerFooter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31"/>
  <sheetViews>
    <sheetView workbookViewId="0">
      <selection activeCell="F31" sqref="F31"/>
    </sheetView>
  </sheetViews>
  <sheetFormatPr defaultColWidth="9" defaultRowHeight="14.25" outlineLevelCol="4"/>
  <cols>
    <col min="2" max="2" width="12.375" customWidth="1"/>
    <col min="3" max="3" width="10.375" customWidth="1"/>
    <col min="4" max="4" width="14.125" customWidth="1"/>
    <col min="5" max="5" width="10.125" customWidth="1"/>
    <col min="7" max="10" width="9.375" customWidth="1"/>
  </cols>
  <sheetData>
    <row r="1" ht="27" customHeight="1" spans="1:5">
      <c r="A1" s="86" t="s">
        <v>573</v>
      </c>
      <c r="B1" s="86"/>
      <c r="C1" s="87"/>
      <c r="D1" s="86"/>
      <c r="E1" s="87"/>
    </row>
    <row r="2" ht="15" spans="1:5">
      <c r="A2" s="88"/>
      <c r="B2" s="88"/>
      <c r="C2" s="89"/>
      <c r="D2" s="88"/>
      <c r="E2" s="136" t="s">
        <v>39</v>
      </c>
    </row>
    <row r="3" ht="18" customHeight="1" spans="1:5">
      <c r="A3" s="91" t="s">
        <v>555</v>
      </c>
      <c r="B3" s="92" t="s">
        <v>556</v>
      </c>
      <c r="C3" s="93"/>
      <c r="D3" s="92" t="s">
        <v>557</v>
      </c>
      <c r="E3" s="94"/>
    </row>
    <row r="4" ht="18" customHeight="1" spans="1:5">
      <c r="A4" s="95"/>
      <c r="B4" s="96" t="s">
        <v>558</v>
      </c>
      <c r="C4" s="110" t="s">
        <v>42</v>
      </c>
      <c r="D4" s="96" t="s">
        <v>558</v>
      </c>
      <c r="E4" s="111" t="s">
        <v>42</v>
      </c>
    </row>
    <row r="5" spans="1:5">
      <c r="A5" s="99" t="s">
        <v>559</v>
      </c>
      <c r="B5" s="100"/>
      <c r="C5" s="101"/>
      <c r="D5" s="100"/>
      <c r="E5" s="102"/>
    </row>
    <row r="6" spans="1:5">
      <c r="A6" s="99" t="s">
        <v>560</v>
      </c>
      <c r="B6" s="103">
        <v>14.3618</v>
      </c>
      <c r="C6" s="104">
        <v>13.1</v>
      </c>
      <c r="D6" s="103">
        <v>16.8865</v>
      </c>
      <c r="E6" s="105">
        <v>21.3</v>
      </c>
    </row>
    <row r="7" spans="1:5">
      <c r="A7" s="99" t="s">
        <v>81</v>
      </c>
      <c r="B7" s="103">
        <v>22.2812</v>
      </c>
      <c r="C7" s="104">
        <v>9.6</v>
      </c>
      <c r="D7" s="103">
        <v>24.8142</v>
      </c>
      <c r="E7" s="105">
        <v>15.8</v>
      </c>
    </row>
    <row r="8" spans="1:5">
      <c r="A8" s="99" t="s">
        <v>561</v>
      </c>
      <c r="B8" s="103">
        <v>31.7363</v>
      </c>
      <c r="C8" s="104">
        <v>14</v>
      </c>
      <c r="D8" s="103">
        <v>32.5815</v>
      </c>
      <c r="E8" s="105">
        <v>7.38333558548909</v>
      </c>
    </row>
    <row r="9" spans="1:5">
      <c r="A9" s="99" t="s">
        <v>562</v>
      </c>
      <c r="B9" s="103">
        <v>41.3127</v>
      </c>
      <c r="C9" s="104">
        <v>8.7</v>
      </c>
      <c r="D9" s="103">
        <v>40.1635</v>
      </c>
      <c r="E9" s="105">
        <v>2.1</v>
      </c>
    </row>
    <row r="10" spans="1:5">
      <c r="A10" s="99" t="s">
        <v>563</v>
      </c>
      <c r="B10" s="106">
        <v>56.6175</v>
      </c>
      <c r="C10" s="104">
        <v>5</v>
      </c>
      <c r="D10" s="107">
        <v>58.3819</v>
      </c>
      <c r="E10" s="108">
        <v>6.8</v>
      </c>
    </row>
    <row r="11" spans="1:5">
      <c r="A11" s="99" t="s">
        <v>564</v>
      </c>
      <c r="B11" s="106">
        <v>66.3904</v>
      </c>
      <c r="C11" s="104">
        <v>7.7</v>
      </c>
      <c r="D11" s="107">
        <v>67.2492</v>
      </c>
      <c r="E11" s="105">
        <v>4.4</v>
      </c>
    </row>
    <row r="12" spans="1:5">
      <c r="A12" s="99" t="s">
        <v>565</v>
      </c>
      <c r="B12" s="106">
        <v>73.539</v>
      </c>
      <c r="C12" s="104">
        <v>7.7</v>
      </c>
      <c r="D12" s="107">
        <v>74.5911</v>
      </c>
      <c r="E12" s="105">
        <v>4.2</v>
      </c>
    </row>
    <row r="13" spans="1:5">
      <c r="A13" s="99" t="s">
        <v>566</v>
      </c>
      <c r="B13" s="106">
        <v>81.5736</v>
      </c>
      <c r="C13" s="109">
        <v>7.2</v>
      </c>
      <c r="D13" s="107">
        <v>86.9421</v>
      </c>
      <c r="E13" s="105">
        <v>9.2</v>
      </c>
    </row>
    <row r="14" spans="1:5">
      <c r="A14" s="99" t="s">
        <v>567</v>
      </c>
      <c r="B14" s="103">
        <v>89.4414</v>
      </c>
      <c r="C14" s="104">
        <v>7.4</v>
      </c>
      <c r="D14" s="103">
        <v>119.6191</v>
      </c>
      <c r="E14" s="105">
        <v>36.8</v>
      </c>
    </row>
    <row r="15" spans="1:5">
      <c r="A15" s="99" t="s">
        <v>568</v>
      </c>
      <c r="B15" s="103">
        <v>96.6337</v>
      </c>
      <c r="C15" s="104">
        <v>3.8</v>
      </c>
      <c r="D15" s="103">
        <v>126.085</v>
      </c>
      <c r="E15" s="105">
        <v>32.4</v>
      </c>
    </row>
    <row r="16" spans="1:5">
      <c r="A16" s="99" t="s">
        <v>569</v>
      </c>
      <c r="B16" s="103">
        <v>112.9713</v>
      </c>
      <c r="C16" s="104">
        <v>-4.8</v>
      </c>
      <c r="D16" s="103">
        <v>134.9958</v>
      </c>
      <c r="E16" s="105">
        <v>21</v>
      </c>
    </row>
    <row r="17" ht="18" customHeight="1" spans="1:5">
      <c r="A17" s="95" t="s">
        <v>555</v>
      </c>
      <c r="B17" s="96" t="s">
        <v>36</v>
      </c>
      <c r="C17" s="110"/>
      <c r="D17" s="96" t="s">
        <v>570</v>
      </c>
      <c r="E17" s="111"/>
    </row>
    <row r="18" ht="18" customHeight="1" spans="1:5">
      <c r="A18" s="95"/>
      <c r="B18" s="96" t="s">
        <v>558</v>
      </c>
      <c r="C18" s="110" t="s">
        <v>42</v>
      </c>
      <c r="D18" s="96" t="s">
        <v>558</v>
      </c>
      <c r="E18" s="111" t="s">
        <v>42</v>
      </c>
    </row>
    <row r="19" spans="1:5">
      <c r="A19" s="112" t="s">
        <v>559</v>
      </c>
      <c r="B19" s="113">
        <v>13.1471</v>
      </c>
      <c r="C19" s="114">
        <v>33.5</v>
      </c>
      <c r="D19" s="137">
        <v>17.38</v>
      </c>
      <c r="E19" s="115">
        <v>32.2</v>
      </c>
    </row>
    <row r="20" spans="1:5">
      <c r="A20" s="112" t="s">
        <v>560</v>
      </c>
      <c r="B20" s="116">
        <v>22.2479</v>
      </c>
      <c r="C20" s="117">
        <v>31.7</v>
      </c>
      <c r="D20" s="116">
        <v>24.8697</v>
      </c>
      <c r="E20" s="132">
        <v>11.8</v>
      </c>
    </row>
    <row r="21" spans="1:5">
      <c r="A21" s="112" t="s">
        <v>81</v>
      </c>
      <c r="B21" s="116">
        <v>30.2572</v>
      </c>
      <c r="C21" s="117">
        <v>21.9</v>
      </c>
      <c r="D21" s="116">
        <v>34.0085</v>
      </c>
      <c r="E21" s="132">
        <v>12.39</v>
      </c>
    </row>
    <row r="22" spans="1:5">
      <c r="A22" s="112" t="s">
        <v>561</v>
      </c>
      <c r="B22" s="116">
        <v>40.3634</v>
      </c>
      <c r="C22" s="117">
        <v>23.9</v>
      </c>
      <c r="D22" s="116"/>
      <c r="E22" s="132"/>
    </row>
    <row r="23" spans="1:5">
      <c r="A23" s="112" t="s">
        <v>562</v>
      </c>
      <c r="B23" s="116">
        <v>49.9011</v>
      </c>
      <c r="C23" s="117">
        <v>24.2448989754379</v>
      </c>
      <c r="D23" s="116"/>
      <c r="E23" s="132"/>
    </row>
    <row r="24" spans="1:5">
      <c r="A24" s="112" t="s">
        <v>563</v>
      </c>
      <c r="B24" s="116">
        <v>64.7923</v>
      </c>
      <c r="C24" s="117">
        <v>11</v>
      </c>
      <c r="D24" s="116"/>
      <c r="E24" s="132"/>
    </row>
    <row r="25" spans="1:5">
      <c r="A25" s="112" t="s">
        <v>564</v>
      </c>
      <c r="B25" s="116">
        <v>75.1173</v>
      </c>
      <c r="C25" s="117">
        <v>11.7</v>
      </c>
      <c r="D25" s="116"/>
      <c r="E25" s="132"/>
    </row>
    <row r="26" spans="1:5">
      <c r="A26" s="112" t="s">
        <v>565</v>
      </c>
      <c r="B26" s="116">
        <v>83.6834</v>
      </c>
      <c r="C26" s="117">
        <v>12.2</v>
      </c>
      <c r="D26" s="116"/>
      <c r="E26" s="132"/>
    </row>
    <row r="27" spans="1:5">
      <c r="A27" s="112" t="s">
        <v>566</v>
      </c>
      <c r="B27" s="116">
        <v>92.195</v>
      </c>
      <c r="C27" s="117">
        <v>12.7</v>
      </c>
      <c r="D27" s="116"/>
      <c r="E27" s="115"/>
    </row>
    <row r="28" spans="1:5">
      <c r="A28" s="112" t="s">
        <v>567</v>
      </c>
      <c r="B28" s="116">
        <v>100.4627</v>
      </c>
      <c r="C28" s="117">
        <v>11.4</v>
      </c>
      <c r="D28" s="116"/>
      <c r="E28" s="115"/>
    </row>
    <row r="29" spans="1:5">
      <c r="A29" s="112" t="s">
        <v>568</v>
      </c>
      <c r="B29" s="116">
        <v>107.827</v>
      </c>
      <c r="C29" s="117">
        <v>11.6</v>
      </c>
      <c r="D29" s="116"/>
      <c r="E29" s="115"/>
    </row>
    <row r="30" ht="15" customHeight="1" spans="1:5">
      <c r="A30" s="119" t="s">
        <v>569</v>
      </c>
      <c r="B30" s="120">
        <v>121.83</v>
      </c>
      <c r="C30" s="121">
        <v>15.4</v>
      </c>
      <c r="D30" s="120"/>
      <c r="E30" s="123"/>
    </row>
    <row r="31" ht="21" customHeight="1" spans="1:5">
      <c r="A31" s="138" t="s">
        <v>574</v>
      </c>
      <c r="B31" s="138"/>
      <c r="C31" s="138"/>
      <c r="D31" s="138"/>
      <c r="E31" s="138"/>
    </row>
  </sheetData>
  <mergeCells count="8">
    <mergeCell ref="A1:E1"/>
    <mergeCell ref="B3:C3"/>
    <mergeCell ref="D3:E3"/>
    <mergeCell ref="B17:C17"/>
    <mergeCell ref="D17:E17"/>
    <mergeCell ref="A31:E31"/>
    <mergeCell ref="A3:A4"/>
    <mergeCell ref="A17:A18"/>
  </mergeCells>
  <pageMargins left="0.75" right="0.75" top="1" bottom="1" header="0.509027777777778" footer="0.509027777777778"/>
  <headerFooter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31"/>
  <sheetViews>
    <sheetView workbookViewId="0">
      <selection activeCell="H24" sqref="H24"/>
    </sheetView>
  </sheetViews>
  <sheetFormatPr defaultColWidth="9" defaultRowHeight="14.25" outlineLevelCol="4"/>
  <cols>
    <col min="2" max="2" width="12.375" customWidth="1"/>
    <col min="3" max="3" width="10.375" customWidth="1"/>
    <col min="4" max="4" width="14.125" customWidth="1"/>
    <col min="5" max="5" width="10.125" customWidth="1"/>
  </cols>
  <sheetData>
    <row r="1" ht="27" customHeight="1" spans="1:5">
      <c r="A1" s="86" t="s">
        <v>28</v>
      </c>
      <c r="B1" s="87"/>
      <c r="C1" s="87"/>
      <c r="D1" s="125"/>
      <c r="E1" s="125"/>
    </row>
    <row r="2" ht="15" spans="1:5">
      <c r="A2" s="88"/>
      <c r="B2" s="89"/>
      <c r="C2" s="89"/>
      <c r="D2" s="126" t="s">
        <v>427</v>
      </c>
      <c r="E2" s="127"/>
    </row>
    <row r="3" ht="18" customHeight="1" spans="1:5">
      <c r="A3" s="91" t="s">
        <v>555</v>
      </c>
      <c r="B3" s="93" t="s">
        <v>556</v>
      </c>
      <c r="C3" s="93"/>
      <c r="D3" s="128" t="s">
        <v>557</v>
      </c>
      <c r="E3" s="129"/>
    </row>
    <row r="4" ht="30" customHeight="1" spans="1:5">
      <c r="A4" s="95"/>
      <c r="B4" s="110" t="s">
        <v>558</v>
      </c>
      <c r="C4" s="97" t="s">
        <v>575</v>
      </c>
      <c r="D4" s="97" t="s">
        <v>576</v>
      </c>
      <c r="E4" s="98" t="s">
        <v>575</v>
      </c>
    </row>
    <row r="5" spans="1:5">
      <c r="A5" s="99" t="s">
        <v>559</v>
      </c>
      <c r="B5" s="101"/>
      <c r="C5" s="101"/>
      <c r="D5" s="101"/>
      <c r="E5" s="102"/>
    </row>
    <row r="6" spans="1:5">
      <c r="A6" s="99" t="s">
        <v>560</v>
      </c>
      <c r="B6" s="130">
        <v>103</v>
      </c>
      <c r="C6" s="104">
        <v>3</v>
      </c>
      <c r="D6" s="130">
        <v>101.1</v>
      </c>
      <c r="E6" s="105">
        <v>1.1</v>
      </c>
    </row>
    <row r="7" spans="1:5">
      <c r="A7" s="99" t="s">
        <v>81</v>
      </c>
      <c r="B7" s="130">
        <v>102.8</v>
      </c>
      <c r="C7" s="104">
        <v>2.8</v>
      </c>
      <c r="D7" s="130">
        <v>101</v>
      </c>
      <c r="E7" s="105">
        <v>1</v>
      </c>
    </row>
    <row r="8" spans="1:5">
      <c r="A8" s="99" t="s">
        <v>561</v>
      </c>
      <c r="B8" s="130">
        <v>102.9</v>
      </c>
      <c r="C8" s="104">
        <v>2.9</v>
      </c>
      <c r="D8" s="130">
        <v>101</v>
      </c>
      <c r="E8" s="105">
        <v>1</v>
      </c>
    </row>
    <row r="9" spans="1:5">
      <c r="A9" s="99" t="s">
        <v>562</v>
      </c>
      <c r="B9" s="130">
        <v>102.8</v>
      </c>
      <c r="C9" s="104">
        <v>2.8</v>
      </c>
      <c r="D9" s="130">
        <v>101.1</v>
      </c>
      <c r="E9" s="105">
        <v>1.1</v>
      </c>
    </row>
    <row r="10" spans="1:5">
      <c r="A10" s="99" t="s">
        <v>563</v>
      </c>
      <c r="B10" s="131">
        <v>102.7</v>
      </c>
      <c r="C10" s="104">
        <v>2.7</v>
      </c>
      <c r="D10" s="109">
        <v>101.1</v>
      </c>
      <c r="E10" s="108">
        <v>1.1</v>
      </c>
    </row>
    <row r="11" spans="1:5">
      <c r="A11" s="99" t="s">
        <v>564</v>
      </c>
      <c r="B11" s="131">
        <v>102.6</v>
      </c>
      <c r="C11" s="104">
        <v>2.6</v>
      </c>
      <c r="D11" s="109">
        <v>101.2</v>
      </c>
      <c r="E11" s="105">
        <v>1.2</v>
      </c>
    </row>
    <row r="12" spans="1:5">
      <c r="A12" s="99" t="s">
        <v>565</v>
      </c>
      <c r="B12" s="131">
        <v>102.5</v>
      </c>
      <c r="C12" s="104">
        <v>2.5</v>
      </c>
      <c r="D12" s="109">
        <v>101.3</v>
      </c>
      <c r="E12" s="105">
        <v>1.3</v>
      </c>
    </row>
    <row r="13" spans="1:5">
      <c r="A13" s="99" t="s">
        <v>566</v>
      </c>
      <c r="B13" s="131">
        <v>102.4</v>
      </c>
      <c r="C13" s="109">
        <v>2.40000000000001</v>
      </c>
      <c r="D13" s="109">
        <v>101.2</v>
      </c>
      <c r="E13" s="105">
        <v>1.2</v>
      </c>
    </row>
    <row r="14" spans="1:5">
      <c r="A14" s="99" t="s">
        <v>567</v>
      </c>
      <c r="B14" s="130">
        <v>102.3</v>
      </c>
      <c r="C14" s="104">
        <v>2.3</v>
      </c>
      <c r="D14" s="130">
        <v>101.3</v>
      </c>
      <c r="E14" s="105">
        <v>1.3</v>
      </c>
    </row>
    <row r="15" spans="1:5">
      <c r="A15" s="99" t="s">
        <v>568</v>
      </c>
      <c r="B15" s="130">
        <v>102.3</v>
      </c>
      <c r="C15" s="104">
        <v>2.3</v>
      </c>
      <c r="D15" s="130">
        <v>101.3</v>
      </c>
      <c r="E15" s="105">
        <v>1.3</v>
      </c>
    </row>
    <row r="16" spans="1:5">
      <c r="A16" s="99" t="s">
        <v>569</v>
      </c>
      <c r="B16" s="130">
        <v>102.2</v>
      </c>
      <c r="C16" s="104">
        <v>2.2</v>
      </c>
      <c r="D16" s="130">
        <v>101.3</v>
      </c>
      <c r="E16" s="105">
        <v>1.3</v>
      </c>
    </row>
    <row r="17" ht="18" customHeight="1" spans="1:5">
      <c r="A17" s="95" t="s">
        <v>555</v>
      </c>
      <c r="B17" s="110" t="s">
        <v>36</v>
      </c>
      <c r="C17" s="110"/>
      <c r="D17" s="97" t="s">
        <v>570</v>
      </c>
      <c r="E17" s="98"/>
    </row>
    <row r="18" ht="30" customHeight="1" spans="1:5">
      <c r="A18" s="95"/>
      <c r="B18" s="110" t="s">
        <v>576</v>
      </c>
      <c r="C18" s="97" t="s">
        <v>575</v>
      </c>
      <c r="D18" s="97" t="s">
        <v>576</v>
      </c>
      <c r="E18" s="98" t="s">
        <v>575</v>
      </c>
    </row>
    <row r="19" spans="1:5">
      <c r="A19" s="112" t="s">
        <v>559</v>
      </c>
      <c r="B19" s="114"/>
      <c r="C19" s="114"/>
      <c r="D19" s="114">
        <v>101.9</v>
      </c>
      <c r="E19" s="115">
        <v>1.9</v>
      </c>
    </row>
    <row r="20" spans="1:5">
      <c r="A20" s="112" t="s">
        <v>560</v>
      </c>
      <c r="B20" s="117">
        <v>101.5</v>
      </c>
      <c r="C20" s="117">
        <v>1.5</v>
      </c>
      <c r="D20" s="117">
        <v>101.6</v>
      </c>
      <c r="E20" s="132">
        <v>1.6</v>
      </c>
    </row>
    <row r="21" spans="1:5">
      <c r="A21" s="112" t="s">
        <v>81</v>
      </c>
      <c r="B21" s="117">
        <v>101.6</v>
      </c>
      <c r="C21" s="117">
        <v>1.59999999999999</v>
      </c>
      <c r="D21" s="117">
        <v>101.6</v>
      </c>
      <c r="E21" s="132">
        <v>1.6</v>
      </c>
    </row>
    <row r="22" spans="1:5">
      <c r="A22" s="112" t="s">
        <v>561</v>
      </c>
      <c r="B22" s="117">
        <v>101.5</v>
      </c>
      <c r="C22" s="117">
        <v>1.5</v>
      </c>
      <c r="D22" s="117"/>
      <c r="E22" s="132"/>
    </row>
    <row r="23" spans="1:5">
      <c r="A23" s="112" t="s">
        <v>562</v>
      </c>
      <c r="B23" s="117">
        <v>101.3</v>
      </c>
      <c r="C23" s="117">
        <v>1.3</v>
      </c>
      <c r="D23" s="117"/>
      <c r="E23" s="132"/>
    </row>
    <row r="24" spans="1:5">
      <c r="A24" s="112" t="s">
        <v>563</v>
      </c>
      <c r="B24" s="117">
        <v>101.3</v>
      </c>
      <c r="C24" s="117">
        <v>1.3</v>
      </c>
      <c r="D24" s="117"/>
      <c r="E24" s="132"/>
    </row>
    <row r="25" spans="1:5">
      <c r="A25" s="112" t="s">
        <v>564</v>
      </c>
      <c r="B25" s="117">
        <v>101.2</v>
      </c>
      <c r="C25" s="117">
        <v>1.2</v>
      </c>
      <c r="D25" s="117"/>
      <c r="E25" s="132"/>
    </row>
    <row r="26" spans="1:5">
      <c r="A26" s="112" t="s">
        <v>565</v>
      </c>
      <c r="B26" s="117">
        <v>101.3</v>
      </c>
      <c r="C26" s="117">
        <v>1.3</v>
      </c>
      <c r="D26" s="117"/>
      <c r="E26" s="132"/>
    </row>
    <row r="27" spans="1:5">
      <c r="A27" s="112" t="s">
        <v>566</v>
      </c>
      <c r="B27" s="117">
        <v>101.4</v>
      </c>
      <c r="C27" s="117">
        <v>1.4</v>
      </c>
      <c r="D27" s="117"/>
      <c r="E27" s="115"/>
    </row>
    <row r="28" spans="1:5">
      <c r="A28" s="112" t="s">
        <v>567</v>
      </c>
      <c r="B28" s="117">
        <v>101.5</v>
      </c>
      <c r="C28" s="117">
        <v>1.5</v>
      </c>
      <c r="D28" s="117"/>
      <c r="E28" s="115"/>
    </row>
    <row r="29" spans="1:5">
      <c r="A29" s="112" t="s">
        <v>568</v>
      </c>
      <c r="B29" s="117">
        <v>101.5</v>
      </c>
      <c r="C29" s="117">
        <v>1.5</v>
      </c>
      <c r="D29" s="117"/>
      <c r="E29" s="115"/>
    </row>
    <row r="30" ht="15" spans="1:5">
      <c r="A30" s="119" t="s">
        <v>569</v>
      </c>
      <c r="B30" s="121">
        <v>101.6</v>
      </c>
      <c r="C30" s="121">
        <v>1.6</v>
      </c>
      <c r="D30" s="121"/>
      <c r="E30" s="123"/>
    </row>
    <row r="31" spans="1:5">
      <c r="A31" s="124"/>
      <c r="B31" s="133"/>
      <c r="C31" s="124"/>
      <c r="D31" s="134"/>
      <c r="E31" s="135"/>
    </row>
  </sheetData>
  <mergeCells count="8">
    <mergeCell ref="A1:E1"/>
    <mergeCell ref="D2:E2"/>
    <mergeCell ref="B3:C3"/>
    <mergeCell ref="D3:E3"/>
    <mergeCell ref="B17:C17"/>
    <mergeCell ref="D17:E17"/>
    <mergeCell ref="A3:A4"/>
    <mergeCell ref="A17:A18"/>
  </mergeCells>
  <pageMargins left="0.75" right="0.75" top="1" bottom="1" header="0.509027777777778" footer="0.509027777777778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D23"/>
  <sheetViews>
    <sheetView zoomScale="90" zoomScaleNormal="90" workbookViewId="0">
      <selection activeCell="G6" sqref="G6"/>
    </sheetView>
  </sheetViews>
  <sheetFormatPr defaultColWidth="9" defaultRowHeight="14.25" outlineLevelCol="3"/>
  <cols>
    <col min="1" max="1" width="33.8833333333333" style="686" customWidth="1"/>
    <col min="2" max="2" width="12" style="686" customWidth="1"/>
    <col min="3" max="3" width="16.375" style="686" customWidth="1"/>
    <col min="4" max="4" width="15.75" style="686" customWidth="1"/>
    <col min="5" max="16384" width="9" style="686"/>
  </cols>
  <sheetData>
    <row r="1" ht="28.5" customHeight="1" spans="1:4">
      <c r="A1" s="86" t="s">
        <v>60</v>
      </c>
      <c r="B1" s="86"/>
      <c r="C1" s="86"/>
      <c r="D1" s="86"/>
    </row>
    <row r="2" ht="35.25" customHeight="1" spans="1:4">
      <c r="A2" s="687" t="s">
        <v>40</v>
      </c>
      <c r="B2" s="688" t="s">
        <v>2</v>
      </c>
      <c r="C2" s="498" t="s">
        <v>41</v>
      </c>
      <c r="D2" s="689" t="s">
        <v>42</v>
      </c>
    </row>
    <row r="3" ht="21.95" customHeight="1" spans="1:4">
      <c r="A3" s="690" t="s">
        <v>61</v>
      </c>
      <c r="B3" s="691" t="s">
        <v>8</v>
      </c>
      <c r="C3" s="692">
        <v>151.803126</v>
      </c>
      <c r="D3" s="693">
        <v>6.2</v>
      </c>
    </row>
    <row r="4" ht="21.95" customHeight="1" spans="1:4">
      <c r="A4" s="690" t="s">
        <v>62</v>
      </c>
      <c r="B4" s="691" t="s">
        <v>8</v>
      </c>
      <c r="C4" s="692">
        <v>79.729962</v>
      </c>
      <c r="D4" s="693">
        <v>7.59999999999999</v>
      </c>
    </row>
    <row r="5" ht="21.95" customHeight="1" spans="1:4">
      <c r="A5" s="690" t="s">
        <v>63</v>
      </c>
      <c r="B5" s="691" t="s">
        <v>8</v>
      </c>
      <c r="C5" s="692">
        <v>6.686285</v>
      </c>
      <c r="D5" s="693">
        <v>2.40000000000001</v>
      </c>
    </row>
    <row r="6" ht="21.95" customHeight="1" spans="1:4">
      <c r="A6" s="690" t="s">
        <v>64</v>
      </c>
      <c r="B6" s="691" t="s">
        <v>8</v>
      </c>
      <c r="C6" s="692">
        <v>26.776957</v>
      </c>
      <c r="D6" s="693">
        <v>3.09999999999999</v>
      </c>
    </row>
    <row r="7" ht="21.95" customHeight="1" spans="1:4">
      <c r="A7" s="690" t="s">
        <v>65</v>
      </c>
      <c r="B7" s="691" t="s">
        <v>8</v>
      </c>
      <c r="C7" s="692">
        <v>32.433222</v>
      </c>
      <c r="D7" s="693">
        <v>5.59999999999999</v>
      </c>
    </row>
    <row r="8" ht="21.95" customHeight="1" spans="1:4">
      <c r="A8" s="690" t="s">
        <v>66</v>
      </c>
      <c r="B8" s="691" t="s">
        <v>8</v>
      </c>
      <c r="C8" s="692">
        <v>6.1767</v>
      </c>
      <c r="D8" s="693">
        <v>9</v>
      </c>
    </row>
    <row r="9" ht="21.95" customHeight="1" spans="1:4">
      <c r="A9" s="644" t="s">
        <v>67</v>
      </c>
      <c r="B9" s="691" t="s">
        <v>8</v>
      </c>
      <c r="C9" s="692">
        <v>96.277904</v>
      </c>
      <c r="D9" s="693">
        <v>6.3</v>
      </c>
    </row>
    <row r="10" ht="21.95" customHeight="1" spans="1:4">
      <c r="A10" s="690" t="s">
        <v>62</v>
      </c>
      <c r="B10" s="691" t="s">
        <v>8</v>
      </c>
      <c r="C10" s="692">
        <v>54.726645</v>
      </c>
      <c r="D10" s="693">
        <v>7.59999999999999</v>
      </c>
    </row>
    <row r="11" ht="21.95" customHeight="1" spans="1:4">
      <c r="A11" s="690" t="s">
        <v>63</v>
      </c>
      <c r="B11" s="691" t="s">
        <v>8</v>
      </c>
      <c r="C11" s="692">
        <v>4.96791</v>
      </c>
      <c r="D11" s="693">
        <v>2.40000000000001</v>
      </c>
    </row>
    <row r="12" ht="21.95" customHeight="1" spans="1:4">
      <c r="A12" s="690" t="s">
        <v>64</v>
      </c>
      <c r="B12" s="691" t="s">
        <v>8</v>
      </c>
      <c r="C12" s="692">
        <v>12.952014</v>
      </c>
      <c r="D12" s="693">
        <v>3.09999999999999</v>
      </c>
    </row>
    <row r="13" ht="21.95" customHeight="1" spans="1:4">
      <c r="A13" s="690" t="s">
        <v>65</v>
      </c>
      <c r="B13" s="691" t="s">
        <v>8</v>
      </c>
      <c r="C13" s="692">
        <v>21.081594</v>
      </c>
      <c r="D13" s="693">
        <v>5.59999999999999</v>
      </c>
    </row>
    <row r="14" ht="21.95" customHeight="1" spans="1:4">
      <c r="A14" s="690" t="s">
        <v>66</v>
      </c>
      <c r="B14" s="691" t="s">
        <v>8</v>
      </c>
      <c r="C14" s="692">
        <v>2.549741</v>
      </c>
      <c r="D14" s="693">
        <v>9</v>
      </c>
    </row>
    <row r="15" ht="21.95" customHeight="1" spans="1:4">
      <c r="A15" s="690" t="s">
        <v>68</v>
      </c>
      <c r="B15" s="690"/>
      <c r="C15" s="692"/>
      <c r="D15" s="693"/>
    </row>
    <row r="16" ht="21.95" customHeight="1" spans="1:4">
      <c r="A16" s="690" t="s">
        <v>69</v>
      </c>
      <c r="B16" s="691" t="s">
        <v>70</v>
      </c>
      <c r="C16" s="694" t="s">
        <v>9</v>
      </c>
      <c r="D16" s="695" t="s">
        <v>9</v>
      </c>
    </row>
    <row r="17" ht="21.95" customHeight="1" spans="1:4">
      <c r="A17" s="690" t="s">
        <v>71</v>
      </c>
      <c r="B17" s="691" t="s">
        <v>70</v>
      </c>
      <c r="C17" s="694" t="s">
        <v>9</v>
      </c>
      <c r="D17" s="695" t="s">
        <v>9</v>
      </c>
    </row>
    <row r="18" ht="21.95" customHeight="1" spans="1:4">
      <c r="A18" s="690" t="s">
        <v>72</v>
      </c>
      <c r="B18" s="691" t="s">
        <v>70</v>
      </c>
      <c r="C18" s="696">
        <v>141.7493</v>
      </c>
      <c r="D18" s="693">
        <v>8</v>
      </c>
    </row>
    <row r="19" ht="21.95" customHeight="1" spans="1:4">
      <c r="A19" s="690" t="s">
        <v>73</v>
      </c>
      <c r="B19" s="691" t="s">
        <v>70</v>
      </c>
      <c r="C19" s="696">
        <v>47.7</v>
      </c>
      <c r="D19" s="693">
        <v>7.5</v>
      </c>
    </row>
    <row r="20" ht="21.95" customHeight="1" spans="1:4">
      <c r="A20" s="690" t="s">
        <v>74</v>
      </c>
      <c r="B20" s="691" t="s">
        <v>75</v>
      </c>
      <c r="C20" s="696">
        <v>107.25</v>
      </c>
      <c r="D20" s="693">
        <v>-2.40000000000001</v>
      </c>
    </row>
    <row r="21" ht="21.95" customHeight="1" spans="1:4">
      <c r="A21" s="690" t="s">
        <v>76</v>
      </c>
      <c r="B21" s="691" t="s">
        <v>77</v>
      </c>
      <c r="C21" s="696">
        <v>2220.2971</v>
      </c>
      <c r="D21" s="693">
        <v>2.7</v>
      </c>
    </row>
    <row r="22" ht="21.95" customHeight="1" spans="1:4">
      <c r="A22" s="697" t="s">
        <v>78</v>
      </c>
      <c r="B22" s="698" t="s">
        <v>70</v>
      </c>
      <c r="C22" s="699">
        <v>22.4229</v>
      </c>
      <c r="D22" s="700">
        <v>4.25909824288948</v>
      </c>
    </row>
    <row r="23" ht="35.1" customHeight="1" spans="1:4">
      <c r="A23" s="701" t="s">
        <v>79</v>
      </c>
      <c r="B23" s="701"/>
      <c r="C23" s="701"/>
      <c r="D23" s="701"/>
    </row>
  </sheetData>
  <mergeCells count="2">
    <mergeCell ref="A1:D1"/>
    <mergeCell ref="A23:D23"/>
  </mergeCells>
  <printOptions horizontalCentered="1"/>
  <pageMargins left="0.75" right="0.75" top="0.979166666666667" bottom="0.979166666666667" header="0.509027777777778" footer="0.509027777777778"/>
  <pageSetup paperSize="9" orientation="portrait"/>
  <headerFooter alignWithMargins="0" scaleWithDoc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G31"/>
  <sheetViews>
    <sheetView workbookViewId="0">
      <selection activeCell="H20" sqref="H20"/>
    </sheetView>
  </sheetViews>
  <sheetFormatPr defaultColWidth="9" defaultRowHeight="14.25" outlineLevelCol="6"/>
  <cols>
    <col min="2" max="2" width="12.375" customWidth="1"/>
    <col min="3" max="3" width="10.375" customWidth="1"/>
    <col min="4" max="4" width="14.125" customWidth="1"/>
    <col min="5" max="5" width="10.125" customWidth="1"/>
    <col min="7" max="7" width="11.5" customWidth="1"/>
  </cols>
  <sheetData>
    <row r="1" ht="27" customHeight="1" spans="1:5">
      <c r="A1" s="86" t="s">
        <v>577</v>
      </c>
      <c r="B1" s="86"/>
      <c r="C1" s="87"/>
      <c r="D1" s="86"/>
      <c r="E1" s="87"/>
    </row>
    <row r="2" ht="15" spans="1:5">
      <c r="A2" s="88"/>
      <c r="B2" s="88"/>
      <c r="C2" s="89"/>
      <c r="D2" s="90" t="s">
        <v>578</v>
      </c>
      <c r="E2" s="90"/>
    </row>
    <row r="3" ht="18" customHeight="1" spans="1:5">
      <c r="A3" s="91" t="s">
        <v>555</v>
      </c>
      <c r="B3" s="92" t="s">
        <v>556</v>
      </c>
      <c r="C3" s="93"/>
      <c r="D3" s="92" t="s">
        <v>557</v>
      </c>
      <c r="E3" s="94"/>
    </row>
    <row r="4" ht="18" customHeight="1" spans="1:5">
      <c r="A4" s="95"/>
      <c r="B4" s="96" t="s">
        <v>558</v>
      </c>
      <c r="C4" s="97" t="s">
        <v>42</v>
      </c>
      <c r="D4" s="96" t="s">
        <v>558</v>
      </c>
      <c r="E4" s="98" t="s">
        <v>42</v>
      </c>
    </row>
    <row r="5" spans="1:5">
      <c r="A5" s="99" t="s">
        <v>559</v>
      </c>
      <c r="B5" s="100"/>
      <c r="C5" s="101"/>
      <c r="D5" s="100"/>
      <c r="E5" s="102"/>
    </row>
    <row r="6" spans="1:5">
      <c r="A6" s="99" t="s">
        <v>560</v>
      </c>
      <c r="B6" s="103">
        <v>10.66</v>
      </c>
      <c r="C6" s="104">
        <v>9.4</v>
      </c>
      <c r="D6" s="103">
        <v>19.95</v>
      </c>
      <c r="E6" s="105">
        <v>49.7</v>
      </c>
    </row>
    <row r="7" spans="1:5">
      <c r="A7" s="99" t="s">
        <v>81</v>
      </c>
      <c r="B7" s="103">
        <v>15.01</v>
      </c>
      <c r="C7" s="104">
        <v>7.1</v>
      </c>
      <c r="D7" s="103">
        <v>25.02</v>
      </c>
      <c r="E7" s="105">
        <v>66.7</v>
      </c>
    </row>
    <row r="8" spans="1:5">
      <c r="A8" s="99" t="s">
        <v>561</v>
      </c>
      <c r="B8" s="103">
        <v>20.3</v>
      </c>
      <c r="C8" s="104">
        <v>7.2</v>
      </c>
      <c r="D8" s="103">
        <v>34.86</v>
      </c>
      <c r="E8" s="105">
        <v>55.8</v>
      </c>
    </row>
    <row r="9" spans="1:5">
      <c r="A9" s="99" t="s">
        <v>562</v>
      </c>
      <c r="B9" s="103">
        <v>30.03</v>
      </c>
      <c r="C9" s="104">
        <v>22.4</v>
      </c>
      <c r="D9" s="103">
        <v>44.18</v>
      </c>
      <c r="E9" s="105">
        <v>47.1</v>
      </c>
    </row>
    <row r="10" spans="1:5">
      <c r="A10" s="99" t="s">
        <v>563</v>
      </c>
      <c r="B10" s="106">
        <v>38.78</v>
      </c>
      <c r="C10" s="104">
        <v>31.4</v>
      </c>
      <c r="D10" s="107">
        <v>54.94</v>
      </c>
      <c r="E10" s="108">
        <v>41.7</v>
      </c>
    </row>
    <row r="11" spans="1:5">
      <c r="A11" s="99" t="s">
        <v>564</v>
      </c>
      <c r="B11" s="106">
        <v>49.38</v>
      </c>
      <c r="C11" s="104">
        <v>44.3</v>
      </c>
      <c r="D11" s="107">
        <v>64.67</v>
      </c>
      <c r="E11" s="105">
        <v>35.8</v>
      </c>
    </row>
    <row r="12" spans="1:5">
      <c r="A12" s="99" t="s">
        <v>565</v>
      </c>
      <c r="B12" s="106">
        <v>56</v>
      </c>
      <c r="C12" s="104">
        <v>41.9</v>
      </c>
      <c r="D12" s="107">
        <v>75.46</v>
      </c>
      <c r="E12" s="105">
        <v>34.8</v>
      </c>
    </row>
    <row r="13" spans="1:5">
      <c r="A13" s="99" t="s">
        <v>566</v>
      </c>
      <c r="B13" s="106">
        <v>64.1</v>
      </c>
      <c r="C13" s="109">
        <v>44.1</v>
      </c>
      <c r="D13" s="107">
        <v>85.67</v>
      </c>
      <c r="E13" s="105">
        <v>33.7</v>
      </c>
    </row>
    <row r="14" spans="1:5">
      <c r="A14" s="99" t="s">
        <v>567</v>
      </c>
      <c r="B14" s="103">
        <v>72.32</v>
      </c>
      <c r="C14" s="104">
        <v>47.3</v>
      </c>
      <c r="D14" s="103">
        <v>93.88</v>
      </c>
      <c r="E14" s="105">
        <v>29.8</v>
      </c>
    </row>
    <row r="15" spans="1:5">
      <c r="A15" s="99" t="s">
        <v>568</v>
      </c>
      <c r="B15" s="103">
        <v>80.75</v>
      </c>
      <c r="C15" s="104">
        <v>52</v>
      </c>
      <c r="D15" s="103">
        <v>102.83</v>
      </c>
      <c r="E15" s="105">
        <v>27.4</v>
      </c>
    </row>
    <row r="16" spans="1:5">
      <c r="A16" s="99" t="s">
        <v>569</v>
      </c>
      <c r="B16" s="103">
        <v>89.4</v>
      </c>
      <c r="C16" s="104">
        <v>52.9</v>
      </c>
      <c r="D16" s="103">
        <v>112.45</v>
      </c>
      <c r="E16" s="105">
        <v>25.8</v>
      </c>
    </row>
    <row r="17" ht="18" customHeight="1" spans="1:7">
      <c r="A17" s="95" t="s">
        <v>555</v>
      </c>
      <c r="B17" s="96" t="s">
        <v>36</v>
      </c>
      <c r="C17" s="110"/>
      <c r="D17" s="96" t="s">
        <v>570</v>
      </c>
      <c r="E17" s="111"/>
    </row>
    <row r="18" ht="18" customHeight="1" spans="1:7">
      <c r="A18" s="95"/>
      <c r="B18" s="96" t="s">
        <v>558</v>
      </c>
      <c r="C18" s="97" t="s">
        <v>42</v>
      </c>
      <c r="D18" s="96" t="s">
        <v>558</v>
      </c>
      <c r="E18" s="98" t="s">
        <v>42</v>
      </c>
    </row>
    <row r="19" spans="1:7">
      <c r="A19" s="112" t="s">
        <v>559</v>
      </c>
      <c r="B19" s="113"/>
      <c r="C19" s="114"/>
      <c r="D19" s="113">
        <v>9.5556</v>
      </c>
      <c r="E19" s="115">
        <v>4.79</v>
      </c>
    </row>
    <row r="20" spans="1:7">
      <c r="A20" s="112" t="s">
        <v>560</v>
      </c>
      <c r="B20" s="116">
        <v>17.27</v>
      </c>
      <c r="C20" s="117">
        <v>6.3</v>
      </c>
      <c r="D20" s="113">
        <v>17.8917</v>
      </c>
      <c r="E20" s="115">
        <v>6</v>
      </c>
    </row>
    <row r="21" spans="1:7">
      <c r="A21" s="112" t="s">
        <v>81</v>
      </c>
      <c r="B21" s="116">
        <v>26.96</v>
      </c>
      <c r="C21" s="117">
        <v>6.1</v>
      </c>
      <c r="D21" s="113">
        <v>28.281</v>
      </c>
      <c r="E21" s="115">
        <v>5.59</v>
      </c>
    </row>
    <row r="22" spans="1:7">
      <c r="A22" s="112" t="s">
        <v>561</v>
      </c>
      <c r="B22" s="116">
        <v>37.45</v>
      </c>
      <c r="C22" s="117">
        <v>5.9</v>
      </c>
      <c r="D22" s="113"/>
      <c r="E22" s="115"/>
    </row>
    <row r="23" spans="1:7">
      <c r="A23" s="112" t="s">
        <v>562</v>
      </c>
      <c r="B23" s="116">
        <v>48.08</v>
      </c>
      <c r="C23" s="117">
        <v>9.1</v>
      </c>
      <c r="D23" s="113"/>
      <c r="E23" s="115"/>
    </row>
    <row r="24" spans="1:7">
      <c r="A24" s="112" t="s">
        <v>563</v>
      </c>
      <c r="B24" s="116">
        <v>58.99</v>
      </c>
      <c r="C24" s="117">
        <v>8.9</v>
      </c>
      <c r="D24" s="113"/>
      <c r="E24" s="115"/>
    </row>
    <row r="25" spans="1:7">
      <c r="A25" s="112" t="s">
        <v>564</v>
      </c>
      <c r="B25" s="116">
        <v>69.33</v>
      </c>
      <c r="C25" s="117">
        <v>8</v>
      </c>
      <c r="D25" s="113"/>
      <c r="E25" s="115"/>
    </row>
    <row r="26" spans="1:7">
      <c r="A26" s="112" t="s">
        <v>565</v>
      </c>
      <c r="B26" s="116">
        <v>79.65</v>
      </c>
      <c r="C26" s="117">
        <v>6.9</v>
      </c>
      <c r="D26" s="113"/>
      <c r="E26" s="115"/>
    </row>
    <row r="27" spans="1:7">
      <c r="A27" s="112" t="s">
        <v>566</v>
      </c>
      <c r="B27" s="116">
        <v>89.42</v>
      </c>
      <c r="C27" s="117">
        <v>5.6</v>
      </c>
      <c r="D27" s="113"/>
      <c r="E27" s="115"/>
    </row>
    <row r="28" spans="1:7">
      <c r="A28" s="112" t="s">
        <v>567</v>
      </c>
      <c r="B28" s="116">
        <v>99.61</v>
      </c>
      <c r="C28" s="117">
        <v>5.9</v>
      </c>
      <c r="D28" s="113"/>
      <c r="E28" s="115"/>
    </row>
    <row r="29" spans="1:7">
      <c r="A29" s="112" t="s">
        <v>568</v>
      </c>
      <c r="B29" s="116">
        <v>109.32</v>
      </c>
      <c r="C29" s="117">
        <v>5.76</v>
      </c>
      <c r="D29" s="113"/>
      <c r="E29" s="115"/>
      <c r="G29" s="118"/>
    </row>
    <row r="30" ht="15" spans="1:7">
      <c r="A30" s="119" t="s">
        <v>569</v>
      </c>
      <c r="B30" s="120">
        <v>119.75</v>
      </c>
      <c r="C30" s="121">
        <v>6</v>
      </c>
      <c r="D30" s="122"/>
      <c r="E30" s="123"/>
    </row>
    <row r="31" spans="1:7">
      <c r="A31" s="124"/>
      <c r="B31" s="124"/>
      <c r="C31" s="124"/>
      <c r="D31" s="124"/>
      <c r="E31" s="124"/>
    </row>
  </sheetData>
  <mergeCells count="8">
    <mergeCell ref="A1:E1"/>
    <mergeCell ref="D2:E2"/>
    <mergeCell ref="B3:C3"/>
    <mergeCell ref="D3:E3"/>
    <mergeCell ref="B17:C17"/>
    <mergeCell ref="D17:E17"/>
    <mergeCell ref="A3:A4"/>
    <mergeCell ref="A17:A18"/>
  </mergeCells>
  <pageMargins left="0.75" right="0.75" top="1" bottom="1" header="0.509027777777778" footer="0.509027777777778"/>
  <headerFooter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G31"/>
  <sheetViews>
    <sheetView topLeftCell="A7" workbookViewId="0">
      <selection activeCell="B27" sqref="B27:C31"/>
    </sheetView>
  </sheetViews>
  <sheetFormatPr defaultColWidth="9" defaultRowHeight="14.25" outlineLevelCol="6"/>
  <cols>
    <col min="1" max="1" width="14.375" style="45" customWidth="1"/>
    <col min="2" max="2" width="26.875" customWidth="1"/>
    <col min="3" max="3" width="18.875" customWidth="1"/>
    <col min="4" max="4" width="0.5" hidden="1" customWidth="1"/>
    <col min="5" max="6" width="9" hidden="1" customWidth="1"/>
  </cols>
  <sheetData>
    <row r="1" ht="33.75" customHeight="1" spans="1:7">
      <c r="A1" s="3" t="s">
        <v>579</v>
      </c>
      <c r="B1" s="3"/>
      <c r="C1" s="3"/>
      <c r="D1" s="3"/>
      <c r="E1" s="3"/>
      <c r="F1" s="3"/>
      <c r="G1" s="46"/>
    </row>
    <row r="2" ht="20.25" customHeight="1" spans="1:7">
      <c r="A2" s="47"/>
      <c r="B2" s="47"/>
      <c r="C2" s="62" t="s">
        <v>580</v>
      </c>
      <c r="D2" s="62"/>
      <c r="E2" s="62"/>
      <c r="F2" s="62"/>
      <c r="G2" s="46"/>
    </row>
    <row r="3" s="44" customFormat="1" ht="31.5" customHeight="1" spans="1:7">
      <c r="A3" t="s">
        <v>552</v>
      </c>
      <c r="B3" t="s">
        <v>12</v>
      </c>
      <c r="C3"/>
      <c r="D3" s="49"/>
      <c r="E3" s="50"/>
      <c r="F3" s="51"/>
      <c r="G3" s="52"/>
    </row>
    <row r="4" s="44" customFormat="1" ht="31.5" customHeight="1" spans="1:7">
      <c r="A4"/>
      <c r="B4" s="7" t="s">
        <v>553</v>
      </c>
      <c r="C4" s="8" t="s">
        <v>554</v>
      </c>
      <c r="D4" s="53"/>
      <c r="E4" s="54"/>
      <c r="F4" s="55"/>
      <c r="G4" s="52"/>
    </row>
    <row r="5" ht="18" customHeight="1" spans="1:7">
      <c r="A5" s="9">
        <v>2016</v>
      </c>
      <c r="B5" s="79"/>
      <c r="C5" s="11"/>
      <c r="D5" s="56"/>
      <c r="E5" s="56"/>
      <c r="F5" s="56"/>
    </row>
    <row r="6" ht="18" customHeight="1" spans="1:7">
      <c r="A6" s="9">
        <v>5</v>
      </c>
      <c r="B6" s="79">
        <f>ROUND(3079283,0)</f>
        <v>3079283</v>
      </c>
      <c r="C6" s="11">
        <f>ROUND(7.2,1)</f>
        <v>7.2</v>
      </c>
      <c r="D6" s="56"/>
      <c r="E6" s="56"/>
      <c r="F6" s="56"/>
    </row>
    <row r="7" ht="18" customHeight="1" spans="1:7">
      <c r="A7" s="9">
        <v>6</v>
      </c>
      <c r="B7" s="79">
        <f>ROUND(5096563,0)</f>
        <v>5096563</v>
      </c>
      <c r="C7" s="11">
        <f>ROUND(15.1,1)</f>
        <v>15.1</v>
      </c>
      <c r="D7" s="56"/>
      <c r="E7" s="56"/>
      <c r="F7" s="56"/>
    </row>
    <row r="8" ht="18" customHeight="1" spans="1:7">
      <c r="A8" s="9">
        <v>7</v>
      </c>
      <c r="B8" s="79">
        <f>ROUND(6263505,0)</f>
        <v>6263505</v>
      </c>
      <c r="C8" s="80">
        <f>ROUND(16.3,1)</f>
        <v>16.3</v>
      </c>
      <c r="D8" s="56"/>
      <c r="E8" s="56"/>
      <c r="F8" s="56"/>
    </row>
    <row r="9" ht="18" customHeight="1" spans="1:7">
      <c r="A9" s="9">
        <v>8</v>
      </c>
      <c r="B9" s="79">
        <f>ROUND(7372203,0)</f>
        <v>7372203</v>
      </c>
      <c r="C9" s="11">
        <f>ROUND(24.8,1)</f>
        <v>24.8</v>
      </c>
      <c r="D9" s="56"/>
      <c r="E9" s="56"/>
      <c r="F9" s="56"/>
    </row>
    <row r="10" ht="18" customHeight="1" spans="1:7">
      <c r="A10" s="9">
        <v>9</v>
      </c>
      <c r="B10" s="79">
        <f>ROUND(8717492,0)</f>
        <v>8717492</v>
      </c>
      <c r="C10" s="11">
        <f>ROUND(23.5,1)</f>
        <v>23.5</v>
      </c>
      <c r="D10" s="56"/>
      <c r="E10" s="56"/>
      <c r="F10" s="56"/>
    </row>
    <row r="11" ht="18" customHeight="1" spans="1:7">
      <c r="A11" s="9">
        <v>10</v>
      </c>
      <c r="B11" s="79">
        <f>ROUND(10215452,0)</f>
        <v>10215452</v>
      </c>
      <c r="C11" s="11">
        <f>ROUND(22.6,1)</f>
        <v>22.6</v>
      </c>
      <c r="D11" s="56"/>
      <c r="E11" s="56"/>
      <c r="F11" s="56"/>
    </row>
    <row r="12" spans="1:7">
      <c r="A12" s="9">
        <v>11</v>
      </c>
      <c r="B12" s="79">
        <f>ROUND(12000485,0)</f>
        <v>12000485</v>
      </c>
      <c r="C12" s="11">
        <f>ROUND(23.9,1)</f>
        <v>23.9</v>
      </c>
    </row>
    <row r="13" spans="1:7">
      <c r="A13" s="9">
        <v>12</v>
      </c>
      <c r="B13" s="79">
        <f>ROUND(15315995,0)</f>
        <v>15315995</v>
      </c>
      <c r="C13" s="11">
        <f>ROUND(16.6,1)</f>
        <v>16.6</v>
      </c>
    </row>
    <row r="14" spans="1:7">
      <c r="A14" s="9">
        <v>2017</v>
      </c>
      <c r="B14" s="81"/>
      <c r="C14" s="82"/>
    </row>
    <row r="15" spans="1:7">
      <c r="A15" s="9">
        <v>2</v>
      </c>
      <c r="B15" s="79">
        <f>ROUND(796488,0)</f>
        <v>796488</v>
      </c>
      <c r="C15" s="11">
        <f>ROUND(5.3,1)</f>
        <v>5.3</v>
      </c>
    </row>
    <row r="16" spans="1:7">
      <c r="A16" s="9">
        <v>3</v>
      </c>
      <c r="B16" s="81">
        <f>ROUND(1575746,0)</f>
        <v>1575746</v>
      </c>
      <c r="C16" s="11">
        <f>ROUND(7.9,1)</f>
        <v>7.9</v>
      </c>
    </row>
    <row r="17" spans="1:3">
      <c r="A17" s="68">
        <v>4</v>
      </c>
      <c r="B17" s="42">
        <f>ROUND(2056743,0)</f>
        <v>2056743</v>
      </c>
      <c r="C17" s="11">
        <f>ROUND(-0.7,1)</f>
        <v>-0.7</v>
      </c>
    </row>
    <row r="18" spans="1:3">
      <c r="A18" s="68">
        <v>5</v>
      </c>
      <c r="B18" s="16">
        <f>ROUND(2889968,0)</f>
        <v>2889968</v>
      </c>
      <c r="C18" s="11">
        <f>ROUND(-6.1,1)</f>
        <v>-6.1</v>
      </c>
    </row>
    <row r="19" spans="1:3">
      <c r="A19" s="68">
        <v>6</v>
      </c>
      <c r="B19" s="16">
        <f>ROUND(5604382,0)</f>
        <v>5604382</v>
      </c>
      <c r="C19" s="11">
        <f>ROUND(10,1)</f>
        <v>10</v>
      </c>
    </row>
    <row r="20" spans="1:3">
      <c r="A20" s="68">
        <v>7</v>
      </c>
      <c r="B20" s="81">
        <f>ROUND(6864511,0)</f>
        <v>6864511</v>
      </c>
      <c r="C20" s="11">
        <f>ROUND(9.6,1)</f>
        <v>9.6</v>
      </c>
    </row>
    <row r="21" spans="1:3">
      <c r="A21" s="83">
        <v>8</v>
      </c>
      <c r="B21" s="42">
        <f>ROUND(8096944,0)</f>
        <v>8096944</v>
      </c>
      <c r="C21" s="11">
        <f>ROUND(9.8,1)</f>
        <v>9.8</v>
      </c>
    </row>
    <row r="22" spans="1:3">
      <c r="A22" s="83">
        <v>9</v>
      </c>
      <c r="B22" s="42">
        <f>ROUND(9772404,0)</f>
        <v>9772404</v>
      </c>
      <c r="C22" s="11">
        <f>ROUND(12.1010951314896,1)</f>
        <v>12.1</v>
      </c>
    </row>
    <row r="23" spans="1:3">
      <c r="A23" s="83">
        <v>10</v>
      </c>
      <c r="B23" s="42">
        <f>ROUND(11367531,0)</f>
        <v>11367531</v>
      </c>
      <c r="C23" s="11">
        <f>ROUND(11.3,1)</f>
        <v>11.3</v>
      </c>
    </row>
    <row r="24" spans="1:3">
      <c r="A24" s="83">
        <v>11</v>
      </c>
      <c r="B24" s="42">
        <f>ROUND(13376063,0)</f>
        <v>13376063</v>
      </c>
      <c r="C24" s="11">
        <f>ROUND(11.5,1)</f>
        <v>11.5</v>
      </c>
    </row>
    <row r="25" spans="1:3">
      <c r="A25" s="83">
        <v>12</v>
      </c>
      <c r="B25" s="42">
        <f>ROUND(16415341,0)</f>
        <v>16415341</v>
      </c>
      <c r="C25" s="11">
        <f>ROUND(7.2,1)</f>
        <v>7.2</v>
      </c>
    </row>
    <row r="26" spans="1:3">
      <c r="A26" s="15">
        <v>2018</v>
      </c>
      <c r="B26" s="16"/>
      <c r="C26" s="17"/>
    </row>
    <row r="27" spans="1:3">
      <c r="A27" s="15">
        <v>2</v>
      </c>
      <c r="B27" s="16">
        <f>ROUND(844761,0)</f>
        <v>844761</v>
      </c>
      <c r="C27" s="21">
        <f>ROUND(8.8,1)</f>
        <v>8.8</v>
      </c>
    </row>
    <row r="28" spans="1:3">
      <c r="A28" s="15">
        <v>3</v>
      </c>
      <c r="B28" s="16">
        <f>ROUND(2020022,0)</f>
        <v>2020022</v>
      </c>
      <c r="C28" s="21">
        <f>ROUND(31.6,1)</f>
        <v>31.6</v>
      </c>
    </row>
    <row r="29" spans="1:3">
      <c r="A29" s="15">
        <v>4</v>
      </c>
      <c r="B29" s="42">
        <f>ROUND(2639275,0)</f>
        <v>2639275</v>
      </c>
      <c r="C29" s="21">
        <f>ROUND(31,1)</f>
        <v>31</v>
      </c>
    </row>
    <row r="30" spans="1:3">
      <c r="A30" s="15">
        <v>5</v>
      </c>
      <c r="B30" s="42">
        <v>3391968</v>
      </c>
      <c r="C30" s="21">
        <v>19.6</v>
      </c>
    </row>
    <row r="31" spans="1:3">
      <c r="A31" s="22">
        <v>6</v>
      </c>
      <c r="B31" s="84">
        <v>5515829</v>
      </c>
      <c r="C31" s="85">
        <v>13.6</v>
      </c>
    </row>
  </sheetData>
  <mergeCells count="4">
    <mergeCell ref="A1:F1"/>
    <mergeCell ref="C2:F2"/>
    <mergeCell ref="B3:C3"/>
    <mergeCell ref="A3:A4"/>
  </mergeCells>
  <pageMargins left="0.75" right="0.75" top="1" bottom="1" header="0.5" footer="0.5"/>
  <pageSetup paperSize="9" orientation="portrait"/>
  <headerFooter alignWithMargins="0" scaleWithDoc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G30"/>
  <sheetViews>
    <sheetView topLeftCell="A7" workbookViewId="0">
      <selection activeCell="B26" sqref="B26:C30"/>
    </sheetView>
  </sheetViews>
  <sheetFormatPr defaultColWidth="9" defaultRowHeight="14.25" outlineLevelCol="6"/>
  <cols>
    <col min="1" max="1" width="14.375" style="45" customWidth="1"/>
    <col min="2" max="2" width="26.875" customWidth="1"/>
    <col min="3" max="3" width="18.875" customWidth="1"/>
    <col min="4" max="4" width="0.5" hidden="1" customWidth="1"/>
    <col min="5" max="6" width="9" hidden="1" customWidth="1"/>
  </cols>
  <sheetData>
    <row r="1" ht="33.75" customHeight="1" spans="1:7">
      <c r="A1" s="3" t="s">
        <v>581</v>
      </c>
      <c r="B1" s="3"/>
      <c r="C1" s="3"/>
      <c r="D1" s="3"/>
      <c r="E1" s="3"/>
      <c r="F1" s="3"/>
      <c r="G1" s="46"/>
    </row>
    <row r="2" ht="20.25" customHeight="1" spans="1:7">
      <c r="A2" s="47"/>
      <c r="B2" s="47"/>
      <c r="C2" s="62" t="s">
        <v>580</v>
      </c>
      <c r="D2" s="62"/>
      <c r="E2" s="62"/>
      <c r="F2" s="62"/>
      <c r="G2" s="46"/>
    </row>
    <row r="3" s="44" customFormat="1" ht="31.5" customHeight="1" spans="1:7">
      <c r="A3" t="s">
        <v>552</v>
      </c>
      <c r="B3" t="s">
        <v>16</v>
      </c>
      <c r="C3"/>
      <c r="D3" s="49"/>
      <c r="E3" s="50"/>
      <c r="F3" s="51"/>
      <c r="G3" s="52"/>
    </row>
    <row r="4" s="44" customFormat="1" ht="31.5" customHeight="1" spans="1:7">
      <c r="A4"/>
      <c r="B4" s="7" t="s">
        <v>553</v>
      </c>
      <c r="C4" s="8" t="s">
        <v>554</v>
      </c>
      <c r="D4" s="53"/>
      <c r="E4" s="54"/>
      <c r="F4" s="55"/>
      <c r="G4" s="52"/>
    </row>
    <row r="5" ht="18" customHeight="1" spans="1:7">
      <c r="A5" s="9">
        <v>2016</v>
      </c>
      <c r="B5" s="63"/>
      <c r="C5" s="11"/>
      <c r="D5" s="56"/>
      <c r="E5" s="56"/>
      <c r="F5" s="56"/>
    </row>
    <row r="6" ht="18" customHeight="1" spans="1:7">
      <c r="A6" s="9">
        <v>6</v>
      </c>
      <c r="B6" s="64">
        <f>ROUND(6760206,0)</f>
        <v>6760206</v>
      </c>
      <c r="C6" s="65">
        <f>ROUND(8.8,1)</f>
        <v>8.8</v>
      </c>
      <c r="D6" s="56"/>
      <c r="E6" s="56"/>
      <c r="F6" s="56"/>
    </row>
    <row r="7" ht="18" customHeight="1" spans="1:7">
      <c r="A7" s="9">
        <v>7</v>
      </c>
      <c r="B7" s="64">
        <f>ROUND(7975890,0)</f>
        <v>7975890</v>
      </c>
      <c r="C7" s="65">
        <f>ROUND(9,1)</f>
        <v>9</v>
      </c>
      <c r="D7" s="56"/>
      <c r="E7" s="56"/>
      <c r="F7" s="56"/>
    </row>
    <row r="8" ht="18" customHeight="1" spans="1:7">
      <c r="A8" s="9">
        <v>8</v>
      </c>
      <c r="B8" s="64">
        <f>ROUND(9193702.5,0)</f>
        <v>9193703</v>
      </c>
      <c r="C8" s="65">
        <f>ROUND(8.9,1)</f>
        <v>8.9</v>
      </c>
      <c r="D8" s="56"/>
      <c r="E8" s="56"/>
      <c r="F8" s="56"/>
    </row>
    <row r="9" spans="1:7">
      <c r="A9" s="9">
        <v>9</v>
      </c>
      <c r="B9" s="66">
        <f>ROUND(10457008.3,0)</f>
        <v>10457008</v>
      </c>
      <c r="C9" s="65">
        <f>ROUND(9.3,1)</f>
        <v>9.3</v>
      </c>
    </row>
    <row r="10" spans="1:7">
      <c r="A10" s="9">
        <v>10</v>
      </c>
      <c r="B10" s="66">
        <f>ROUND(11782159.5,0)</f>
        <v>11782160</v>
      </c>
      <c r="C10" s="65">
        <f>ROUND(9.5,1)</f>
        <v>9.5</v>
      </c>
    </row>
    <row r="11" spans="1:7">
      <c r="A11" s="9">
        <v>11</v>
      </c>
      <c r="B11" s="67">
        <f>ROUND(13025842,0)</f>
        <v>13025842</v>
      </c>
      <c r="C11" s="65">
        <f>ROUND(9.4,1)</f>
        <v>9.4</v>
      </c>
    </row>
    <row r="12" ht="15.95" customHeight="1" spans="1:7">
      <c r="A12" s="68">
        <v>12</v>
      </c>
      <c r="B12" s="69">
        <f>ROUND(14329570,0)</f>
        <v>14329570</v>
      </c>
      <c r="C12" s="70">
        <f>ROUND(9.5,1)</f>
        <v>9.5</v>
      </c>
    </row>
    <row r="13" ht="15.95" customHeight="1" spans="1:7">
      <c r="A13" s="68">
        <v>2017</v>
      </c>
      <c r="B13" s="69"/>
      <c r="C13" s="70"/>
    </row>
    <row r="14" ht="15.95" customHeight="1" spans="1:7">
      <c r="A14" s="68">
        <v>2</v>
      </c>
      <c r="B14" s="69">
        <f>ROUND(2520522,0)</f>
        <v>2520522</v>
      </c>
      <c r="C14" s="71">
        <f>ROUND(12,1)</f>
        <v>12</v>
      </c>
    </row>
    <row r="15" ht="15.95" customHeight="1" spans="1:7">
      <c r="A15" s="68">
        <v>3</v>
      </c>
      <c r="B15" s="69">
        <f>ROUND(3755066,0)</f>
        <v>3755066</v>
      </c>
      <c r="C15" s="70">
        <f>ROUND(12.1,1)</f>
        <v>12.1</v>
      </c>
    </row>
    <row r="16" ht="15.95" customHeight="1" spans="1:7">
      <c r="A16" s="68">
        <v>4</v>
      </c>
      <c r="B16" s="69">
        <f>ROUND(4968495,0)</f>
        <v>4968495</v>
      </c>
      <c r="C16" s="70">
        <f>ROUND(11.8,1)</f>
        <v>11.8</v>
      </c>
    </row>
    <row r="17" ht="15.95" customHeight="1" spans="1:3">
      <c r="A17" s="68">
        <v>5</v>
      </c>
      <c r="B17" s="69">
        <f>ROUND(6247711,0)</f>
        <v>6247711</v>
      </c>
      <c r="C17" s="70">
        <f>ROUND(11.5,1)</f>
        <v>11.5</v>
      </c>
    </row>
    <row r="18" ht="15.95" customHeight="1" spans="1:3">
      <c r="A18" s="68">
        <v>6</v>
      </c>
      <c r="B18" s="69">
        <f>ROUND(7543984,0)</f>
        <v>7543984</v>
      </c>
      <c r="C18" s="70">
        <f>ROUND(11.1,1)</f>
        <v>11.1</v>
      </c>
    </row>
    <row r="19" ht="15.95" customHeight="1" spans="1:3">
      <c r="A19" s="68">
        <v>7</v>
      </c>
      <c r="B19" s="69">
        <f>ROUND(8865132,0)</f>
        <v>8865132</v>
      </c>
      <c r="C19" s="70">
        <f>ROUND(10.8,1)</f>
        <v>10.8</v>
      </c>
    </row>
    <row r="20" ht="15.95" customHeight="1" spans="1:3">
      <c r="A20" s="72">
        <v>8</v>
      </c>
      <c r="B20" s="73">
        <f>ROUND(10165674.4,0)</f>
        <v>10165674</v>
      </c>
      <c r="C20" s="74">
        <f>ROUND(10.2,1)</f>
        <v>10.2</v>
      </c>
    </row>
    <row r="21" spans="1:3">
      <c r="A21" s="68">
        <v>9</v>
      </c>
      <c r="B21" s="73">
        <f>ROUND(11558876.6,0)</f>
        <v>11558877</v>
      </c>
      <c r="C21" s="74">
        <f>ROUND(10.2,1)</f>
        <v>10.2</v>
      </c>
    </row>
    <row r="22" spans="1:3">
      <c r="A22" s="68">
        <v>10</v>
      </c>
      <c r="B22" s="73">
        <f>ROUND(12962204,0)</f>
        <v>12962204</v>
      </c>
      <c r="C22" s="74">
        <f>ROUND(10.2,1)</f>
        <v>10.2</v>
      </c>
    </row>
    <row r="23" spans="1:3">
      <c r="A23" s="68">
        <v>11</v>
      </c>
      <c r="B23" s="73">
        <f>ROUND(14339244.7,0)</f>
        <v>14339245</v>
      </c>
      <c r="C23" s="75">
        <f>ROUND(10.1873510322444,1)</f>
        <v>10.2</v>
      </c>
    </row>
    <row r="24" spans="1:3">
      <c r="A24" s="68">
        <v>12</v>
      </c>
      <c r="B24" s="73">
        <f>ROUND(15780801.9,0)</f>
        <v>15780802</v>
      </c>
      <c r="C24" s="75">
        <f>ROUND(10.1275297129633,1)</f>
        <v>10.1</v>
      </c>
    </row>
    <row r="25" spans="1:3">
      <c r="A25" s="15">
        <v>2018</v>
      </c>
      <c r="B25" s="16"/>
      <c r="C25" s="17"/>
    </row>
    <row r="26" spans="1:3">
      <c r="A26" s="15">
        <v>2</v>
      </c>
      <c r="B26" s="76">
        <f>ROUND(2761961.2,0)</f>
        <v>2761961</v>
      </c>
      <c r="C26" s="17">
        <f>ROUND(10.1,1)</f>
        <v>10.1</v>
      </c>
    </row>
    <row r="27" spans="1:3">
      <c r="A27" s="15">
        <v>3</v>
      </c>
      <c r="B27" s="76">
        <f>ROUND(4120562.9,0)</f>
        <v>4120563</v>
      </c>
      <c r="C27" s="17">
        <f>ROUND(10.1,1)</f>
        <v>10.1</v>
      </c>
    </row>
    <row r="28" spans="1:3">
      <c r="A28" s="15">
        <v>4</v>
      </c>
      <c r="B28" s="76">
        <f>ROUND(5462840,0)</f>
        <v>5462840</v>
      </c>
      <c r="C28" s="17">
        <f>ROUND(10.1,1)</f>
        <v>10.1</v>
      </c>
    </row>
    <row r="29" spans="1:3">
      <c r="A29" s="15">
        <v>5</v>
      </c>
      <c r="B29" s="76">
        <v>6829174</v>
      </c>
      <c r="C29" s="21">
        <v>10</v>
      </c>
    </row>
    <row r="30" spans="1:3">
      <c r="A30" s="22">
        <v>6</v>
      </c>
      <c r="B30" s="77">
        <v>8214416</v>
      </c>
      <c r="C30" s="78">
        <v>10</v>
      </c>
    </row>
  </sheetData>
  <mergeCells count="4">
    <mergeCell ref="A1:F1"/>
    <mergeCell ref="C2:F2"/>
    <mergeCell ref="B3:C3"/>
    <mergeCell ref="A3:A4"/>
  </mergeCells>
  <pageMargins left="0.75" right="0.75" top="1" bottom="1" header="0.5" footer="0.5"/>
  <pageSetup paperSize="9" orientation="portrait"/>
  <headerFooter alignWithMargins="0" scaleWithDoc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H32"/>
  <sheetViews>
    <sheetView workbookViewId="0">
      <selection activeCell="J35" sqref="J35"/>
    </sheetView>
  </sheetViews>
  <sheetFormatPr defaultColWidth="9" defaultRowHeight="14.25" outlineLevelCol="7"/>
  <cols>
    <col min="1" max="1" width="14.375" style="45" customWidth="1"/>
    <col min="2" max="2" width="26.875" customWidth="1"/>
    <col min="3" max="3" width="18.875" customWidth="1"/>
    <col min="4" max="4" width="0.5" hidden="1" customWidth="1"/>
    <col min="5" max="6" width="9" hidden="1" customWidth="1"/>
  </cols>
  <sheetData>
    <row r="1" ht="33.75" customHeight="1" spans="1:8">
      <c r="A1" s="3" t="s">
        <v>582</v>
      </c>
      <c r="B1" s="3"/>
      <c r="C1" s="3"/>
      <c r="D1" s="3"/>
      <c r="E1" s="3"/>
      <c r="F1" s="3"/>
      <c r="G1" s="46"/>
    </row>
    <row r="2" ht="20.25" customHeight="1" spans="1:8">
      <c r="A2" s="47"/>
      <c r="C2" s="48" t="s">
        <v>583</v>
      </c>
      <c r="D2" s="48"/>
      <c r="E2" s="48"/>
      <c r="F2" s="48"/>
      <c r="G2" s="48"/>
      <c r="H2" s="48"/>
    </row>
    <row r="3" s="44" customFormat="1" ht="31.5" customHeight="1" spans="1:8">
      <c r="A3" t="s">
        <v>552</v>
      </c>
      <c r="B3" t="s">
        <v>584</v>
      </c>
      <c r="C3"/>
      <c r="D3" s="49"/>
      <c r="E3" s="50"/>
      <c r="F3" s="51"/>
      <c r="G3" s="52"/>
    </row>
    <row r="4" s="44" customFormat="1" ht="31.5" customHeight="1" spans="1:8">
      <c r="A4"/>
      <c r="B4" s="7" t="s">
        <v>553</v>
      </c>
      <c r="C4" s="8" t="s">
        <v>554</v>
      </c>
      <c r="D4" s="53"/>
      <c r="E4" s="54"/>
      <c r="F4" s="55"/>
      <c r="G4" s="52"/>
    </row>
    <row r="5" ht="18" customHeight="1" spans="1:8">
      <c r="A5" s="9">
        <v>2016</v>
      </c>
      <c r="B5" s="28"/>
      <c r="C5" s="11"/>
      <c r="D5" s="56"/>
      <c r="E5" s="56"/>
      <c r="F5" s="56"/>
      <c r="H5" t="s">
        <v>585</v>
      </c>
    </row>
    <row r="6" ht="18" customHeight="1" spans="1:8">
      <c r="A6" s="9">
        <v>5</v>
      </c>
      <c r="B6" s="28">
        <f>ROUND(651964,0)</f>
        <v>651964</v>
      </c>
      <c r="C6" s="57">
        <f>ROUND(4.3,1)</f>
        <v>4.3</v>
      </c>
      <c r="D6" s="56"/>
      <c r="E6" s="56"/>
      <c r="F6" s="56"/>
    </row>
    <row r="7" ht="18" customHeight="1" spans="1:8">
      <c r="A7" s="9">
        <v>6</v>
      </c>
      <c r="B7" s="28">
        <f>ROUND(780476,0)</f>
        <v>780476</v>
      </c>
      <c r="C7" s="11">
        <f>ROUND(-3.8,1)</f>
        <v>-3.8</v>
      </c>
      <c r="D7" s="56"/>
      <c r="E7" s="56"/>
      <c r="F7" s="56"/>
    </row>
    <row r="8" ht="18" customHeight="1" spans="1:8">
      <c r="A8" s="9">
        <v>7</v>
      </c>
      <c r="B8" s="28">
        <f>ROUND(922333.1019,0)</f>
        <v>922333</v>
      </c>
      <c r="C8" s="11">
        <f>ROUND(-3.98796758100968,1)</f>
        <v>-4</v>
      </c>
      <c r="D8" s="56"/>
      <c r="E8" s="56"/>
      <c r="F8" s="56"/>
    </row>
    <row r="9" spans="1:8">
      <c r="A9" s="9">
        <v>8</v>
      </c>
      <c r="B9" s="28">
        <f>ROUND(1118014,0)</f>
        <v>1118014</v>
      </c>
      <c r="C9" s="11">
        <f>ROUND(2.07,1)</f>
        <v>2.1</v>
      </c>
    </row>
    <row r="10" spans="1:8">
      <c r="A10" s="9">
        <v>9</v>
      </c>
      <c r="B10" s="28">
        <f>ROUND(1355582.6735,0)</f>
        <v>1355583</v>
      </c>
      <c r="C10" s="11">
        <f>ROUND(10.8909650955423,1)</f>
        <v>10.9</v>
      </c>
    </row>
    <row r="11" spans="1:8">
      <c r="A11" s="9">
        <v>10</v>
      </c>
      <c r="B11" s="28">
        <f>ROUND(1530438,0)</f>
        <v>1530438</v>
      </c>
      <c r="C11" s="11">
        <f>ROUND(12,1)</f>
        <v>12</v>
      </c>
    </row>
    <row r="12" spans="1:8">
      <c r="A12" s="58">
        <v>11</v>
      </c>
      <c r="B12" s="28">
        <f>ROUND(1711506,0)</f>
        <v>1711506</v>
      </c>
      <c r="C12" s="11">
        <f>ROUND(14,1)</f>
        <v>14</v>
      </c>
    </row>
    <row r="13" spans="1:8">
      <c r="A13" s="58">
        <v>12</v>
      </c>
      <c r="B13" s="28">
        <f>ROUND(1947922,0)</f>
        <v>1947922</v>
      </c>
      <c r="C13" s="11">
        <f>ROUND(11.8,1)</f>
        <v>11.8</v>
      </c>
    </row>
    <row r="14" spans="1:8">
      <c r="A14" s="58">
        <v>2017</v>
      </c>
      <c r="B14" s="28"/>
      <c r="C14" s="11"/>
    </row>
    <row r="15" spans="1:8">
      <c r="A15" s="58">
        <v>1</v>
      </c>
      <c r="B15" s="28">
        <f>ROUND(181359,0)</f>
        <v>181359</v>
      </c>
      <c r="C15" s="11">
        <f>ROUND(-7.6,1)</f>
        <v>-7.6</v>
      </c>
    </row>
    <row r="16" spans="1:8">
      <c r="A16" s="58">
        <v>2</v>
      </c>
      <c r="B16" s="28">
        <f>ROUND(241658,0)</f>
        <v>241658</v>
      </c>
      <c r="C16" s="11">
        <f>ROUND(-11.38,1)</f>
        <v>-11.4</v>
      </c>
    </row>
    <row r="17" spans="1:3">
      <c r="A17" s="58">
        <v>3</v>
      </c>
      <c r="B17" s="28">
        <f>ROUND(415528,0)</f>
        <v>415528</v>
      </c>
      <c r="C17" s="11">
        <f>ROUND(13.9,1)</f>
        <v>13.9</v>
      </c>
    </row>
    <row r="18" spans="1:3">
      <c r="A18" s="58">
        <v>4</v>
      </c>
      <c r="B18" s="28">
        <f>ROUND(594563,0)</f>
        <v>594563</v>
      </c>
      <c r="C18" s="11">
        <f>ROUND(22.2,1)</f>
        <v>22.2</v>
      </c>
    </row>
    <row r="19" spans="1:3">
      <c r="A19" s="58">
        <v>5</v>
      </c>
      <c r="B19" s="28">
        <f>ROUND(815811,0)</f>
        <v>815811</v>
      </c>
      <c r="C19" s="11">
        <f>ROUND(28.7,1)</f>
        <v>28.7</v>
      </c>
    </row>
    <row r="20" spans="1:3">
      <c r="A20" s="58">
        <v>6</v>
      </c>
      <c r="B20" s="28">
        <f>ROUND(1006074,0)</f>
        <v>1006074</v>
      </c>
      <c r="C20" s="11">
        <f>ROUND(32,1)</f>
        <v>32</v>
      </c>
    </row>
    <row r="21" spans="1:3">
      <c r="A21" s="58">
        <v>7</v>
      </c>
      <c r="B21" s="41">
        <f>ROUND(1228741,0)</f>
        <v>1228741</v>
      </c>
      <c r="C21" s="14">
        <f>ROUND(35.9,1)</f>
        <v>35.9</v>
      </c>
    </row>
    <row r="22" spans="1:3">
      <c r="A22" s="58">
        <v>8</v>
      </c>
      <c r="B22" s="41">
        <v>1411285</v>
      </c>
      <c r="C22" s="14">
        <v>28.3</v>
      </c>
    </row>
    <row r="23" spans="1:3">
      <c r="A23" s="58">
        <v>9</v>
      </c>
      <c r="B23" s="41">
        <f>ROUND(1593063,0)</f>
        <v>1593063</v>
      </c>
      <c r="C23" s="14">
        <f>ROUND(19.1,1)</f>
        <v>19.1</v>
      </c>
    </row>
    <row r="24" spans="1:3">
      <c r="A24" s="58">
        <v>10</v>
      </c>
      <c r="B24" s="41">
        <f>ROUND(1750486,0)</f>
        <v>1750486</v>
      </c>
      <c r="C24" s="14">
        <f>ROUND(15.7303,1)</f>
        <v>15.7</v>
      </c>
    </row>
    <row r="25" spans="1:3">
      <c r="A25" s="58">
        <v>11</v>
      </c>
      <c r="B25" s="41">
        <f>ROUND(1923410,0)</f>
        <v>1923410</v>
      </c>
      <c r="C25" s="14">
        <f>ROUND(12.4106,1)</f>
        <v>12.4</v>
      </c>
    </row>
    <row r="26" spans="1:3">
      <c r="A26" s="58">
        <v>12</v>
      </c>
      <c r="B26" s="41">
        <f>ROUND(2170709.6623,0)</f>
        <v>2170710</v>
      </c>
      <c r="C26" s="14">
        <f>ROUND(11.4496,1)</f>
        <v>11.4</v>
      </c>
    </row>
    <row r="27" spans="1:3">
      <c r="A27" s="15">
        <v>2018</v>
      </c>
      <c r="B27" s="16"/>
      <c r="C27" s="17"/>
    </row>
    <row r="28" spans="1:3">
      <c r="A28" s="15">
        <v>1</v>
      </c>
      <c r="B28" s="41">
        <f>ROUND(245060.5487,0)</f>
        <v>245061</v>
      </c>
      <c r="C28" s="14">
        <f>ROUND(-9.2749,1)</f>
        <v>-9.3</v>
      </c>
    </row>
    <row r="29" spans="1:3">
      <c r="A29" s="15">
        <v>2</v>
      </c>
      <c r="B29" s="41">
        <f>ROUND(254273.584,0)</f>
        <v>254274</v>
      </c>
      <c r="C29" s="14">
        <f>ROUND(5.1148,1)</f>
        <v>5.1</v>
      </c>
    </row>
    <row r="30" spans="1:3">
      <c r="A30" s="15">
        <v>3</v>
      </c>
      <c r="B30" s="41">
        <f>ROUND(368490,0)</f>
        <v>368490</v>
      </c>
      <c r="C30" s="59">
        <f>ROUND(-11.4,1)</f>
        <v>-11.4</v>
      </c>
    </row>
    <row r="31" spans="1:3">
      <c r="A31" s="15">
        <v>4</v>
      </c>
      <c r="B31" s="41">
        <v>498314.2314</v>
      </c>
      <c r="C31" s="59">
        <v>-16.2432</v>
      </c>
    </row>
    <row r="32" spans="1:3">
      <c r="A32" s="22">
        <v>5</v>
      </c>
      <c r="B32" s="60">
        <v>696319</v>
      </c>
      <c r="C32" s="61">
        <v>-14.7</v>
      </c>
    </row>
  </sheetData>
  <mergeCells count="3">
    <mergeCell ref="A1:F1"/>
    <mergeCell ref="B3:C3"/>
    <mergeCell ref="A3:A4"/>
  </mergeCells>
  <pageMargins left="0.75" right="0.75" top="1" bottom="1" header="0.5" footer="0.5"/>
  <pageSetup paperSize="9" orientation="portrait"/>
  <headerFooter alignWithMargins="0" scaleWithDoc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C31"/>
  <sheetViews>
    <sheetView topLeftCell="A7" workbookViewId="0">
      <selection activeCell="H36" sqref="H36"/>
    </sheetView>
  </sheetViews>
  <sheetFormatPr defaultColWidth="9" defaultRowHeight="14.25" outlineLevelCol="2"/>
  <cols>
    <col min="1" max="1" width="14.375" customWidth="1"/>
    <col min="2" max="2" width="26.875" customWidth="1"/>
    <col min="3" max="3" width="18.875" customWidth="1"/>
  </cols>
  <sheetData>
    <row r="1" ht="24" spans="1:3">
      <c r="A1" s="40" t="s">
        <v>586</v>
      </c>
      <c r="B1" s="40"/>
      <c r="C1" s="40"/>
    </row>
    <row r="2" ht="24.75" spans="1:3">
      <c r="A2" s="26"/>
      <c r="B2" s="26"/>
      <c r="C2" s="27" t="s">
        <v>580</v>
      </c>
    </row>
    <row r="3" ht="32.1" customHeight="1" spans="1:3">
      <c r="A3" t="s">
        <v>552</v>
      </c>
      <c r="B3" t="s">
        <v>17</v>
      </c>
    </row>
    <row r="4" ht="32.1" customHeight="1" spans="1:3">
      <c r="B4" s="7" t="s">
        <v>553</v>
      </c>
      <c r="C4" s="8" t="s">
        <v>554</v>
      </c>
    </row>
    <row r="5" ht="18" customHeight="1" spans="1:3">
      <c r="A5" s="9">
        <v>2016</v>
      </c>
      <c r="B5" s="28"/>
      <c r="C5" s="11"/>
    </row>
    <row r="6" ht="18" customHeight="1" spans="1:3">
      <c r="A6" s="9">
        <v>6</v>
      </c>
      <c r="B6" s="28">
        <f>ROUND(566175,0)</f>
        <v>566175</v>
      </c>
      <c r="C6" s="11">
        <f>ROUND(5,1)</f>
        <v>5</v>
      </c>
    </row>
    <row r="7" spans="1:3">
      <c r="A7" s="9">
        <v>7</v>
      </c>
      <c r="B7" s="28">
        <f>ROUND(663904,0)</f>
        <v>663904</v>
      </c>
      <c r="C7" s="11">
        <f>ROUND(7.7,1)</f>
        <v>7.7</v>
      </c>
    </row>
    <row r="8" spans="1:3">
      <c r="A8" s="9">
        <v>8</v>
      </c>
      <c r="B8" s="28">
        <f>ROUND(735390,0)</f>
        <v>735390</v>
      </c>
      <c r="C8" s="11">
        <f>ROUND(7.7,1)</f>
        <v>7.7</v>
      </c>
    </row>
    <row r="9" spans="1:3">
      <c r="A9" s="9">
        <v>9</v>
      </c>
      <c r="B9" s="28">
        <f>ROUND(815736,0)</f>
        <v>815736</v>
      </c>
      <c r="C9" s="30">
        <f>ROUND(7.2,1)</f>
        <v>7.2</v>
      </c>
    </row>
    <row r="10" spans="1:3">
      <c r="A10" s="9">
        <v>10</v>
      </c>
      <c r="B10" s="28">
        <f>ROUND(894414,0)</f>
        <v>894414</v>
      </c>
      <c r="C10" s="30">
        <f>ROUND(7.36088408731323,1)</f>
        <v>7.4</v>
      </c>
    </row>
    <row r="11" spans="1:3">
      <c r="A11" s="9">
        <v>11</v>
      </c>
      <c r="B11" s="28">
        <f>ROUND(966337,0)</f>
        <v>966337</v>
      </c>
      <c r="C11" s="31">
        <f>ROUND(3.8,1)</f>
        <v>3.8</v>
      </c>
    </row>
    <row r="12" spans="1:3">
      <c r="A12" s="9">
        <v>12</v>
      </c>
      <c r="B12" s="28">
        <f>ROUND(1129375,0)</f>
        <v>1129375</v>
      </c>
      <c r="C12" s="31">
        <f>ROUND(-4.8,1)</f>
        <v>-4.8</v>
      </c>
    </row>
    <row r="13" spans="1:3">
      <c r="A13" s="9">
        <v>2017</v>
      </c>
      <c r="B13" s="28"/>
      <c r="C13" s="31"/>
    </row>
    <row r="14" spans="1:3">
      <c r="A14" s="9">
        <v>2</v>
      </c>
      <c r="B14" s="28">
        <f>ROUND(168865,0)</f>
        <v>168865</v>
      </c>
      <c r="C14" s="31">
        <f>ROUND(21.3,1)</f>
        <v>21.3</v>
      </c>
    </row>
    <row r="15" spans="1:3">
      <c r="A15" s="9">
        <v>3</v>
      </c>
      <c r="B15" s="28">
        <f>ROUND(248142,0)</f>
        <v>248142</v>
      </c>
      <c r="C15" s="31">
        <f>ROUND(15.8466028595928,1)</f>
        <v>15.8</v>
      </c>
    </row>
    <row r="16" spans="1:3">
      <c r="A16" s="9">
        <v>4</v>
      </c>
      <c r="B16" s="28">
        <f>ROUND(325815,0)</f>
        <v>325815</v>
      </c>
      <c r="C16" s="31">
        <v>7.38333558548909</v>
      </c>
    </row>
    <row r="17" spans="1:3">
      <c r="A17" s="9">
        <v>5</v>
      </c>
      <c r="B17" s="28">
        <f>ROUND(401635,0)</f>
        <v>401635</v>
      </c>
      <c r="C17" s="31">
        <f>ROUND(2.1,1)</f>
        <v>2.1</v>
      </c>
    </row>
    <row r="18" spans="1:3">
      <c r="A18" s="9">
        <v>6</v>
      </c>
      <c r="B18" s="28">
        <f>ROUND(583819,0)</f>
        <v>583819</v>
      </c>
      <c r="C18" s="31">
        <f>ROUND(6.8,1)</f>
        <v>6.8</v>
      </c>
    </row>
    <row r="19" spans="1:3">
      <c r="A19" s="9">
        <v>7</v>
      </c>
      <c r="B19" s="28">
        <f>ROUND(672492,0)</f>
        <v>672492</v>
      </c>
      <c r="C19" s="31">
        <f>ROUND(4.4,1)</f>
        <v>4.4</v>
      </c>
    </row>
    <row r="20" spans="1:3">
      <c r="A20" s="32">
        <v>8</v>
      </c>
      <c r="B20" s="28">
        <f>ROUND(745911,0)</f>
        <v>745911</v>
      </c>
      <c r="C20" s="33">
        <f>ROUND(4.2,1)</f>
        <v>4.2</v>
      </c>
    </row>
    <row r="21" spans="1:3">
      <c r="A21" s="32">
        <v>9</v>
      </c>
      <c r="B21" s="28">
        <f>ROUND(869421,0)</f>
        <v>869421</v>
      </c>
      <c r="C21" s="33">
        <f>ROUND(9.22031343236707,1)</f>
        <v>9.2</v>
      </c>
    </row>
    <row r="22" spans="1:3">
      <c r="A22" s="15">
        <v>10</v>
      </c>
      <c r="B22" s="41">
        <f>ROUND(1196191,0)</f>
        <v>1196191</v>
      </c>
      <c r="C22" s="17">
        <f>ROUND(36.8,1)</f>
        <v>36.8</v>
      </c>
    </row>
    <row r="23" spans="1:3">
      <c r="A23" s="15">
        <v>11</v>
      </c>
      <c r="B23" s="41">
        <f>ROUND(1260850,0)</f>
        <v>1260850</v>
      </c>
      <c r="C23" s="35">
        <f>ROUND(32.3884093336007,1)</f>
        <v>32.4</v>
      </c>
    </row>
    <row r="24" spans="1:3">
      <c r="A24" s="15">
        <v>12</v>
      </c>
      <c r="B24" s="41">
        <f>ROUND(1349958,0)</f>
        <v>1349958</v>
      </c>
      <c r="C24" s="35">
        <f>ROUND(21.0263352533788,1)</f>
        <v>21</v>
      </c>
    </row>
    <row r="25" spans="1:3">
      <c r="A25" s="15">
        <v>2018</v>
      </c>
      <c r="B25" s="16"/>
      <c r="C25" s="17"/>
    </row>
    <row r="26" spans="1:3">
      <c r="A26" s="15">
        <v>1</v>
      </c>
      <c r="B26" s="16">
        <f>ROUND(131471,0)</f>
        <v>131471</v>
      </c>
      <c r="C26" s="35">
        <f>ROUND(33.4500644558807,1)</f>
        <v>33.5</v>
      </c>
    </row>
    <row r="27" spans="1:3">
      <c r="A27" s="15">
        <v>2</v>
      </c>
      <c r="B27" s="16">
        <f>ROUND(222479,0)</f>
        <v>222479</v>
      </c>
      <c r="C27" s="35">
        <f>ROUND(31.7496224794955,1)</f>
        <v>31.7</v>
      </c>
    </row>
    <row r="28" spans="1:3">
      <c r="A28" s="15">
        <v>3</v>
      </c>
      <c r="B28" s="16">
        <f>ROUND(302572,0)</f>
        <v>302572</v>
      </c>
      <c r="C28" s="35">
        <f>ROUND(21.9350210766416,1)</f>
        <v>21.9</v>
      </c>
    </row>
    <row r="29" spans="1:3">
      <c r="A29" s="15">
        <v>4</v>
      </c>
      <c r="B29" s="42">
        <f>ROUND(403634,0)</f>
        <v>403634</v>
      </c>
      <c r="C29" s="21">
        <f>ROUND(23.9,1)</f>
        <v>23.9</v>
      </c>
    </row>
    <row r="30" spans="1:3">
      <c r="A30" s="15">
        <v>5</v>
      </c>
      <c r="B30" s="42">
        <v>499011</v>
      </c>
      <c r="C30" s="21">
        <v>24.2448989754379</v>
      </c>
    </row>
    <row r="31" spans="1:3">
      <c r="A31" s="22">
        <v>6</v>
      </c>
      <c r="B31" s="43">
        <v>647923</v>
      </c>
      <c r="C31" s="24">
        <v>11</v>
      </c>
    </row>
  </sheetData>
  <mergeCells count="3">
    <mergeCell ref="A1:C1"/>
    <mergeCell ref="B3:C3"/>
    <mergeCell ref="A3:A4"/>
  </mergeCells>
  <printOptions horizontalCentered="1"/>
  <pageMargins left="0.75" right="0.75" top="0.979166666666667" bottom="0.979166666666667" header="0.509027777777778" footer="0.509027777777778"/>
  <pageSetup paperSize="9" orientation="portrait"/>
  <headerFooter alignWithMargins="0" scaleWithDoc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C30"/>
  <sheetViews>
    <sheetView workbookViewId="0">
      <selection activeCell="F12" sqref="F12"/>
    </sheetView>
  </sheetViews>
  <sheetFormatPr defaultColWidth="9" defaultRowHeight="14.25" outlineLevelCol="2"/>
  <cols>
    <col min="1" max="1" width="14.375" customWidth="1"/>
    <col min="2" max="2" width="26.875" customWidth="1"/>
    <col min="3" max="3" width="18.875" customWidth="1"/>
  </cols>
  <sheetData>
    <row r="1" ht="24" spans="1:3">
      <c r="A1" s="25" t="s">
        <v>587</v>
      </c>
      <c r="B1" s="25"/>
      <c r="C1" s="25"/>
    </row>
    <row r="2" ht="24.75" spans="1:3">
      <c r="A2" s="26"/>
      <c r="B2" s="26"/>
      <c r="C2" s="27" t="s">
        <v>588</v>
      </c>
    </row>
    <row r="3" ht="32.1" customHeight="1" spans="1:3">
      <c r="A3" t="s">
        <v>552</v>
      </c>
      <c r="B3" t="s">
        <v>577</v>
      </c>
    </row>
    <row r="4" ht="32.1" customHeight="1" spans="1:3">
      <c r="B4" s="7" t="s">
        <v>553</v>
      </c>
      <c r="C4" s="8" t="s">
        <v>554</v>
      </c>
    </row>
    <row r="5" ht="18" customHeight="1" spans="1:3">
      <c r="A5" s="9">
        <v>2016</v>
      </c>
      <c r="B5" s="28"/>
      <c r="C5" s="11"/>
    </row>
    <row r="6" ht="18" customHeight="1" spans="1:3">
      <c r="A6" s="9">
        <v>6</v>
      </c>
      <c r="B6" s="29">
        <f>ROUND(38.78,2)</f>
        <v>38.78</v>
      </c>
      <c r="C6" s="11">
        <f>ROUND(31.4,1)</f>
        <v>31.4</v>
      </c>
    </row>
    <row r="7" spans="1:3">
      <c r="A7" s="9">
        <v>7</v>
      </c>
      <c r="B7" s="29">
        <f>ROUND(49.38,2)</f>
        <v>49.38</v>
      </c>
      <c r="C7" s="11">
        <f>ROUND(44.3,1)</f>
        <v>44.3</v>
      </c>
    </row>
    <row r="8" spans="1:3">
      <c r="A8" s="9">
        <v>8</v>
      </c>
      <c r="B8" s="29">
        <f>ROUND(56,2)</f>
        <v>56</v>
      </c>
      <c r="C8" s="11">
        <f>ROUND(41.9,1)</f>
        <v>41.9</v>
      </c>
    </row>
    <row r="9" spans="1:3">
      <c r="A9" s="9">
        <v>9</v>
      </c>
      <c r="B9" s="29">
        <f>ROUND(64.1,2)</f>
        <v>64.1</v>
      </c>
      <c r="C9" s="30">
        <f>ROUND(44.1,1)</f>
        <v>44.1</v>
      </c>
    </row>
    <row r="10" spans="1:3">
      <c r="A10" s="9">
        <v>10</v>
      </c>
      <c r="B10" s="29">
        <f>ROUND(72.32,2)</f>
        <v>72.32</v>
      </c>
      <c r="C10" s="30">
        <f>ROUND(47.3,1)</f>
        <v>47.3</v>
      </c>
    </row>
    <row r="11" spans="1:3">
      <c r="A11" s="9">
        <v>11</v>
      </c>
      <c r="B11" s="29">
        <f>ROUND(80.75,2)</f>
        <v>80.75</v>
      </c>
      <c r="C11" s="31">
        <f>ROUND(52,1)</f>
        <v>52</v>
      </c>
    </row>
    <row r="12" spans="1:3">
      <c r="A12" s="9">
        <v>12</v>
      </c>
      <c r="B12" s="29">
        <f>ROUND(89.4,2)</f>
        <v>89.4</v>
      </c>
      <c r="C12" s="31">
        <f>ROUND(52.9,1)</f>
        <v>52.9</v>
      </c>
    </row>
    <row r="13" spans="1:3">
      <c r="A13" s="9">
        <v>2017</v>
      </c>
      <c r="B13" s="29"/>
      <c r="C13" s="31"/>
    </row>
    <row r="14" spans="1:3">
      <c r="A14" s="9">
        <v>2</v>
      </c>
      <c r="B14" s="29">
        <f>ROUND(19.95,2)</f>
        <v>19.95</v>
      </c>
      <c r="C14" s="31">
        <f>ROUND(49.7,1)</f>
        <v>49.7</v>
      </c>
    </row>
    <row r="15" spans="1:3">
      <c r="A15" s="9">
        <v>3</v>
      </c>
      <c r="B15" s="29">
        <f>ROUND(25.02,2)</f>
        <v>25.02</v>
      </c>
      <c r="C15" s="31">
        <f>ROUND(66.7,1)</f>
        <v>66.7</v>
      </c>
    </row>
    <row r="16" spans="1:3">
      <c r="A16" s="9">
        <v>4</v>
      </c>
      <c r="B16" s="29">
        <f>ROUND(34.86,2)</f>
        <v>34.86</v>
      </c>
      <c r="C16" s="31">
        <f>ROUND(55.8,1)</f>
        <v>55.8</v>
      </c>
    </row>
    <row r="17" spans="1:3">
      <c r="A17" s="9">
        <v>5</v>
      </c>
      <c r="B17" s="29">
        <f>ROUND(44.18,2)</f>
        <v>44.18</v>
      </c>
      <c r="C17" s="31">
        <f>ROUND(47.1,1)</f>
        <v>47.1</v>
      </c>
    </row>
    <row r="18" spans="1:3">
      <c r="A18" s="9">
        <v>6</v>
      </c>
      <c r="B18" s="29">
        <f>ROUND(54.94,2)</f>
        <v>54.94</v>
      </c>
      <c r="C18" s="31">
        <f>ROUND(41.7,1)</f>
        <v>41.7</v>
      </c>
    </row>
    <row r="19" spans="1:3">
      <c r="A19" s="9">
        <v>7</v>
      </c>
      <c r="B19" s="29">
        <f>ROUND(64.67,2)</f>
        <v>64.67</v>
      </c>
      <c r="C19" s="31">
        <f>ROUND(35.8,1)</f>
        <v>35.8</v>
      </c>
    </row>
    <row r="20" spans="1:3">
      <c r="A20" s="32">
        <v>8</v>
      </c>
      <c r="B20" s="29">
        <f>ROUND(75.46,2)</f>
        <v>75.46</v>
      </c>
      <c r="C20" s="33">
        <f>ROUND(34.8,1)</f>
        <v>34.8</v>
      </c>
    </row>
    <row r="21" spans="1:3">
      <c r="A21" s="32">
        <v>9</v>
      </c>
      <c r="B21" s="29">
        <f>ROUND(85.67,2)</f>
        <v>85.67</v>
      </c>
      <c r="C21" s="33">
        <f>ROUND(33.7,1)</f>
        <v>33.7</v>
      </c>
    </row>
    <row r="22" spans="1:3">
      <c r="A22" s="15">
        <v>10</v>
      </c>
      <c r="B22" s="34">
        <f>ROUND(93.88,2)</f>
        <v>93.88</v>
      </c>
      <c r="C22" s="17">
        <f>ROUND(29.8,1)</f>
        <v>29.8</v>
      </c>
    </row>
    <row r="23" spans="1:3">
      <c r="A23" s="15">
        <v>11</v>
      </c>
      <c r="B23" s="34">
        <f>ROUND(102.83,2)</f>
        <v>102.83</v>
      </c>
      <c r="C23" s="35">
        <f>ROUND(27.4,1)</f>
        <v>27.4</v>
      </c>
    </row>
    <row r="24" spans="1:3">
      <c r="A24" s="15">
        <v>12</v>
      </c>
      <c r="B24" s="34">
        <f>ROUND(112.45,2)</f>
        <v>112.45</v>
      </c>
      <c r="C24" s="35">
        <f>ROUND(25.8,1)</f>
        <v>25.8</v>
      </c>
    </row>
    <row r="25" spans="1:3">
      <c r="A25" s="15">
        <v>2018</v>
      </c>
      <c r="B25" s="36"/>
      <c r="C25" s="17"/>
    </row>
    <row r="26" spans="1:3">
      <c r="A26" s="15">
        <v>2</v>
      </c>
      <c r="B26" s="36">
        <f>ROUND(17.26707351,2)</f>
        <v>17.27</v>
      </c>
      <c r="C26" s="35">
        <f>ROUND(6.31,1)</f>
        <v>6.3</v>
      </c>
    </row>
    <row r="27" spans="1:3">
      <c r="A27" s="15">
        <v>3</v>
      </c>
      <c r="B27" s="36">
        <f>ROUND(26.96,2)</f>
        <v>26.96</v>
      </c>
      <c r="C27" s="35">
        <f>ROUND(6.1,1)</f>
        <v>6.1</v>
      </c>
    </row>
    <row r="28" spans="1:3">
      <c r="A28" s="15">
        <v>4</v>
      </c>
      <c r="B28" s="29">
        <f>ROUND(374489.7976/10000,2)</f>
        <v>37.45</v>
      </c>
      <c r="C28" s="37">
        <f>ROUND(5.86,1)</f>
        <v>5.9</v>
      </c>
    </row>
    <row r="29" spans="1:3">
      <c r="A29" s="15">
        <v>5</v>
      </c>
      <c r="B29" s="29">
        <v>48.08</v>
      </c>
      <c r="C29" s="37">
        <v>9.1</v>
      </c>
    </row>
    <row r="30" spans="1:3">
      <c r="A30" s="22">
        <v>6</v>
      </c>
      <c r="B30" s="38">
        <v>58.99</v>
      </c>
      <c r="C30" s="39">
        <v>8.9</v>
      </c>
    </row>
  </sheetData>
  <mergeCells count="3">
    <mergeCell ref="A1:C1"/>
    <mergeCell ref="B3:C3"/>
    <mergeCell ref="A3:A4"/>
  </mergeCells>
  <printOptions horizontalCentered="1"/>
  <pageMargins left="0.75" right="0.75" top="0.979166666666667" bottom="0.979166666666667" header="0.509027777777778" footer="0.509027777777778"/>
  <pageSetup paperSize="9" orientation="portrait"/>
  <headerFooter alignWithMargins="0" scaleWithDoc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IV31"/>
  <sheetViews>
    <sheetView topLeftCell="A10" workbookViewId="0">
      <selection activeCell="J41" sqref="J41"/>
    </sheetView>
  </sheetViews>
  <sheetFormatPr defaultColWidth="9" defaultRowHeight="12.75"/>
  <cols>
    <col min="1" max="1" width="14.125" style="2" customWidth="1"/>
    <col min="2" max="2" width="21.375" style="2" customWidth="1"/>
    <col min="3" max="3" width="17.375" style="2" customWidth="1"/>
    <col min="4" max="16384" width="9" style="2"/>
  </cols>
  <sheetData>
    <row r="1" ht="24" customHeight="1" spans="1:256">
      <c r="A1" s="3" t="s">
        <v>28</v>
      </c>
      <c r="B1" s="3"/>
      <c r="C1" s="3"/>
    </row>
    <row r="2" ht="24" customHeight="1" spans="1:256">
      <c r="A2" s="4"/>
      <c r="B2" s="5"/>
      <c r="C2" s="6" t="s">
        <v>589</v>
      </c>
    </row>
    <row r="3" s="1" customFormat="1" ht="32.25" customHeight="1" spans="1:256">
      <c r="A3" t="s">
        <v>552</v>
      </c>
      <c r="B3" t="s">
        <v>28</v>
      </c>
      <c r="C3"/>
    </row>
    <row r="4" s="1" customFormat="1" ht="32.25" customHeight="1" spans="1:256">
      <c r="A4">
        <v>2009</v>
      </c>
      <c r="B4" s="7" t="s">
        <v>590</v>
      </c>
      <c r="C4" s="8" t="s">
        <v>591</v>
      </c>
    </row>
    <row r="5" s="1" customFormat="1" ht="20.1" customHeight="1" spans="1:256">
      <c r="A5" s="9">
        <v>2016</v>
      </c>
      <c r="B5" s="10"/>
      <c r="C5" s="11"/>
    </row>
    <row r="6" s="1" customFormat="1" ht="20.1" customHeight="1" spans="1:256">
      <c r="A6" s="9">
        <v>6</v>
      </c>
      <c r="B6" s="10">
        <f>ROUND(102.3,1)</f>
        <v>102.3</v>
      </c>
      <c r="C6" s="11">
        <f>ROUND(102.7,1)</f>
        <v>102.7</v>
      </c>
    </row>
    <row r="7" s="1" customFormat="1" ht="20.1" customHeight="1" spans="1:256">
      <c r="A7" s="9">
        <v>7</v>
      </c>
      <c r="B7" s="10">
        <f>ROUND(102.1,1)</f>
        <v>102.1</v>
      </c>
      <c r="C7" s="11">
        <f>ROUND(102.6,1)</f>
        <v>102.6</v>
      </c>
    </row>
    <row r="8" s="1" customFormat="1" ht="20.1" customHeight="1" spans="1:256">
      <c r="A8" s="9">
        <v>8</v>
      </c>
      <c r="B8" s="10">
        <f>ROUND(101.4,1)</f>
        <v>101.4</v>
      </c>
      <c r="C8" s="11">
        <f>ROUND(102.5,1)</f>
        <v>102.5</v>
      </c>
    </row>
    <row r="9" s="1" customFormat="1" ht="14.45" customHeight="1" spans="1:256">
      <c r="A9" s="9">
        <v>9</v>
      </c>
      <c r="B9" s="10">
        <f>ROUND(101.82067344,1)</f>
        <v>101.8</v>
      </c>
      <c r="C9" s="11">
        <f>ROUND(102.40761463,1)</f>
        <v>102.4</v>
      </c>
    </row>
    <row r="10" s="1" customFormat="1" ht="14.45" customHeight="1" spans="1:256">
      <c r="A10" s="9">
        <v>10</v>
      </c>
      <c r="B10" s="10">
        <f>ROUND(101.32746357,1)</f>
        <v>101.3</v>
      </c>
      <c r="C10" s="11">
        <f>ROUND(102.29864677,1)</f>
        <v>102.3</v>
      </c>
    </row>
    <row r="11" s="1" customFormat="1" ht="14.45" customHeight="1" spans="1:256">
      <c r="A11" s="9">
        <v>11</v>
      </c>
      <c r="B11" s="10">
        <f>ROUND(102.2,1)</f>
        <v>102.2</v>
      </c>
      <c r="C11" s="11">
        <f>ROUND(102.29864677,1)</f>
        <v>102.3</v>
      </c>
    </row>
    <row r="12" ht="14.25" spans="1:256">
      <c r="A12" s="12">
        <v>12</v>
      </c>
      <c r="B12" s="10">
        <f>ROUND(101.4,1)</f>
        <v>101.4</v>
      </c>
      <c r="C12" s="11">
        <f>ROUND(102.2,1)</f>
        <v>102.2</v>
      </c>
    </row>
    <row r="13" ht="14.25" spans="1:256">
      <c r="A13" s="12">
        <v>2017</v>
      </c>
      <c r="B13" s="10"/>
      <c r="C13" s="11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ht="14.25" spans="1:256">
      <c r="A14" s="12">
        <v>2</v>
      </c>
      <c r="B14" s="10">
        <f>ROUND(99.8,1)</f>
        <v>99.8</v>
      </c>
      <c r="C14" s="11">
        <f>ROUND(101.1,1)</f>
        <v>101.1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ht="14.25" spans="1:256">
      <c r="A15" s="12">
        <v>3</v>
      </c>
      <c r="B15" s="10">
        <f>ROUND(100.57911031,1)</f>
        <v>100.6</v>
      </c>
      <c r="C15" s="11">
        <f>ROUND(100.95612843,1)</f>
        <v>101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ht="14.25" spans="1:256">
      <c r="A16" s="12">
        <v>4</v>
      </c>
      <c r="B16" s="10">
        <f>ROUND(101,1)</f>
        <v>101</v>
      </c>
      <c r="C16" s="11">
        <f>ROUND(100.95612843,1)</f>
        <v>101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ht="14.25" spans="1:256">
      <c r="A17" s="12">
        <v>5</v>
      </c>
      <c r="B17" s="10">
        <f>ROUND(101.5,1)</f>
        <v>101.5</v>
      </c>
      <c r="C17" s="11">
        <f>ROUND(101.1,1)</f>
        <v>101.1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ht="14.25" spans="1:256">
      <c r="A18" s="12">
        <v>6</v>
      </c>
      <c r="B18" s="10">
        <f>ROUND(101.1,1)</f>
        <v>101.1</v>
      </c>
      <c r="C18" s="11">
        <f>ROUND(101.1,1)</f>
        <v>101.1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ht="14.25" spans="1:256">
      <c r="A19" s="12">
        <v>7</v>
      </c>
      <c r="B19" s="10">
        <f>ROUND(101.62395255,1)</f>
        <v>101.6</v>
      </c>
      <c r="C19" s="11">
        <f>ROUND(101.16440126,1)</f>
        <v>101.2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ht="14.25" spans="1:256">
      <c r="A20" s="13">
        <v>8</v>
      </c>
      <c r="B20" s="10">
        <f>ROUND(101.91687646,1)</f>
        <v>101.9</v>
      </c>
      <c r="C20" s="14">
        <f>ROUND(101.25801138,1)</f>
        <v>101.3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ht="14.25" spans="1:256">
      <c r="A21" s="12">
        <v>9</v>
      </c>
      <c r="B21" s="10">
        <f>ROUND(101.03765598,1)</f>
        <v>101</v>
      </c>
      <c r="C21" s="14">
        <f>ROUND(101.23346012,1)</f>
        <v>101.2</v>
      </c>
    </row>
    <row r="22" ht="14.25" spans="1:256">
      <c r="A22" s="12">
        <v>10</v>
      </c>
      <c r="B22" s="10">
        <f>ROUND(101.8,1)</f>
        <v>101.8</v>
      </c>
      <c r="C22" s="14">
        <f>ROUND(101.3,1)</f>
        <v>101.3</v>
      </c>
    </row>
    <row r="23" ht="14.25" spans="1:256">
      <c r="A23" s="12">
        <v>11</v>
      </c>
      <c r="B23" s="10">
        <f>ROUND(101.32934401,1)</f>
        <v>101.3</v>
      </c>
      <c r="C23" s="14">
        <f>ROUND(101.29138171,1)</f>
        <v>101.3</v>
      </c>
    </row>
    <row r="24" ht="14.25" spans="1:256">
      <c r="A24" s="12">
        <v>12</v>
      </c>
      <c r="B24" s="10">
        <f>ROUND(101.93633331,1)</f>
        <v>101.9</v>
      </c>
      <c r="C24" s="14">
        <f>ROUND(101.34501843,1)</f>
        <v>101.3</v>
      </c>
    </row>
    <row r="25" ht="14.25" spans="1:256">
      <c r="A25" s="15">
        <v>2018</v>
      </c>
      <c r="B25" s="16"/>
      <c r="C25" s="17"/>
    </row>
    <row r="26" ht="14.25" spans="1:256">
      <c r="A26" s="15">
        <v>1</v>
      </c>
      <c r="B26" s="10">
        <f>ROUND(100.4833835,1)</f>
        <v>100.5</v>
      </c>
      <c r="C26" s="14">
        <f>ROUND(100.4833835,1)</f>
        <v>100.5</v>
      </c>
    </row>
    <row r="27" ht="14.25" spans="1:256">
      <c r="A27" s="15">
        <v>2</v>
      </c>
      <c r="B27" s="18">
        <f>ROUND(102.58323309,1)</f>
        <v>102.6</v>
      </c>
      <c r="C27" s="19">
        <f>ROUND(101.53370061,1)</f>
        <v>101.5</v>
      </c>
    </row>
    <row r="28" ht="14.25" spans="1:256">
      <c r="A28" s="15">
        <v>3</v>
      </c>
      <c r="B28" s="10">
        <f>ROUND(101.8,1)</f>
        <v>101.8</v>
      </c>
      <c r="C28" s="19">
        <f>ROUND(101.6,1)</f>
        <v>101.6</v>
      </c>
    </row>
    <row r="29" ht="14.25" spans="1:256">
      <c r="A29" s="15">
        <v>4</v>
      </c>
      <c r="B29" s="20">
        <f>ROUND(101,1)</f>
        <v>101</v>
      </c>
      <c r="C29" s="21">
        <f>ROUND(101.45789835,1)</f>
        <v>101.5</v>
      </c>
    </row>
    <row r="30" customFormat="1" ht="14.25" spans="1:256">
      <c r="A30" s="15">
        <v>5</v>
      </c>
      <c r="B30" s="20">
        <v>100.63043043</v>
      </c>
      <c r="C30" s="21">
        <v>101.29245659</v>
      </c>
    </row>
    <row r="31" ht="14.25" spans="1:256">
      <c r="A31" s="22">
        <v>6</v>
      </c>
      <c r="B31" s="23">
        <v>101.2</v>
      </c>
      <c r="C31" s="24">
        <v>101.27416779</v>
      </c>
    </row>
  </sheetData>
  <mergeCells count="3">
    <mergeCell ref="A1:C1"/>
    <mergeCell ref="B3:C3"/>
    <mergeCell ref="A3:A4"/>
  </mergeCells>
  <pageMargins left="0.75" right="0.75" top="1" bottom="1" header="0.5" footer="0.5"/>
  <pageSetup paperSize="9" orientation="portrait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I22"/>
  <sheetViews>
    <sheetView zoomScale="90" zoomScaleNormal="90" workbookViewId="0">
      <selection activeCell="H24" sqref="H24"/>
    </sheetView>
  </sheetViews>
  <sheetFormatPr defaultColWidth="9" defaultRowHeight="14.25"/>
  <cols>
    <col min="1" max="1" width="28.625" style="557" customWidth="1"/>
    <col min="2" max="2" width="12" style="557" customWidth="1"/>
    <col min="3" max="3" width="10.625" style="557" customWidth="1"/>
    <col min="4" max="4" width="12.125" style="524" customWidth="1"/>
    <col min="5" max="5" width="11.5" style="557" customWidth="1"/>
    <col min="6" max="6" width="9" style="557"/>
    <col min="7" max="7" width="10.5" style="557" customWidth="1"/>
    <col min="8" max="8" width="9.75" style="557" customWidth="1"/>
    <col min="9" max="9" width="11.75" style="557" customWidth="1"/>
    <col min="10" max="255" width="9" style="557"/>
    <col min="256" max="16384" width="9" style="44"/>
  </cols>
  <sheetData>
    <row r="1" ht="28.5" customHeight="1" spans="1:9">
      <c r="A1" s="558" t="s">
        <v>80</v>
      </c>
      <c r="B1" s="527"/>
      <c r="C1" s="527"/>
      <c r="D1" s="571"/>
      <c r="E1" s="571"/>
    </row>
    <row r="2" ht="19.5" customHeight="1" spans="1:9">
      <c r="A2" s="559"/>
      <c r="B2" s="559"/>
      <c r="C2" s="559"/>
      <c r="D2" s="660" t="s">
        <v>39</v>
      </c>
      <c r="E2" s="221"/>
    </row>
    <row r="3" ht="35.25" customHeight="1" spans="1:9">
      <c r="A3" s="560" t="s">
        <v>40</v>
      </c>
      <c r="B3" s="560" t="s">
        <v>81</v>
      </c>
      <c r="C3" s="661" t="s">
        <v>82</v>
      </c>
      <c r="D3" s="92" t="s">
        <v>83</v>
      </c>
      <c r="E3" s="661" t="s">
        <v>82</v>
      </c>
      <c r="G3" s="593"/>
      <c r="I3" s="593"/>
    </row>
    <row r="4" ht="24.95" customHeight="1" spans="1:9">
      <c r="A4" s="564" t="s">
        <v>84</v>
      </c>
      <c r="B4" s="662">
        <v>227.6175</v>
      </c>
      <c r="C4" s="663">
        <v>11.3</v>
      </c>
      <c r="D4" s="664">
        <v>569.018</v>
      </c>
      <c r="E4" s="665">
        <v>7.2</v>
      </c>
      <c r="G4" s="593"/>
      <c r="I4" s="593"/>
    </row>
    <row r="5" ht="24.95" customHeight="1" spans="1:9">
      <c r="A5" s="562" t="s">
        <v>85</v>
      </c>
      <c r="B5" s="662">
        <v>102.423</v>
      </c>
      <c r="C5" s="666">
        <v>15.1</v>
      </c>
      <c r="D5" s="664">
        <v>246.1922</v>
      </c>
      <c r="E5" s="665">
        <v>14.4</v>
      </c>
      <c r="G5" s="593"/>
      <c r="I5" s="593"/>
    </row>
    <row r="6" ht="24.95" customHeight="1" spans="1:9">
      <c r="A6" s="562" t="s">
        <v>86</v>
      </c>
      <c r="B6" s="662">
        <v>125.1946</v>
      </c>
      <c r="C6" s="666">
        <v>8.2</v>
      </c>
      <c r="D6" s="664">
        <v>322.8258</v>
      </c>
      <c r="E6" s="665">
        <v>2.3</v>
      </c>
      <c r="G6" s="593"/>
      <c r="I6" s="593"/>
    </row>
    <row r="7" ht="24.95" customHeight="1" spans="1:9">
      <c r="A7" s="564" t="s">
        <v>87</v>
      </c>
      <c r="B7" s="662">
        <v>2.5675</v>
      </c>
      <c r="C7" s="663">
        <v>5.5</v>
      </c>
      <c r="D7" s="664">
        <v>8.1543</v>
      </c>
      <c r="E7" s="665">
        <v>-0.1</v>
      </c>
      <c r="G7" s="593"/>
      <c r="I7" s="593"/>
    </row>
    <row r="8" ht="24.95" customHeight="1" spans="1:9">
      <c r="A8" s="564" t="s">
        <v>88</v>
      </c>
      <c r="B8" s="662">
        <v>0.0259</v>
      </c>
      <c r="C8" s="663">
        <v>-55.8</v>
      </c>
      <c r="D8" s="664">
        <v>0.0743</v>
      </c>
      <c r="E8" s="665">
        <v>-49</v>
      </c>
      <c r="F8" s="157"/>
      <c r="G8" s="597"/>
      <c r="I8" s="593"/>
    </row>
    <row r="9" ht="24.95" customHeight="1" spans="1:9">
      <c r="A9" s="564" t="s">
        <v>89</v>
      </c>
      <c r="B9" s="662">
        <v>0</v>
      </c>
      <c r="C9" s="663">
        <v>0</v>
      </c>
      <c r="D9" s="664">
        <v>0</v>
      </c>
      <c r="E9" s="665">
        <v>0</v>
      </c>
      <c r="F9" s="157"/>
      <c r="G9" s="593"/>
      <c r="I9" s="593"/>
    </row>
    <row r="10" ht="24.95" customHeight="1" spans="1:9">
      <c r="A10" s="564" t="s">
        <v>90</v>
      </c>
      <c r="B10" s="662">
        <v>152.0835</v>
      </c>
      <c r="C10" s="663">
        <v>6.7</v>
      </c>
      <c r="D10" s="664">
        <v>383.8913</v>
      </c>
      <c r="E10" s="665">
        <v>6.3</v>
      </c>
      <c r="F10" s="157"/>
      <c r="G10" s="593"/>
      <c r="I10" s="593"/>
    </row>
    <row r="11" ht="24.95" customHeight="1" spans="1:9">
      <c r="A11" s="564" t="s">
        <v>91</v>
      </c>
      <c r="B11" s="662">
        <v>66.3382</v>
      </c>
      <c r="C11" s="663">
        <v>17.7</v>
      </c>
      <c r="D11" s="664">
        <v>165.2369</v>
      </c>
      <c r="E11" s="665">
        <v>7</v>
      </c>
      <c r="G11" s="593"/>
      <c r="I11" s="593"/>
    </row>
    <row r="12" ht="24.95" customHeight="1" spans="1:9">
      <c r="A12" s="564" t="s">
        <v>92</v>
      </c>
      <c r="B12" s="662">
        <v>6.6025</v>
      </c>
      <c r="C12" s="663">
        <v>111.1</v>
      </c>
      <c r="D12" s="664">
        <v>11.6612</v>
      </c>
      <c r="E12" s="665">
        <v>63.8</v>
      </c>
      <c r="G12" s="593"/>
      <c r="I12" s="593"/>
    </row>
    <row r="13" ht="24.95" customHeight="1" spans="1:9">
      <c r="A13" s="564" t="s">
        <v>93</v>
      </c>
      <c r="B13" s="662">
        <v>91.0766</v>
      </c>
      <c r="C13" s="663">
        <v>10</v>
      </c>
      <c r="D13" s="664">
        <v>250.6186</v>
      </c>
      <c r="E13" s="665">
        <v>4.3</v>
      </c>
      <c r="G13" s="593"/>
      <c r="I13" s="593"/>
    </row>
    <row r="14" ht="24.95" customHeight="1" spans="1:9">
      <c r="A14" s="564" t="s">
        <v>94</v>
      </c>
      <c r="B14" s="662">
        <v>105.753</v>
      </c>
      <c r="C14" s="663">
        <v>11.6</v>
      </c>
      <c r="D14" s="664">
        <v>242.4395</v>
      </c>
      <c r="E14" s="665">
        <v>10.6</v>
      </c>
      <c r="G14" s="593"/>
      <c r="I14" s="593"/>
    </row>
    <row r="15" ht="24.95" customHeight="1" spans="1:9">
      <c r="A15" s="564" t="s">
        <v>95</v>
      </c>
      <c r="B15" s="662">
        <v>88.9447</v>
      </c>
      <c r="C15" s="663">
        <v>7.1</v>
      </c>
      <c r="D15" s="664">
        <v>232.3601</v>
      </c>
      <c r="E15" s="665">
        <v>4.6</v>
      </c>
      <c r="G15" s="593"/>
      <c r="I15" s="593"/>
    </row>
    <row r="16" ht="24.95" customHeight="1" spans="1:9">
      <c r="A16" s="564" t="s">
        <v>96</v>
      </c>
      <c r="B16" s="662">
        <v>66.6023</v>
      </c>
      <c r="C16" s="663">
        <v>7.3</v>
      </c>
      <c r="D16" s="664">
        <v>168.7127</v>
      </c>
      <c r="E16" s="665">
        <v>1</v>
      </c>
      <c r="G16" s="593"/>
      <c r="I16" s="593"/>
    </row>
    <row r="17" ht="24.95" customHeight="1" spans="1:9">
      <c r="A17" s="564" t="s">
        <v>97</v>
      </c>
      <c r="B17" s="662">
        <v>68.0392</v>
      </c>
      <c r="C17" s="663">
        <v>17.7</v>
      </c>
      <c r="D17" s="664">
        <v>159.4548</v>
      </c>
      <c r="E17" s="665">
        <v>15.8</v>
      </c>
      <c r="G17" s="593"/>
      <c r="I17" s="593"/>
    </row>
    <row r="18" ht="24.95" customHeight="1" spans="1:9">
      <c r="A18" s="667" t="s">
        <v>98</v>
      </c>
      <c r="B18" s="668">
        <v>4.0314</v>
      </c>
      <c r="C18" s="669">
        <v>132.7</v>
      </c>
      <c r="D18" s="670">
        <v>8.4904</v>
      </c>
      <c r="E18" s="671">
        <v>132.6</v>
      </c>
      <c r="G18" s="593"/>
      <c r="I18" s="593"/>
    </row>
    <row r="19" ht="24.95" customHeight="1" spans="1:9">
      <c r="A19" s="672" t="s">
        <v>99</v>
      </c>
      <c r="B19" s="673">
        <v>16.1577</v>
      </c>
      <c r="C19" s="669">
        <v>-4.6</v>
      </c>
      <c r="D19" s="670">
        <v>38.3048</v>
      </c>
      <c r="E19" s="674">
        <v>-3.2</v>
      </c>
      <c r="G19" s="593"/>
      <c r="I19" s="593"/>
    </row>
    <row r="20" ht="31.5" customHeight="1" spans="1:9">
      <c r="A20" s="675"/>
      <c r="B20" s="676" t="s">
        <v>100</v>
      </c>
      <c r="C20" s="677"/>
      <c r="D20" s="678" t="s">
        <v>101</v>
      </c>
      <c r="E20" s="679" t="s">
        <v>102</v>
      </c>
      <c r="G20" s="593"/>
      <c r="I20" s="593"/>
    </row>
    <row r="21" ht="24.95" customHeight="1" spans="1:9">
      <c r="A21" s="680" t="s">
        <v>103</v>
      </c>
      <c r="B21" s="681">
        <v>530.6468</v>
      </c>
      <c r="C21" s="682"/>
      <c r="D21" s="683">
        <v>93.3</v>
      </c>
      <c r="E21" s="684">
        <v>-3.1</v>
      </c>
      <c r="G21" s="593"/>
      <c r="I21" s="593"/>
    </row>
    <row r="22" ht="23" customHeight="1" spans="1:9">
      <c r="A22" s="685" t="s">
        <v>104</v>
      </c>
      <c r="B22" s="685"/>
      <c r="C22" s="685"/>
      <c r="D22" s="685"/>
      <c r="E22" s="685"/>
    </row>
  </sheetData>
  <mergeCells count="5">
    <mergeCell ref="A1:E1"/>
    <mergeCell ref="D2:E2"/>
    <mergeCell ref="B20:C20"/>
    <mergeCell ref="B21:C21"/>
    <mergeCell ref="A22:E22"/>
  </mergeCells>
  <printOptions horizontalCentered="1"/>
  <pageMargins left="0.55" right="0.55" top="0.588888888888889" bottom="0.588888888888889" header="0.509027777777778" footer="0.509027777777778"/>
  <pageSetup paperSize="9" orientation="portrait" blackAndWhite="1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H256"/>
  <sheetViews>
    <sheetView zoomScale="90" zoomScaleNormal="90" workbookViewId="0">
      <selection activeCell="H29" sqref="H29"/>
    </sheetView>
  </sheetViews>
  <sheetFormatPr defaultColWidth="9" defaultRowHeight="14.25" outlineLevelCol="7"/>
  <cols>
    <col min="1" max="1" width="28.625" style="557" customWidth="1"/>
    <col min="2" max="2" width="12" style="557" customWidth="1"/>
    <col min="3" max="3" width="10.625" style="557" customWidth="1"/>
    <col min="4" max="4" width="12.125" style="524" customWidth="1"/>
    <col min="5" max="5" width="11.5" style="557" customWidth="1"/>
    <col min="6" max="6" width="9" style="557"/>
    <col min="7" max="7" width="10.5" style="557" customWidth="1"/>
    <col min="8" max="8" width="9.75" style="557" customWidth="1"/>
    <col min="9" max="9" width="11.75" style="557" customWidth="1"/>
    <col min="10" max="16384" width="9" style="557"/>
  </cols>
  <sheetData>
    <row r="1" s="44" customFormat="1" ht="28.5" customHeight="1" spans="1:8">
      <c r="A1" s="494" t="s">
        <v>105</v>
      </c>
      <c r="B1" s="495"/>
      <c r="C1" s="495"/>
      <c r="D1" s="652"/>
      <c r="E1" s="652"/>
    </row>
    <row r="2" s="44" customFormat="1" ht="19.5" customHeight="1" spans="1:8">
      <c r="A2" s="621"/>
      <c r="B2" s="621"/>
      <c r="C2" s="621"/>
      <c r="D2" s="622" t="s">
        <v>39</v>
      </c>
      <c r="E2" s="623"/>
    </row>
    <row r="3" s="44" customFormat="1" ht="35.25" customHeight="1" spans="1:8">
      <c r="A3" s="624" t="s">
        <v>40</v>
      </c>
      <c r="B3" s="653" t="s">
        <v>81</v>
      </c>
      <c r="C3" s="654" t="s">
        <v>82</v>
      </c>
      <c r="D3" s="498" t="s">
        <v>83</v>
      </c>
      <c r="E3" s="654" t="s">
        <v>82</v>
      </c>
      <c r="H3" s="510"/>
    </row>
    <row r="4" s="44" customFormat="1" ht="24.95" customHeight="1" spans="1:8">
      <c r="A4" s="499" t="s">
        <v>106</v>
      </c>
      <c r="B4" s="655">
        <v>71.406</v>
      </c>
      <c r="C4" s="656">
        <v>12</v>
      </c>
      <c r="D4" s="655">
        <v>179.8374</v>
      </c>
      <c r="E4" s="502">
        <v>7</v>
      </c>
      <c r="H4" s="509"/>
    </row>
    <row r="5" s="44" customFormat="1" ht="24.95" customHeight="1" spans="1:8">
      <c r="A5" s="499" t="s">
        <v>85</v>
      </c>
      <c r="B5" s="551">
        <v>22.6378</v>
      </c>
      <c r="C5" s="601">
        <v>12</v>
      </c>
      <c r="D5" s="551">
        <v>55.6646</v>
      </c>
      <c r="E5" s="438">
        <v>13.6</v>
      </c>
      <c r="H5" s="509"/>
    </row>
    <row r="6" s="44" customFormat="1" ht="24.95" customHeight="1" spans="1:8">
      <c r="A6" s="511" t="s">
        <v>86</v>
      </c>
      <c r="B6" s="551">
        <v>48.7683</v>
      </c>
      <c r="C6" s="601">
        <v>12</v>
      </c>
      <c r="D6" s="551">
        <v>124.1727</v>
      </c>
      <c r="E6" s="438">
        <v>4.4</v>
      </c>
      <c r="H6" s="509"/>
    </row>
    <row r="7" s="44" customFormat="1" ht="24.95" customHeight="1" spans="1:8">
      <c r="A7" s="511" t="s">
        <v>87</v>
      </c>
      <c r="B7" s="551">
        <v>0.5781</v>
      </c>
      <c r="C7" s="601">
        <v>8.9</v>
      </c>
      <c r="D7" s="551">
        <v>1.8082</v>
      </c>
      <c r="E7" s="438">
        <v>3.1</v>
      </c>
      <c r="H7" s="509"/>
    </row>
    <row r="8" s="44" customFormat="1" ht="24.95" customHeight="1" spans="1:8">
      <c r="A8" s="511" t="s">
        <v>88</v>
      </c>
      <c r="B8" s="551">
        <v>0.0109</v>
      </c>
      <c r="C8" s="601">
        <v>-49.6</v>
      </c>
      <c r="D8" s="551">
        <v>0.0313</v>
      </c>
      <c r="E8" s="438">
        <v>-44.9</v>
      </c>
      <c r="H8" s="509"/>
    </row>
    <row r="9" s="44" customFormat="1" ht="24.95" customHeight="1" spans="1:8">
      <c r="A9" s="511" t="s">
        <v>89</v>
      </c>
      <c r="B9" s="551">
        <v>0</v>
      </c>
      <c r="C9" s="602">
        <v>-100</v>
      </c>
      <c r="D9" s="551">
        <v>0</v>
      </c>
      <c r="E9" s="438">
        <v>-100</v>
      </c>
      <c r="H9" s="509"/>
    </row>
    <row r="10" s="44" customFormat="1" ht="24.95" customHeight="1" spans="1:8">
      <c r="A10" s="511" t="s">
        <v>90</v>
      </c>
      <c r="B10" s="551">
        <v>34.276</v>
      </c>
      <c r="C10" s="602">
        <v>5.7</v>
      </c>
      <c r="D10" s="551">
        <v>86.981</v>
      </c>
      <c r="E10" s="438">
        <v>7.2</v>
      </c>
      <c r="H10" s="509"/>
    </row>
    <row r="11" s="44" customFormat="1" ht="24.95" customHeight="1" spans="1:8">
      <c r="A11" s="511" t="s">
        <v>91</v>
      </c>
      <c r="B11" s="551">
        <v>35.1713</v>
      </c>
      <c r="C11" s="602">
        <v>16.9</v>
      </c>
      <c r="D11" s="551">
        <v>88.5338</v>
      </c>
      <c r="E11" s="438">
        <v>6</v>
      </c>
      <c r="H11" s="509"/>
    </row>
    <row r="12" s="44" customFormat="1" ht="24.95" customHeight="1" spans="1:8">
      <c r="A12" s="511" t="s">
        <v>92</v>
      </c>
      <c r="B12" s="551">
        <v>1.3698</v>
      </c>
      <c r="C12" s="602">
        <v>106.9</v>
      </c>
      <c r="D12" s="551">
        <v>2.4831</v>
      </c>
      <c r="E12" s="438">
        <v>65.3</v>
      </c>
      <c r="H12" s="509"/>
    </row>
    <row r="13" s="44" customFormat="1" ht="24.95" customHeight="1" spans="1:8">
      <c r="A13" s="511" t="s">
        <v>93</v>
      </c>
      <c r="B13" s="551">
        <v>27.6456</v>
      </c>
      <c r="C13" s="602">
        <v>13.6</v>
      </c>
      <c r="D13" s="551">
        <v>75.454</v>
      </c>
      <c r="E13" s="438">
        <v>6.4</v>
      </c>
      <c r="H13" s="509"/>
    </row>
    <row r="14" s="44" customFormat="1" ht="24.95" customHeight="1" spans="1:8">
      <c r="A14" s="511" t="s">
        <v>94</v>
      </c>
      <c r="B14" s="551">
        <v>23.7832</v>
      </c>
      <c r="C14" s="602">
        <v>9.6</v>
      </c>
      <c r="D14" s="551">
        <v>54.4399</v>
      </c>
      <c r="E14" s="438">
        <v>10.3</v>
      </c>
      <c r="H14" s="509"/>
    </row>
    <row r="15" s="44" customFormat="1" ht="24.95" customHeight="1" spans="1:8">
      <c r="A15" s="511" t="s">
        <v>95</v>
      </c>
      <c r="B15" s="551">
        <v>32.8796</v>
      </c>
      <c r="C15" s="602">
        <v>11.1</v>
      </c>
      <c r="D15" s="551">
        <v>85.9205</v>
      </c>
      <c r="E15" s="438">
        <v>6.5</v>
      </c>
      <c r="H15" s="509"/>
    </row>
    <row r="16" s="44" customFormat="1" ht="24.95" customHeight="1" spans="1:8">
      <c r="A16" s="511" t="s">
        <v>96</v>
      </c>
      <c r="B16" s="551">
        <v>20.9811</v>
      </c>
      <c r="C16" s="602">
        <v>10.1</v>
      </c>
      <c r="D16" s="551">
        <v>53.9083</v>
      </c>
      <c r="E16" s="438">
        <v>2.4</v>
      </c>
      <c r="H16" s="509"/>
    </row>
    <row r="17" s="44" customFormat="1" ht="24.95" customHeight="1" spans="1:8">
      <c r="A17" s="511" t="s">
        <v>97</v>
      </c>
      <c r="B17" s="551">
        <v>16.5334</v>
      </c>
      <c r="C17" s="602">
        <v>13.1</v>
      </c>
      <c r="D17" s="551">
        <v>37.8377</v>
      </c>
      <c r="E17" s="438">
        <v>12.5</v>
      </c>
      <c r="H17" s="509"/>
    </row>
    <row r="18" s="44" customFormat="1" ht="24.95" customHeight="1" spans="1:8">
      <c r="A18" s="657" t="s">
        <v>98</v>
      </c>
      <c r="B18" s="658">
        <v>1.012</v>
      </c>
      <c r="C18" s="659">
        <v>98.3</v>
      </c>
      <c r="D18" s="658">
        <v>2.171</v>
      </c>
      <c r="E18" s="449">
        <v>108.2</v>
      </c>
      <c r="H18" s="509"/>
    </row>
    <row r="19" s="44" customFormat="1" ht="20.1" customHeight="1" spans="1:8">
      <c r="H19" s="509"/>
    </row>
    <row r="20" s="44" customFormat="1" spans="1:8">
      <c r="H20" s="509"/>
    </row>
    <row r="21" s="44" customFormat="1" spans="1:8">
      <c r="H21" s="509"/>
    </row>
    <row r="22" s="44" customFormat="1" spans="1:8">
      <c r="H22" s="509"/>
    </row>
    <row r="23" s="44" customFormat="1" spans="1:8">
      <c r="H23" s="509"/>
    </row>
    <row r="24" s="44" customFormat="1" spans="1:8">
      <c r="H24" s="509"/>
    </row>
    <row r="25" s="44" customFormat="1"/>
    <row r="26" s="44" customFormat="1"/>
    <row r="27" s="44" customFormat="1"/>
    <row r="28" s="44" customFormat="1"/>
    <row r="29" s="44" customFormat="1"/>
    <row r="30" s="44" customFormat="1"/>
    <row r="31" s="44" customFormat="1"/>
    <row r="32" s="44" customFormat="1"/>
    <row r="33" s="44" customFormat="1"/>
    <row r="34" s="44" customFormat="1"/>
    <row r="35" s="44" customFormat="1"/>
    <row r="36" s="44" customFormat="1"/>
    <row r="37" s="44" customFormat="1"/>
    <row r="38" s="44" customFormat="1"/>
    <row r="39" s="44" customFormat="1"/>
    <row r="40" s="44" customFormat="1"/>
    <row r="41" s="44" customFormat="1"/>
    <row r="42" s="44" customFormat="1"/>
    <row r="43" s="44" customFormat="1"/>
    <row r="44" s="44" customFormat="1"/>
    <row r="45" s="44" customFormat="1"/>
    <row r="46" s="44" customFormat="1"/>
    <row r="47" s="44" customFormat="1"/>
    <row r="48" s="44" customFormat="1"/>
    <row r="49" s="44" customFormat="1"/>
    <row r="50" s="44" customFormat="1"/>
    <row r="51" s="44" customFormat="1"/>
    <row r="52" s="44" customFormat="1"/>
    <row r="53" s="44" customFormat="1"/>
    <row r="54" s="44" customFormat="1"/>
    <row r="55" s="44" customFormat="1"/>
    <row r="56" s="44" customFormat="1"/>
    <row r="57" s="44" customFormat="1"/>
    <row r="58" s="44" customFormat="1"/>
    <row r="59" s="44" customFormat="1"/>
    <row r="60" s="44" customFormat="1"/>
    <row r="61" s="44" customFormat="1"/>
    <row r="62" s="44" customFormat="1"/>
    <row r="63" s="44" customFormat="1"/>
    <row r="64" s="44" customFormat="1"/>
    <row r="65" s="44" customFormat="1"/>
    <row r="66" s="44" customFormat="1"/>
    <row r="67" s="44" customFormat="1"/>
    <row r="68" s="44" customFormat="1"/>
    <row r="69" s="44" customFormat="1"/>
    <row r="70" s="44" customFormat="1"/>
    <row r="71" s="44" customFormat="1"/>
    <row r="72" s="44" customFormat="1"/>
    <row r="73" s="44" customFormat="1"/>
    <row r="74" s="44" customFormat="1"/>
    <row r="75" s="44" customFormat="1"/>
    <row r="76" s="44" customFormat="1"/>
    <row r="77" s="44" customFormat="1"/>
    <row r="78" s="44" customFormat="1"/>
    <row r="79" s="44" customFormat="1"/>
    <row r="80" s="44" customFormat="1"/>
    <row r="81" s="44" customFormat="1"/>
    <row r="82" s="44" customFormat="1"/>
    <row r="83" s="44" customFormat="1"/>
    <row r="84" s="44" customFormat="1"/>
    <row r="85" s="44" customFormat="1"/>
    <row r="86" s="44" customFormat="1"/>
    <row r="87" s="44" customFormat="1"/>
    <row r="88" s="44" customFormat="1"/>
    <row r="89" s="44" customFormat="1"/>
    <row r="90" s="44" customFormat="1"/>
    <row r="91" s="44" customFormat="1"/>
    <row r="92" s="44" customFormat="1"/>
    <row r="93" s="44" customFormat="1"/>
    <row r="94" s="44" customFormat="1"/>
    <row r="95" s="44" customFormat="1"/>
    <row r="96" s="44" customFormat="1"/>
    <row r="97" s="44" customFormat="1"/>
    <row r="98" s="44" customFormat="1"/>
    <row r="99" s="44" customFormat="1"/>
    <row r="100" s="44" customFormat="1"/>
    <row r="101" s="44" customFormat="1"/>
    <row r="102" s="44" customFormat="1"/>
    <row r="103" s="44" customFormat="1"/>
    <row r="104" s="44" customFormat="1"/>
    <row r="105" s="44" customFormat="1"/>
    <row r="106" s="44" customFormat="1"/>
    <row r="107" s="44" customFormat="1"/>
    <row r="108" s="44" customFormat="1"/>
    <row r="109" s="44" customFormat="1"/>
    <row r="110" s="44" customFormat="1"/>
    <row r="111" s="44" customFormat="1"/>
    <row r="112" s="44" customFormat="1"/>
    <row r="113" s="44" customFormat="1"/>
    <row r="114" s="44" customFormat="1"/>
    <row r="115" s="44" customFormat="1"/>
    <row r="116" s="44" customFormat="1"/>
    <row r="117" s="44" customFormat="1"/>
    <row r="118" s="44" customFormat="1"/>
    <row r="119" s="44" customFormat="1"/>
    <row r="120" s="44" customFormat="1"/>
    <row r="121" s="44" customFormat="1"/>
    <row r="122" s="44" customFormat="1"/>
    <row r="123" s="44" customFormat="1"/>
    <row r="124" s="44" customFormat="1"/>
    <row r="125" s="44" customFormat="1"/>
    <row r="126" s="44" customFormat="1"/>
    <row r="127" s="44" customFormat="1"/>
    <row r="128" s="44" customFormat="1"/>
    <row r="129" s="44" customFormat="1"/>
    <row r="130" s="44" customFormat="1"/>
    <row r="131" s="44" customFormat="1"/>
    <row r="132" s="44" customFormat="1"/>
    <row r="133" s="44" customFormat="1"/>
    <row r="134" s="44" customFormat="1"/>
    <row r="135" s="44" customFormat="1"/>
    <row r="136" s="44" customFormat="1"/>
    <row r="137" s="44" customFormat="1"/>
    <row r="138" s="44" customFormat="1"/>
    <row r="139" s="44" customFormat="1"/>
    <row r="140" s="44" customFormat="1"/>
    <row r="141" s="44" customFormat="1"/>
    <row r="142" s="44" customFormat="1"/>
    <row r="143" s="44" customFormat="1"/>
    <row r="144" s="44" customFormat="1"/>
    <row r="145" s="44" customFormat="1"/>
    <row r="146" s="44" customFormat="1"/>
    <row r="147" s="44" customFormat="1"/>
    <row r="148" s="44" customFormat="1"/>
    <row r="149" s="44" customFormat="1"/>
    <row r="150" s="44" customFormat="1"/>
    <row r="151" s="44" customFormat="1"/>
    <row r="152" s="44" customFormat="1"/>
    <row r="153" s="44" customFormat="1"/>
    <row r="154" s="44" customFormat="1"/>
    <row r="155" s="44" customFormat="1"/>
    <row r="156" s="44" customFormat="1"/>
    <row r="157" s="44" customFormat="1"/>
    <row r="158" s="44" customFormat="1"/>
    <row r="159" s="44" customFormat="1"/>
    <row r="160" s="44" customFormat="1"/>
    <row r="161" s="44" customFormat="1"/>
    <row r="162" s="44" customFormat="1"/>
    <row r="163" s="44" customFormat="1"/>
    <row r="164" s="44" customFormat="1"/>
    <row r="165" s="44" customFormat="1"/>
    <row r="166" s="44" customFormat="1"/>
    <row r="167" s="44" customFormat="1"/>
    <row r="168" s="44" customFormat="1"/>
    <row r="169" s="44" customFormat="1"/>
    <row r="170" s="44" customFormat="1"/>
    <row r="171" s="44" customFormat="1"/>
    <row r="172" s="44" customFormat="1"/>
    <row r="173" s="44" customFormat="1"/>
    <row r="174" s="44" customFormat="1"/>
    <row r="175" s="44" customFormat="1"/>
    <row r="176" s="44" customFormat="1"/>
    <row r="177" s="44" customFormat="1"/>
    <row r="178" s="44" customFormat="1"/>
    <row r="179" s="44" customFormat="1"/>
    <row r="180" s="44" customFormat="1"/>
    <row r="181" s="44" customFormat="1"/>
    <row r="182" s="44" customFormat="1"/>
    <row r="183" s="44" customFormat="1"/>
    <row r="184" s="44" customFormat="1"/>
    <row r="185" s="44" customFormat="1"/>
    <row r="186" s="44" customFormat="1"/>
    <row r="187" s="44" customFormat="1"/>
    <row r="188" s="44" customFormat="1"/>
    <row r="189" s="44" customFormat="1"/>
    <row r="190" s="44" customFormat="1"/>
    <row r="191" s="44" customFormat="1"/>
    <row r="192" s="44" customFormat="1"/>
    <row r="193" s="44" customFormat="1"/>
    <row r="194" s="44" customFormat="1"/>
    <row r="195" s="44" customFormat="1"/>
    <row r="196" s="44" customFormat="1"/>
    <row r="197" s="44" customFormat="1"/>
    <row r="198" s="44" customFormat="1"/>
    <row r="199" s="44" customFormat="1"/>
    <row r="200" s="44" customFormat="1"/>
    <row r="201" s="44" customFormat="1"/>
    <row r="202" s="44" customFormat="1"/>
    <row r="203" s="44" customFormat="1"/>
    <row r="204" s="44" customFormat="1"/>
    <row r="205" s="44" customFormat="1"/>
    <row r="206" s="44" customFormat="1"/>
    <row r="207" s="44" customFormat="1"/>
    <row r="208" s="44" customFormat="1"/>
    <row r="209" s="44" customFormat="1"/>
    <row r="210" s="44" customFormat="1"/>
    <row r="211" s="44" customFormat="1"/>
    <row r="212" s="44" customFormat="1"/>
    <row r="213" s="44" customFormat="1"/>
    <row r="214" s="44" customFormat="1"/>
    <row r="215" s="44" customFormat="1"/>
    <row r="216" s="44" customFormat="1"/>
    <row r="217" s="44" customFormat="1"/>
    <row r="218" s="44" customFormat="1"/>
    <row r="219" s="44" customFormat="1"/>
    <row r="220" s="44" customFormat="1"/>
    <row r="221" s="44" customFormat="1"/>
    <row r="222" s="44" customFormat="1"/>
    <row r="223" s="44" customFormat="1"/>
    <row r="224" s="44" customFormat="1"/>
    <row r="225" s="44" customFormat="1"/>
    <row r="226" s="44" customFormat="1"/>
    <row r="227" s="44" customFormat="1"/>
    <row r="228" s="44" customFormat="1"/>
    <row r="229" s="44" customFormat="1"/>
    <row r="230" s="44" customFormat="1"/>
    <row r="231" s="44" customFormat="1"/>
    <row r="232" s="44" customFormat="1"/>
    <row r="233" s="44" customFormat="1"/>
    <row r="234" s="44" customFormat="1"/>
    <row r="235" s="44" customFormat="1"/>
    <row r="236" s="44" customFormat="1"/>
    <row r="237" s="44" customFormat="1"/>
    <row r="238" s="44" customFormat="1"/>
    <row r="239" s="44" customFormat="1"/>
    <row r="240" s="44" customFormat="1"/>
    <row r="241" s="44" customFormat="1"/>
    <row r="242" s="44" customFormat="1"/>
    <row r="243" s="44" customFormat="1"/>
    <row r="244" s="44" customFormat="1"/>
    <row r="245" s="44" customFormat="1"/>
    <row r="246" s="44" customFormat="1"/>
    <row r="247" s="44" customFormat="1"/>
    <row r="248" s="44" customFormat="1"/>
    <row r="249" s="44" customFormat="1"/>
    <row r="250" s="44" customFormat="1"/>
    <row r="251" s="44" customFormat="1"/>
    <row r="252" s="44" customFormat="1"/>
    <row r="253" s="44" customFormat="1"/>
    <row r="254" s="44" customFormat="1"/>
    <row r="255" s="44" customFormat="1"/>
    <row r="256" s="44" customFormat="1"/>
  </sheetData>
  <mergeCells count="2">
    <mergeCell ref="A1:E1"/>
    <mergeCell ref="D2:E2"/>
  </mergeCells>
  <pageMargins left="0.75" right="0.75" top="1" bottom="1" header="0.5" footer="0.5"/>
  <pageSetup paperSize="9" orientation="portrait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254"/>
  <sheetViews>
    <sheetView zoomScale="80" zoomScaleNormal="80" workbookViewId="0">
      <selection activeCell="G32" sqref="G32"/>
    </sheetView>
  </sheetViews>
  <sheetFormatPr defaultColWidth="9" defaultRowHeight="14.25" outlineLevelCol="4"/>
  <cols>
    <col min="1" max="1" width="36" style="48" customWidth="1"/>
    <col min="2" max="2" width="11.125" style="411" customWidth="1"/>
    <col min="3" max="4" width="14.625" style="48" customWidth="1"/>
    <col min="5" max="5" width="9" style="241"/>
    <col min="6" max="6" width="12.625" style="241"/>
    <col min="7" max="16384" width="9" style="241"/>
  </cols>
  <sheetData>
    <row r="1" ht="28.5" customHeight="1" spans="1:5">
      <c r="A1" s="495" t="s">
        <v>107</v>
      </c>
      <c r="B1" s="495"/>
      <c r="C1" s="495"/>
      <c r="D1" s="86"/>
    </row>
    <row r="2" s="639" customFormat="1" ht="35.25" customHeight="1" spans="1:5">
      <c r="A2" s="640" t="s">
        <v>40</v>
      </c>
      <c r="B2" s="498" t="s">
        <v>108</v>
      </c>
      <c r="C2" s="641" t="s">
        <v>109</v>
      </c>
      <c r="D2" s="642" t="s">
        <v>6</v>
      </c>
      <c r="E2" s="643"/>
    </row>
    <row r="3" ht="24.95" customHeight="1" spans="1:5">
      <c r="A3" s="644" t="s">
        <v>110</v>
      </c>
      <c r="B3" s="645" t="s">
        <v>111</v>
      </c>
      <c r="C3" s="646">
        <v>871</v>
      </c>
      <c r="D3" s="507">
        <v>0.6</v>
      </c>
    </row>
    <row r="4" ht="24.95" customHeight="1" spans="1:5">
      <c r="A4" s="644" t="s">
        <v>112</v>
      </c>
      <c r="B4" s="645" t="s">
        <v>111</v>
      </c>
      <c r="C4" s="646">
        <v>187</v>
      </c>
      <c r="D4" s="507">
        <v>1.1</v>
      </c>
    </row>
    <row r="5" ht="24.95" customHeight="1" spans="1:5">
      <c r="A5" s="644" t="s">
        <v>113</v>
      </c>
      <c r="B5" s="645" t="s">
        <v>8</v>
      </c>
      <c r="C5" s="463">
        <v>4.0685</v>
      </c>
      <c r="D5" s="507">
        <v>19.1</v>
      </c>
    </row>
    <row r="6" ht="24.95" customHeight="1" spans="1:5">
      <c r="A6" s="644" t="s">
        <v>114</v>
      </c>
      <c r="B6" s="645" t="s">
        <v>8</v>
      </c>
      <c r="C6" s="463">
        <v>336.6477</v>
      </c>
      <c r="D6" s="507">
        <v>3.6</v>
      </c>
    </row>
    <row r="7" ht="24.95" customHeight="1" spans="1:5">
      <c r="A7" s="644" t="s">
        <v>115</v>
      </c>
      <c r="B7" s="645" t="s">
        <v>8</v>
      </c>
      <c r="C7" s="463">
        <v>55.627</v>
      </c>
      <c r="D7" s="507">
        <v>-17.7</v>
      </c>
    </row>
    <row r="8" ht="24.95" customHeight="1" spans="1:5">
      <c r="A8" s="644" t="s">
        <v>116</v>
      </c>
      <c r="B8" s="645" t="s">
        <v>8</v>
      </c>
      <c r="C8" s="463">
        <v>26.549</v>
      </c>
      <c r="D8" s="507">
        <v>-29.9</v>
      </c>
    </row>
    <row r="9" ht="24.95" customHeight="1" spans="1:5">
      <c r="A9" s="644" t="s">
        <v>117</v>
      </c>
      <c r="B9" s="645" t="s">
        <v>8</v>
      </c>
      <c r="C9" s="463">
        <v>2676.1312</v>
      </c>
      <c r="D9" s="507">
        <v>3.1</v>
      </c>
    </row>
    <row r="10" ht="24.95" customHeight="1" spans="1:5">
      <c r="A10" s="644" t="s">
        <v>118</v>
      </c>
      <c r="B10" s="645" t="s">
        <v>8</v>
      </c>
      <c r="C10" s="463">
        <v>1845.402</v>
      </c>
      <c r="D10" s="507">
        <v>0.7</v>
      </c>
    </row>
    <row r="11" ht="24.95" customHeight="1" spans="1:5">
      <c r="A11" s="644" t="s">
        <v>119</v>
      </c>
      <c r="B11" s="645" t="s">
        <v>8</v>
      </c>
      <c r="C11" s="463">
        <v>192.5764</v>
      </c>
      <c r="D11" s="507">
        <v>4.3</v>
      </c>
    </row>
    <row r="12" ht="24.95" customHeight="1" spans="1:5">
      <c r="A12" s="644" t="s">
        <v>120</v>
      </c>
      <c r="B12" s="645" t="s">
        <v>8</v>
      </c>
      <c r="C12" s="463">
        <v>83.4979</v>
      </c>
      <c r="D12" s="507">
        <v>1.3</v>
      </c>
    </row>
    <row r="13" ht="24.95" customHeight="1" spans="1:5">
      <c r="A13" s="644" t="s">
        <v>121</v>
      </c>
      <c r="B13" s="645" t="s">
        <v>8</v>
      </c>
      <c r="C13" s="463">
        <v>2.8992</v>
      </c>
      <c r="D13" s="507">
        <v>34.9</v>
      </c>
    </row>
    <row r="14" ht="24.95" customHeight="1" spans="1:5">
      <c r="A14" s="644" t="s">
        <v>122</v>
      </c>
      <c r="B14" s="645" t="s">
        <v>123</v>
      </c>
      <c r="C14" s="463">
        <v>12.2387</v>
      </c>
      <c r="D14" s="507">
        <v>-5.9</v>
      </c>
    </row>
    <row r="15" ht="24.95" customHeight="1" spans="1:5">
      <c r="A15" s="647" t="s">
        <v>124</v>
      </c>
      <c r="B15" s="645" t="s">
        <v>29</v>
      </c>
      <c r="C15" s="648">
        <v>436.8</v>
      </c>
      <c r="D15" s="507">
        <v>-1.9</v>
      </c>
    </row>
    <row r="16" ht="24.95" customHeight="1" spans="1:5">
      <c r="A16" s="644" t="s">
        <v>125</v>
      </c>
      <c r="B16" s="645" t="s">
        <v>29</v>
      </c>
      <c r="C16" s="648">
        <v>13.41</v>
      </c>
      <c r="D16" s="507">
        <v>-2.8</v>
      </c>
    </row>
    <row r="17" ht="24.95" customHeight="1" spans="1:4">
      <c r="A17" s="644" t="s">
        <v>126</v>
      </c>
      <c r="B17" s="645" t="s">
        <v>29</v>
      </c>
      <c r="C17" s="648">
        <v>108.74</v>
      </c>
      <c r="D17" s="507">
        <v>-5.5</v>
      </c>
    </row>
    <row r="18" ht="24.95" customHeight="1" spans="1:4">
      <c r="A18" s="644" t="s">
        <v>127</v>
      </c>
      <c r="B18" s="645" t="s">
        <v>29</v>
      </c>
      <c r="C18" s="648">
        <v>68.96</v>
      </c>
      <c r="D18" s="507">
        <v>-1.6</v>
      </c>
    </row>
    <row r="19" ht="24.95" customHeight="1" spans="1:4">
      <c r="A19" s="644" t="s">
        <v>128</v>
      </c>
      <c r="B19" s="645" t="s">
        <v>129</v>
      </c>
      <c r="C19" s="519">
        <v>1.95</v>
      </c>
      <c r="D19" s="507">
        <v>0</v>
      </c>
    </row>
    <row r="20" ht="24.95" customHeight="1" spans="1:4">
      <c r="A20" s="644" t="s">
        <v>130</v>
      </c>
      <c r="B20" s="645" t="s">
        <v>29</v>
      </c>
      <c r="C20" s="648">
        <v>9.09</v>
      </c>
      <c r="D20" s="507">
        <v>-4.9</v>
      </c>
    </row>
    <row r="21" ht="24.95" customHeight="1" spans="1:4">
      <c r="A21" s="644" t="s">
        <v>131</v>
      </c>
      <c r="B21" s="645" t="s">
        <v>132</v>
      </c>
      <c r="C21" s="463">
        <v>53.050473</v>
      </c>
      <c r="D21" s="507">
        <v>7.5</v>
      </c>
    </row>
    <row r="22" ht="24.95" customHeight="1" spans="1:4">
      <c r="A22" s="649" t="s">
        <v>133</v>
      </c>
      <c r="B22" s="650" t="s">
        <v>29</v>
      </c>
      <c r="C22" s="651">
        <v>94.92</v>
      </c>
      <c r="D22" s="523">
        <v>-0.8</v>
      </c>
    </row>
    <row r="23" spans="1:4">
      <c r="A23" s="241"/>
      <c r="B23" s="241"/>
      <c r="C23" s="241"/>
      <c r="D23" s="241"/>
    </row>
    <row r="24" spans="1:4">
      <c r="A24" s="241"/>
      <c r="B24" s="241"/>
      <c r="C24" s="241"/>
      <c r="D24" s="241"/>
    </row>
    <row r="25" spans="1:4">
      <c r="A25" s="241"/>
      <c r="B25" s="241"/>
      <c r="C25" s="241"/>
      <c r="D25" s="241"/>
    </row>
    <row r="26" spans="1:4">
      <c r="A26" s="241"/>
      <c r="B26" s="241"/>
      <c r="C26" s="241"/>
      <c r="D26" s="241"/>
    </row>
    <row r="27" spans="1:4">
      <c r="A27" s="241"/>
      <c r="B27" s="241"/>
      <c r="C27" s="241"/>
      <c r="D27" s="241"/>
    </row>
    <row r="28" spans="1:4">
      <c r="A28" s="241"/>
      <c r="B28" s="241"/>
      <c r="C28" s="241"/>
      <c r="D28" s="241"/>
    </row>
    <row r="29" spans="1:4">
      <c r="A29" s="241"/>
      <c r="B29" s="241"/>
      <c r="C29" s="241"/>
      <c r="D29" s="241"/>
    </row>
    <row r="30" spans="1:4">
      <c r="A30" s="241"/>
      <c r="B30" s="241"/>
      <c r="C30" s="241"/>
      <c r="D30" s="241"/>
    </row>
    <row r="31" spans="1:4">
      <c r="A31" s="241"/>
      <c r="B31" s="241"/>
      <c r="C31" s="241"/>
      <c r="D31" s="241"/>
    </row>
    <row r="32" spans="1:4">
      <c r="A32" s="241"/>
      <c r="B32" s="241"/>
      <c r="C32" s="241"/>
      <c r="D32" s="241"/>
    </row>
    <row r="33" spans="1:4">
      <c r="A33" s="241"/>
      <c r="B33" s="241"/>
      <c r="C33" s="241"/>
      <c r="D33" s="241"/>
    </row>
    <row r="34" spans="1:4">
      <c r="A34" s="241"/>
      <c r="B34" s="241"/>
      <c r="C34" s="241"/>
      <c r="D34" s="241"/>
    </row>
    <row r="35" spans="1:4">
      <c r="A35" s="241"/>
      <c r="B35" s="241"/>
      <c r="C35" s="241"/>
      <c r="D35" s="241"/>
    </row>
    <row r="36" spans="1:4">
      <c r="A36" s="241"/>
      <c r="B36" s="241"/>
      <c r="C36" s="241"/>
      <c r="D36" s="241"/>
    </row>
    <row r="37" spans="1:4">
      <c r="A37" s="241"/>
      <c r="B37" s="241"/>
      <c r="C37" s="241"/>
      <c r="D37" s="241"/>
    </row>
    <row r="38" spans="1:4">
      <c r="A38" s="241"/>
      <c r="B38" s="241"/>
      <c r="C38" s="241"/>
      <c r="D38" s="241"/>
    </row>
    <row r="39" spans="1:4">
      <c r="A39" s="241"/>
      <c r="B39" s="241"/>
      <c r="C39" s="241"/>
      <c r="D39" s="241"/>
    </row>
    <row r="40" spans="1:4">
      <c r="A40" s="241"/>
      <c r="B40" s="241"/>
      <c r="C40" s="241"/>
      <c r="D40" s="241"/>
    </row>
    <row r="41" spans="1:4">
      <c r="A41" s="241"/>
      <c r="B41" s="241"/>
      <c r="C41" s="241"/>
      <c r="D41" s="241"/>
    </row>
    <row r="42" spans="1:4">
      <c r="A42" s="241"/>
      <c r="B42" s="241"/>
      <c r="C42" s="241"/>
      <c r="D42" s="241"/>
    </row>
    <row r="43" spans="1:4">
      <c r="A43" s="241"/>
      <c r="B43" s="241"/>
      <c r="C43" s="241"/>
      <c r="D43" s="241"/>
    </row>
    <row r="44" spans="1:4">
      <c r="A44" s="241"/>
      <c r="B44" s="241"/>
      <c r="C44" s="241"/>
      <c r="D44" s="241"/>
    </row>
    <row r="45" spans="1:4">
      <c r="A45" s="241"/>
      <c r="B45" s="241"/>
      <c r="C45" s="241"/>
      <c r="D45" s="241"/>
    </row>
    <row r="46" spans="1:4">
      <c r="A46" s="241"/>
      <c r="B46" s="241"/>
      <c r="C46" s="241"/>
      <c r="D46" s="241"/>
    </row>
    <row r="47" spans="1:4">
      <c r="A47" s="241"/>
      <c r="B47" s="241"/>
      <c r="C47" s="241"/>
      <c r="D47" s="241"/>
    </row>
    <row r="48" spans="1:4">
      <c r="A48" s="241"/>
      <c r="B48" s="241"/>
      <c r="C48" s="241"/>
      <c r="D48" s="241"/>
    </row>
    <row r="49" spans="1:4">
      <c r="A49" s="241"/>
      <c r="B49" s="241"/>
      <c r="C49" s="241"/>
      <c r="D49" s="241"/>
    </row>
    <row r="50" spans="1:4">
      <c r="A50" s="241"/>
      <c r="B50" s="241"/>
      <c r="C50" s="241"/>
      <c r="D50" s="241"/>
    </row>
    <row r="51" spans="1:4">
      <c r="A51" s="241"/>
      <c r="B51" s="241"/>
      <c r="C51" s="241"/>
      <c r="D51" s="241"/>
    </row>
    <row r="52" spans="1:4">
      <c r="A52" s="241"/>
      <c r="B52" s="241"/>
      <c r="C52" s="241"/>
      <c r="D52" s="241"/>
    </row>
    <row r="53" spans="1:4">
      <c r="A53" s="241"/>
      <c r="B53" s="241"/>
      <c r="C53" s="241"/>
      <c r="D53" s="241"/>
    </row>
    <row r="54" spans="1:4">
      <c r="A54" s="241"/>
      <c r="B54" s="241"/>
      <c r="C54" s="241"/>
      <c r="D54" s="241"/>
    </row>
    <row r="55" spans="1:4">
      <c r="A55" s="241"/>
      <c r="B55" s="241"/>
      <c r="C55" s="241"/>
      <c r="D55" s="241"/>
    </row>
    <row r="56" spans="1:4">
      <c r="A56" s="241"/>
      <c r="B56" s="241"/>
      <c r="C56" s="241"/>
      <c r="D56" s="241"/>
    </row>
    <row r="57" spans="1:4">
      <c r="A57" s="241"/>
      <c r="B57" s="241"/>
      <c r="C57" s="241"/>
      <c r="D57" s="241"/>
    </row>
    <row r="58" spans="1:4">
      <c r="A58" s="241"/>
      <c r="B58" s="241"/>
      <c r="C58" s="241"/>
      <c r="D58" s="241"/>
    </row>
    <row r="59" spans="1:4">
      <c r="A59" s="241"/>
      <c r="B59" s="241"/>
      <c r="C59" s="241"/>
      <c r="D59" s="241"/>
    </row>
    <row r="60" spans="1:4">
      <c r="A60" s="241"/>
      <c r="B60" s="241"/>
      <c r="C60" s="241"/>
      <c r="D60" s="241"/>
    </row>
    <row r="61" spans="1:4">
      <c r="A61" s="241"/>
      <c r="B61" s="241"/>
      <c r="C61" s="241"/>
      <c r="D61" s="241"/>
    </row>
    <row r="62" spans="1:4">
      <c r="A62" s="241"/>
      <c r="B62" s="241"/>
      <c r="C62" s="241"/>
      <c r="D62" s="241"/>
    </row>
    <row r="63" spans="1:4">
      <c r="A63" s="241"/>
      <c r="B63" s="241"/>
      <c r="C63" s="241"/>
      <c r="D63" s="241"/>
    </row>
    <row r="64" spans="1:4">
      <c r="A64" s="241"/>
      <c r="B64" s="241"/>
      <c r="C64" s="241"/>
      <c r="D64" s="241"/>
    </row>
    <row r="65" spans="1:4">
      <c r="A65" s="241"/>
      <c r="B65" s="241"/>
      <c r="C65" s="241"/>
      <c r="D65" s="241"/>
    </row>
    <row r="66" spans="1:4">
      <c r="A66" s="241"/>
      <c r="B66" s="241"/>
      <c r="C66" s="241"/>
      <c r="D66" s="241"/>
    </row>
    <row r="67" spans="1:4">
      <c r="A67" s="241"/>
      <c r="B67" s="241"/>
      <c r="C67" s="241"/>
      <c r="D67" s="241"/>
    </row>
    <row r="68" spans="1:4">
      <c r="A68" s="241"/>
      <c r="B68" s="241"/>
      <c r="C68" s="241"/>
      <c r="D68" s="241"/>
    </row>
    <row r="69" spans="1:4">
      <c r="A69" s="241"/>
      <c r="B69" s="241"/>
      <c r="C69" s="241"/>
      <c r="D69" s="241"/>
    </row>
    <row r="70" spans="1:4">
      <c r="A70" s="241"/>
      <c r="B70" s="241"/>
      <c r="C70" s="241"/>
      <c r="D70" s="241"/>
    </row>
    <row r="71" spans="1:4">
      <c r="A71" s="241"/>
      <c r="B71" s="241"/>
      <c r="C71" s="241"/>
      <c r="D71" s="241"/>
    </row>
    <row r="72" spans="1:4">
      <c r="A72" s="241"/>
      <c r="B72" s="241"/>
      <c r="C72" s="241"/>
      <c r="D72" s="241"/>
    </row>
    <row r="73" spans="1:4">
      <c r="A73" s="241"/>
      <c r="B73" s="241"/>
      <c r="C73" s="241"/>
      <c r="D73" s="241"/>
    </row>
    <row r="74" spans="1:4">
      <c r="A74" s="241"/>
      <c r="B74" s="241"/>
      <c r="C74" s="241"/>
      <c r="D74" s="241"/>
    </row>
    <row r="75" spans="1:4">
      <c r="A75" s="241"/>
      <c r="B75" s="241"/>
      <c r="C75" s="241"/>
      <c r="D75" s="241"/>
    </row>
    <row r="76" spans="1:4">
      <c r="A76" s="241"/>
      <c r="B76" s="241"/>
      <c r="C76" s="241"/>
      <c r="D76" s="241"/>
    </row>
    <row r="77" spans="1:4">
      <c r="A77" s="241"/>
      <c r="B77" s="241"/>
      <c r="C77" s="241"/>
      <c r="D77" s="241"/>
    </row>
    <row r="78" spans="1:4">
      <c r="A78" s="241"/>
      <c r="B78" s="241"/>
      <c r="C78" s="241"/>
      <c r="D78" s="241"/>
    </row>
    <row r="79" spans="1:4">
      <c r="A79" s="241"/>
      <c r="B79" s="241"/>
      <c r="C79" s="241"/>
      <c r="D79" s="241"/>
    </row>
    <row r="80" spans="1:4">
      <c r="A80" s="241"/>
      <c r="B80" s="241"/>
      <c r="C80" s="241"/>
      <c r="D80" s="241"/>
    </row>
    <row r="81" spans="1:4">
      <c r="A81" s="241"/>
      <c r="B81" s="241"/>
      <c r="C81" s="241"/>
      <c r="D81" s="241"/>
    </row>
    <row r="82" spans="1:4">
      <c r="A82" s="241"/>
      <c r="B82" s="241"/>
      <c r="C82" s="241"/>
      <c r="D82" s="241"/>
    </row>
    <row r="83" spans="1:4">
      <c r="A83" s="241"/>
      <c r="B83" s="241"/>
      <c r="C83" s="241"/>
      <c r="D83" s="241"/>
    </row>
    <row r="84" spans="1:4">
      <c r="A84" s="241"/>
      <c r="B84" s="241"/>
      <c r="C84" s="241"/>
      <c r="D84" s="241"/>
    </row>
    <row r="85" spans="1:4">
      <c r="A85" s="241"/>
      <c r="B85" s="241"/>
      <c r="C85" s="241"/>
      <c r="D85" s="241"/>
    </row>
    <row r="86" spans="1:4">
      <c r="A86" s="241"/>
      <c r="B86" s="241"/>
      <c r="C86" s="241"/>
      <c r="D86" s="241"/>
    </row>
    <row r="87" spans="1:4">
      <c r="A87" s="241"/>
      <c r="B87" s="241"/>
      <c r="C87" s="241"/>
      <c r="D87" s="241"/>
    </row>
    <row r="88" spans="1:4">
      <c r="A88" s="241"/>
      <c r="B88" s="241"/>
      <c r="C88" s="241"/>
      <c r="D88" s="241"/>
    </row>
    <row r="89" spans="1:4">
      <c r="A89" s="241"/>
      <c r="B89" s="241"/>
      <c r="C89" s="241"/>
      <c r="D89" s="241"/>
    </row>
    <row r="90" spans="1:4">
      <c r="A90" s="241"/>
      <c r="B90" s="241"/>
      <c r="C90" s="241"/>
      <c r="D90" s="241"/>
    </row>
    <row r="91" spans="1:4">
      <c r="A91" s="241"/>
      <c r="B91" s="241"/>
      <c r="C91" s="241"/>
      <c r="D91" s="241"/>
    </row>
    <row r="92" spans="1:4">
      <c r="A92" s="241"/>
      <c r="B92" s="241"/>
      <c r="C92" s="241"/>
      <c r="D92" s="241"/>
    </row>
    <row r="93" spans="1:4">
      <c r="A93" s="241"/>
      <c r="B93" s="241"/>
      <c r="C93" s="241"/>
      <c r="D93" s="241"/>
    </row>
    <row r="94" spans="1:4">
      <c r="A94" s="241"/>
      <c r="B94" s="241"/>
      <c r="C94" s="241"/>
      <c r="D94" s="241"/>
    </row>
    <row r="95" spans="1:4">
      <c r="A95" s="241"/>
      <c r="B95" s="241"/>
      <c r="C95" s="241"/>
      <c r="D95" s="241"/>
    </row>
    <row r="96" spans="1:4">
      <c r="A96" s="241"/>
      <c r="B96" s="241"/>
      <c r="C96" s="241"/>
      <c r="D96" s="241"/>
    </row>
    <row r="97" spans="1:4">
      <c r="A97" s="241"/>
      <c r="B97" s="241"/>
      <c r="C97" s="241"/>
      <c r="D97" s="241"/>
    </row>
    <row r="98" spans="1:4">
      <c r="A98" s="241"/>
      <c r="B98" s="241"/>
      <c r="C98" s="241"/>
      <c r="D98" s="241"/>
    </row>
    <row r="99" spans="1:4">
      <c r="A99" s="241"/>
      <c r="B99" s="241"/>
      <c r="C99" s="241"/>
      <c r="D99" s="241"/>
    </row>
    <row r="100" spans="1:4">
      <c r="A100" s="241"/>
      <c r="B100" s="241"/>
      <c r="C100" s="241"/>
      <c r="D100" s="241"/>
    </row>
    <row r="101" spans="1:4">
      <c r="A101" s="241"/>
      <c r="B101" s="241"/>
      <c r="C101" s="241"/>
      <c r="D101" s="241"/>
    </row>
    <row r="102" spans="1:4">
      <c r="A102" s="241"/>
      <c r="B102" s="241"/>
      <c r="C102" s="241"/>
      <c r="D102" s="241"/>
    </row>
    <row r="103" spans="1:4">
      <c r="A103" s="241"/>
      <c r="B103" s="241"/>
      <c r="C103" s="241"/>
      <c r="D103" s="241"/>
    </row>
    <row r="104" spans="1:4">
      <c r="A104" s="241"/>
      <c r="B104" s="241"/>
      <c r="C104" s="241"/>
      <c r="D104" s="241"/>
    </row>
    <row r="105" spans="1:4">
      <c r="A105" s="241"/>
      <c r="B105" s="241"/>
      <c r="C105" s="241"/>
      <c r="D105" s="241"/>
    </row>
    <row r="106" spans="1:4">
      <c r="A106" s="241"/>
      <c r="B106" s="241"/>
      <c r="C106" s="241"/>
      <c r="D106" s="241"/>
    </row>
    <row r="107" spans="1:4">
      <c r="A107" s="241"/>
      <c r="B107" s="241"/>
      <c r="C107" s="241"/>
      <c r="D107" s="241"/>
    </row>
    <row r="108" spans="1:4">
      <c r="A108" s="241"/>
      <c r="B108" s="241"/>
      <c r="C108" s="241"/>
      <c r="D108" s="241"/>
    </row>
    <row r="109" spans="1:4">
      <c r="A109" s="241"/>
      <c r="B109" s="241"/>
      <c r="C109" s="241"/>
      <c r="D109" s="241"/>
    </row>
    <row r="110" spans="1:4">
      <c r="A110" s="241"/>
      <c r="B110" s="241"/>
      <c r="C110" s="241"/>
      <c r="D110" s="241"/>
    </row>
    <row r="111" spans="1:4">
      <c r="A111" s="241"/>
      <c r="B111" s="241"/>
      <c r="C111" s="241"/>
      <c r="D111" s="241"/>
    </row>
    <row r="112" spans="1:4">
      <c r="A112" s="241"/>
      <c r="B112" s="241"/>
      <c r="C112" s="241"/>
      <c r="D112" s="241"/>
    </row>
    <row r="113" spans="1:4">
      <c r="A113" s="241"/>
      <c r="B113" s="241"/>
      <c r="C113" s="241"/>
      <c r="D113" s="241"/>
    </row>
    <row r="114" spans="1:4">
      <c r="A114" s="241"/>
      <c r="B114" s="241"/>
      <c r="C114" s="241"/>
      <c r="D114" s="241"/>
    </row>
    <row r="115" spans="1:4">
      <c r="A115" s="241"/>
      <c r="B115" s="241"/>
      <c r="C115" s="241"/>
      <c r="D115" s="241"/>
    </row>
    <row r="116" spans="1:4">
      <c r="A116" s="241"/>
      <c r="B116" s="241"/>
      <c r="C116" s="241"/>
      <c r="D116" s="241"/>
    </row>
    <row r="117" spans="1:4">
      <c r="A117" s="241"/>
      <c r="B117" s="241"/>
      <c r="C117" s="241"/>
      <c r="D117" s="241"/>
    </row>
    <row r="118" spans="1:4">
      <c r="A118" s="241"/>
      <c r="B118" s="241"/>
      <c r="C118" s="241"/>
      <c r="D118" s="241"/>
    </row>
    <row r="119" spans="1:4">
      <c r="A119" s="241"/>
      <c r="B119" s="241"/>
      <c r="C119" s="241"/>
      <c r="D119" s="241"/>
    </row>
    <row r="120" spans="1:4">
      <c r="A120" s="241"/>
      <c r="B120" s="241"/>
      <c r="C120" s="241"/>
      <c r="D120" s="241"/>
    </row>
    <row r="121" spans="1:4">
      <c r="A121" s="241"/>
      <c r="B121" s="241"/>
      <c r="C121" s="241"/>
      <c r="D121" s="241"/>
    </row>
    <row r="122" spans="1:4">
      <c r="A122" s="241"/>
      <c r="B122" s="241"/>
      <c r="C122" s="241"/>
      <c r="D122" s="241"/>
    </row>
    <row r="123" spans="1:4">
      <c r="A123" s="241"/>
      <c r="B123" s="241"/>
      <c r="C123" s="241"/>
      <c r="D123" s="241"/>
    </row>
    <row r="124" spans="1:4">
      <c r="A124" s="241"/>
      <c r="B124" s="241"/>
      <c r="C124" s="241"/>
      <c r="D124" s="241"/>
    </row>
    <row r="125" spans="1:4">
      <c r="A125" s="241"/>
      <c r="B125" s="241"/>
      <c r="C125" s="241"/>
      <c r="D125" s="241"/>
    </row>
    <row r="126" spans="1:4">
      <c r="A126" s="241"/>
      <c r="B126" s="241"/>
      <c r="C126" s="241"/>
      <c r="D126" s="241"/>
    </row>
    <row r="127" spans="1:4">
      <c r="A127" s="241"/>
      <c r="B127" s="241"/>
      <c r="C127" s="241"/>
      <c r="D127" s="241"/>
    </row>
    <row r="128" spans="1:4">
      <c r="A128" s="241"/>
      <c r="B128" s="241"/>
      <c r="C128" s="241"/>
      <c r="D128" s="241"/>
    </row>
    <row r="129" spans="1:4">
      <c r="A129" s="241"/>
      <c r="B129" s="241"/>
      <c r="C129" s="241"/>
      <c r="D129" s="241"/>
    </row>
    <row r="130" spans="1:4">
      <c r="A130" s="241"/>
      <c r="B130" s="241"/>
      <c r="C130" s="241"/>
      <c r="D130" s="241"/>
    </row>
    <row r="131" spans="1:4">
      <c r="A131" s="241"/>
      <c r="B131" s="241"/>
      <c r="C131" s="241"/>
      <c r="D131" s="241"/>
    </row>
    <row r="132" spans="1:4">
      <c r="A132" s="241"/>
      <c r="B132" s="241"/>
      <c r="C132" s="241"/>
      <c r="D132" s="241"/>
    </row>
    <row r="133" spans="1:4">
      <c r="A133" s="241"/>
      <c r="B133" s="241"/>
      <c r="C133" s="241"/>
      <c r="D133" s="241"/>
    </row>
    <row r="134" spans="1:4">
      <c r="A134" s="241"/>
      <c r="B134" s="241"/>
      <c r="C134" s="241"/>
      <c r="D134" s="241"/>
    </row>
    <row r="135" spans="1:4">
      <c r="A135" s="241"/>
      <c r="B135" s="241"/>
      <c r="C135" s="241"/>
      <c r="D135" s="241"/>
    </row>
    <row r="136" spans="1:4">
      <c r="A136" s="241"/>
      <c r="B136" s="241"/>
      <c r="C136" s="241"/>
      <c r="D136" s="241"/>
    </row>
    <row r="137" spans="1:4">
      <c r="A137" s="241"/>
      <c r="B137" s="241"/>
      <c r="C137" s="241"/>
      <c r="D137" s="241"/>
    </row>
    <row r="138" spans="1:4">
      <c r="A138" s="241"/>
      <c r="B138" s="241"/>
      <c r="C138" s="241"/>
      <c r="D138" s="241"/>
    </row>
    <row r="139" spans="1:4">
      <c r="A139" s="241"/>
      <c r="B139" s="241"/>
      <c r="C139" s="241"/>
      <c r="D139" s="241"/>
    </row>
    <row r="140" spans="1:4">
      <c r="A140" s="241"/>
      <c r="B140" s="241"/>
      <c r="C140" s="241"/>
      <c r="D140" s="241"/>
    </row>
    <row r="141" spans="1:4">
      <c r="A141" s="241"/>
      <c r="B141" s="241"/>
      <c r="C141" s="241"/>
      <c r="D141" s="241"/>
    </row>
    <row r="142" spans="1:4">
      <c r="A142" s="241"/>
      <c r="B142" s="241"/>
      <c r="C142" s="241"/>
      <c r="D142" s="241"/>
    </row>
    <row r="143" spans="1:4">
      <c r="A143" s="241"/>
      <c r="B143" s="241"/>
      <c r="C143" s="241"/>
      <c r="D143" s="241"/>
    </row>
    <row r="144" spans="1:4">
      <c r="A144" s="241"/>
      <c r="B144" s="241"/>
      <c r="C144" s="241"/>
      <c r="D144" s="241"/>
    </row>
    <row r="145" spans="1:4">
      <c r="A145" s="241"/>
      <c r="B145" s="241"/>
      <c r="C145" s="241"/>
      <c r="D145" s="241"/>
    </row>
    <row r="146" spans="1:4">
      <c r="A146" s="241"/>
      <c r="B146" s="241"/>
      <c r="C146" s="241"/>
      <c r="D146" s="241"/>
    </row>
    <row r="147" spans="1:4">
      <c r="A147" s="241"/>
      <c r="B147" s="241"/>
      <c r="C147" s="241"/>
      <c r="D147" s="241"/>
    </row>
    <row r="148" spans="1:4">
      <c r="A148" s="241"/>
      <c r="B148" s="241"/>
      <c r="C148" s="241"/>
      <c r="D148" s="241"/>
    </row>
    <row r="149" spans="1:4">
      <c r="A149" s="241"/>
      <c r="B149" s="241"/>
      <c r="C149" s="241"/>
      <c r="D149" s="241"/>
    </row>
    <row r="150" spans="1:4">
      <c r="A150" s="241"/>
      <c r="B150" s="241"/>
      <c r="C150" s="241"/>
      <c r="D150" s="241"/>
    </row>
    <row r="151" spans="1:4">
      <c r="A151" s="241"/>
      <c r="B151" s="241"/>
      <c r="C151" s="241"/>
      <c r="D151" s="241"/>
    </row>
    <row r="152" spans="1:4">
      <c r="A152" s="241"/>
      <c r="B152" s="241"/>
      <c r="C152" s="241"/>
      <c r="D152" s="241"/>
    </row>
    <row r="153" spans="1:4">
      <c r="A153" s="241"/>
      <c r="B153" s="241"/>
      <c r="C153" s="241"/>
      <c r="D153" s="241"/>
    </row>
    <row r="154" spans="1:4">
      <c r="A154" s="241"/>
      <c r="B154" s="241"/>
      <c r="C154" s="241"/>
      <c r="D154" s="241"/>
    </row>
    <row r="155" spans="1:4">
      <c r="A155" s="241"/>
      <c r="B155" s="241"/>
      <c r="C155" s="241"/>
      <c r="D155" s="241"/>
    </row>
    <row r="156" spans="1:4">
      <c r="A156" s="241"/>
      <c r="B156" s="241"/>
      <c r="C156" s="241"/>
      <c r="D156" s="241"/>
    </row>
    <row r="157" spans="1:4">
      <c r="A157" s="241"/>
      <c r="B157" s="241"/>
      <c r="C157" s="241"/>
      <c r="D157" s="241"/>
    </row>
    <row r="158" spans="1:4">
      <c r="A158" s="241"/>
      <c r="B158" s="241"/>
      <c r="C158" s="241"/>
      <c r="D158" s="241"/>
    </row>
    <row r="159" spans="1:4">
      <c r="A159" s="241"/>
      <c r="B159" s="241"/>
      <c r="C159" s="241"/>
      <c r="D159" s="241"/>
    </row>
    <row r="160" spans="1:4">
      <c r="A160" s="241"/>
      <c r="B160" s="241"/>
      <c r="C160" s="241"/>
      <c r="D160" s="241"/>
    </row>
    <row r="161" spans="1:4">
      <c r="A161" s="241"/>
      <c r="B161" s="241"/>
      <c r="C161" s="241"/>
      <c r="D161" s="241"/>
    </row>
    <row r="162" spans="1:4">
      <c r="A162" s="241"/>
      <c r="B162" s="241"/>
      <c r="C162" s="241"/>
      <c r="D162" s="241"/>
    </row>
    <row r="163" spans="1:4">
      <c r="A163" s="241"/>
      <c r="B163" s="241"/>
      <c r="C163" s="241"/>
      <c r="D163" s="241"/>
    </row>
    <row r="164" spans="1:4">
      <c r="A164" s="241"/>
      <c r="B164" s="241"/>
      <c r="C164" s="241"/>
      <c r="D164" s="241"/>
    </row>
    <row r="165" spans="1:4">
      <c r="A165" s="241"/>
      <c r="B165" s="241"/>
      <c r="C165" s="241"/>
      <c r="D165" s="241"/>
    </row>
    <row r="166" spans="1:4">
      <c r="A166" s="241"/>
      <c r="B166" s="241"/>
      <c r="C166" s="241"/>
      <c r="D166" s="241"/>
    </row>
    <row r="167" spans="1:4">
      <c r="A167" s="241"/>
      <c r="B167" s="241"/>
      <c r="C167" s="241"/>
      <c r="D167" s="241"/>
    </row>
    <row r="168" spans="1:4">
      <c r="A168" s="241"/>
      <c r="B168" s="241"/>
      <c r="C168" s="241"/>
      <c r="D168" s="241"/>
    </row>
    <row r="169" spans="1:4">
      <c r="A169" s="241"/>
      <c r="B169" s="241"/>
      <c r="C169" s="241"/>
      <c r="D169" s="241"/>
    </row>
    <row r="170" spans="1:4">
      <c r="A170" s="241"/>
      <c r="B170" s="241"/>
      <c r="C170" s="241"/>
      <c r="D170" s="241"/>
    </row>
    <row r="171" spans="1:4">
      <c r="A171" s="241"/>
      <c r="B171" s="241"/>
      <c r="C171" s="241"/>
      <c r="D171" s="241"/>
    </row>
    <row r="172" spans="1:4">
      <c r="A172" s="241"/>
      <c r="B172" s="241"/>
      <c r="C172" s="241"/>
      <c r="D172" s="241"/>
    </row>
    <row r="173" spans="1:4">
      <c r="A173" s="241"/>
      <c r="B173" s="241"/>
      <c r="C173" s="241"/>
      <c r="D173" s="241"/>
    </row>
    <row r="174" spans="1:4">
      <c r="A174" s="241"/>
      <c r="B174" s="241"/>
      <c r="C174" s="241"/>
      <c r="D174" s="241"/>
    </row>
    <row r="175" spans="1:4">
      <c r="A175" s="241"/>
      <c r="B175" s="241"/>
      <c r="C175" s="241"/>
      <c r="D175" s="241"/>
    </row>
    <row r="176" spans="1:4">
      <c r="A176" s="241"/>
      <c r="B176" s="241"/>
      <c r="C176" s="241"/>
      <c r="D176" s="241"/>
    </row>
    <row r="177" spans="1:4">
      <c r="A177" s="241"/>
      <c r="B177" s="241"/>
      <c r="C177" s="241"/>
      <c r="D177" s="241"/>
    </row>
    <row r="178" spans="1:4">
      <c r="A178" s="241"/>
      <c r="B178" s="241"/>
      <c r="C178" s="241"/>
      <c r="D178" s="241"/>
    </row>
    <row r="179" spans="1:4">
      <c r="A179" s="241"/>
      <c r="B179" s="241"/>
      <c r="C179" s="241"/>
      <c r="D179" s="241"/>
    </row>
    <row r="180" spans="1:4">
      <c r="A180" s="241"/>
      <c r="B180" s="241"/>
      <c r="C180" s="241"/>
      <c r="D180" s="241"/>
    </row>
    <row r="181" spans="1:4">
      <c r="A181" s="241"/>
      <c r="B181" s="241"/>
      <c r="C181" s="241"/>
      <c r="D181" s="241"/>
    </row>
    <row r="182" spans="1:4">
      <c r="A182" s="241"/>
      <c r="B182" s="241"/>
      <c r="C182" s="241"/>
      <c r="D182" s="241"/>
    </row>
    <row r="183" spans="1:4">
      <c r="A183" s="241"/>
      <c r="B183" s="241"/>
      <c r="C183" s="241"/>
      <c r="D183" s="241"/>
    </row>
    <row r="184" spans="1:4">
      <c r="A184" s="241"/>
      <c r="B184" s="241"/>
      <c r="C184" s="241"/>
      <c r="D184" s="241"/>
    </row>
    <row r="185" spans="1:4">
      <c r="A185" s="241"/>
      <c r="B185" s="241"/>
      <c r="C185" s="241"/>
      <c r="D185" s="241"/>
    </row>
    <row r="186" spans="1:4">
      <c r="A186" s="241"/>
      <c r="B186" s="241"/>
      <c r="C186" s="241"/>
      <c r="D186" s="241"/>
    </row>
    <row r="187" spans="1:4">
      <c r="A187" s="241"/>
      <c r="B187" s="241"/>
      <c r="C187" s="241"/>
      <c r="D187" s="241"/>
    </row>
    <row r="188" spans="1:4">
      <c r="A188" s="241"/>
      <c r="B188" s="241"/>
      <c r="C188" s="241"/>
      <c r="D188" s="241"/>
    </row>
    <row r="189" spans="1:4">
      <c r="A189" s="241"/>
      <c r="B189" s="241"/>
      <c r="C189" s="241"/>
      <c r="D189" s="241"/>
    </row>
    <row r="190" spans="1:4">
      <c r="A190" s="241"/>
      <c r="B190" s="241"/>
      <c r="C190" s="241"/>
      <c r="D190" s="241"/>
    </row>
    <row r="191" spans="1:4">
      <c r="A191" s="241"/>
      <c r="B191" s="241"/>
      <c r="C191" s="241"/>
      <c r="D191" s="241"/>
    </row>
    <row r="192" spans="1:4">
      <c r="A192" s="241"/>
      <c r="B192" s="241"/>
      <c r="C192" s="241"/>
      <c r="D192" s="241"/>
    </row>
    <row r="193" spans="1:4">
      <c r="A193" s="241"/>
      <c r="B193" s="241"/>
      <c r="C193" s="241"/>
      <c r="D193" s="241"/>
    </row>
    <row r="194" spans="1:4">
      <c r="A194" s="241"/>
      <c r="B194" s="241"/>
      <c r="C194" s="241"/>
      <c r="D194" s="241"/>
    </row>
    <row r="195" spans="1:4">
      <c r="A195" s="241"/>
      <c r="B195" s="241"/>
      <c r="C195" s="241"/>
      <c r="D195" s="241"/>
    </row>
    <row r="196" spans="1:4">
      <c r="A196" s="241"/>
      <c r="B196" s="241"/>
      <c r="C196" s="241"/>
      <c r="D196" s="241"/>
    </row>
    <row r="197" spans="1:4">
      <c r="A197" s="241"/>
      <c r="B197" s="241"/>
      <c r="C197" s="241"/>
      <c r="D197" s="241"/>
    </row>
    <row r="198" spans="1:4">
      <c r="A198" s="241"/>
      <c r="B198" s="241"/>
      <c r="C198" s="241"/>
      <c r="D198" s="241"/>
    </row>
    <row r="199" spans="1:4">
      <c r="A199" s="241"/>
      <c r="B199" s="241"/>
      <c r="C199" s="241"/>
      <c r="D199" s="241"/>
    </row>
    <row r="200" spans="1:4">
      <c r="A200" s="241"/>
      <c r="B200" s="241"/>
      <c r="C200" s="241"/>
      <c r="D200" s="241"/>
    </row>
    <row r="201" spans="1:4">
      <c r="A201" s="241"/>
      <c r="B201" s="241"/>
      <c r="C201" s="241"/>
      <c r="D201" s="241"/>
    </row>
    <row r="202" spans="1:4">
      <c r="A202" s="241"/>
      <c r="B202" s="241"/>
      <c r="C202" s="241"/>
      <c r="D202" s="241"/>
    </row>
    <row r="203" spans="1:4">
      <c r="A203" s="241"/>
      <c r="B203" s="241"/>
      <c r="C203" s="241"/>
      <c r="D203" s="241"/>
    </row>
    <row r="204" spans="1:4">
      <c r="A204" s="241"/>
      <c r="B204" s="241"/>
      <c r="C204" s="241"/>
      <c r="D204" s="241"/>
    </row>
    <row r="205" spans="1:4">
      <c r="A205" s="241"/>
      <c r="B205" s="241"/>
      <c r="C205" s="241"/>
      <c r="D205" s="241"/>
    </row>
    <row r="206" spans="1:4">
      <c r="A206" s="241"/>
      <c r="B206" s="241"/>
      <c r="C206" s="241"/>
      <c r="D206" s="241"/>
    </row>
    <row r="207" spans="1:4">
      <c r="A207" s="241"/>
      <c r="B207" s="241"/>
      <c r="C207" s="241"/>
      <c r="D207" s="241"/>
    </row>
    <row r="208" spans="1:4">
      <c r="A208" s="241"/>
      <c r="B208" s="241"/>
      <c r="C208" s="241"/>
      <c r="D208" s="241"/>
    </row>
    <row r="209" spans="1:4">
      <c r="A209" s="241"/>
      <c r="B209" s="241"/>
      <c r="C209" s="241"/>
      <c r="D209" s="241"/>
    </row>
    <row r="210" spans="1:4">
      <c r="A210" s="241"/>
      <c r="B210" s="241"/>
      <c r="C210" s="241"/>
      <c r="D210" s="241"/>
    </row>
    <row r="211" spans="1:4">
      <c r="A211" s="241"/>
      <c r="B211" s="241"/>
      <c r="C211" s="241"/>
      <c r="D211" s="241"/>
    </row>
    <row r="212" spans="1:4">
      <c r="A212" s="241"/>
      <c r="B212" s="241"/>
      <c r="C212" s="241"/>
      <c r="D212" s="241"/>
    </row>
    <row r="213" spans="1:4">
      <c r="A213" s="241"/>
      <c r="B213" s="241"/>
      <c r="C213" s="241"/>
      <c r="D213" s="241"/>
    </row>
    <row r="214" spans="1:4">
      <c r="A214" s="241"/>
      <c r="B214" s="241"/>
      <c r="C214" s="241"/>
      <c r="D214" s="241"/>
    </row>
    <row r="215" spans="1:4">
      <c r="A215" s="241"/>
      <c r="B215" s="241"/>
      <c r="C215" s="241"/>
      <c r="D215" s="241"/>
    </row>
    <row r="216" spans="1:4">
      <c r="A216" s="241"/>
      <c r="B216" s="241"/>
      <c r="C216" s="241"/>
      <c r="D216" s="241"/>
    </row>
    <row r="217" spans="1:4">
      <c r="A217" s="241"/>
      <c r="B217" s="241"/>
      <c r="C217" s="241"/>
      <c r="D217" s="241"/>
    </row>
    <row r="218" spans="1:4">
      <c r="A218" s="241"/>
      <c r="B218" s="241"/>
      <c r="C218" s="241"/>
      <c r="D218" s="241"/>
    </row>
    <row r="219" spans="1:4">
      <c r="A219" s="241"/>
      <c r="B219" s="241"/>
      <c r="C219" s="241"/>
      <c r="D219" s="241"/>
    </row>
    <row r="220" spans="1:4">
      <c r="A220" s="241"/>
      <c r="B220" s="241"/>
      <c r="C220" s="241"/>
      <c r="D220" s="241"/>
    </row>
    <row r="221" spans="1:4">
      <c r="A221" s="241"/>
      <c r="B221" s="241"/>
      <c r="C221" s="241"/>
      <c r="D221" s="241"/>
    </row>
    <row r="222" spans="1:4">
      <c r="A222" s="241"/>
      <c r="B222" s="241"/>
      <c r="C222" s="241"/>
      <c r="D222" s="241"/>
    </row>
    <row r="223" spans="1:4">
      <c r="A223" s="241"/>
      <c r="B223" s="241"/>
      <c r="C223" s="241"/>
      <c r="D223" s="241"/>
    </row>
    <row r="224" spans="1:4">
      <c r="A224" s="241"/>
      <c r="B224" s="241"/>
      <c r="C224" s="241"/>
      <c r="D224" s="241"/>
    </row>
    <row r="225" spans="1:4">
      <c r="A225" s="241"/>
      <c r="B225" s="241"/>
      <c r="C225" s="241"/>
      <c r="D225" s="241"/>
    </row>
    <row r="226" spans="1:4">
      <c r="A226" s="241"/>
      <c r="B226" s="241"/>
      <c r="C226" s="241"/>
      <c r="D226" s="241"/>
    </row>
    <row r="227" spans="1:4">
      <c r="A227" s="241"/>
      <c r="B227" s="241"/>
      <c r="C227" s="241"/>
      <c r="D227" s="241"/>
    </row>
    <row r="228" spans="1:4">
      <c r="A228" s="241"/>
      <c r="B228" s="241"/>
      <c r="C228" s="241"/>
      <c r="D228" s="241"/>
    </row>
    <row r="229" spans="1:4">
      <c r="A229" s="241"/>
      <c r="B229" s="241"/>
      <c r="C229" s="241"/>
      <c r="D229" s="241"/>
    </row>
    <row r="230" spans="1:4">
      <c r="A230" s="241"/>
      <c r="B230" s="241"/>
      <c r="C230" s="241"/>
      <c r="D230" s="241"/>
    </row>
    <row r="231" spans="1:4">
      <c r="A231" s="241"/>
      <c r="B231" s="241"/>
      <c r="C231" s="241"/>
      <c r="D231" s="241"/>
    </row>
    <row r="232" spans="1:4">
      <c r="A232" s="241"/>
      <c r="B232" s="241"/>
      <c r="C232" s="241"/>
      <c r="D232" s="241"/>
    </row>
    <row r="233" spans="1:4">
      <c r="A233" s="241"/>
      <c r="B233" s="241"/>
      <c r="C233" s="241"/>
      <c r="D233" s="241"/>
    </row>
    <row r="234" spans="1:4">
      <c r="A234" s="241"/>
      <c r="B234" s="241"/>
      <c r="C234" s="241"/>
      <c r="D234" s="241"/>
    </row>
    <row r="235" spans="1:4">
      <c r="A235" s="241"/>
      <c r="B235" s="241"/>
      <c r="C235" s="241"/>
      <c r="D235" s="241"/>
    </row>
    <row r="236" spans="1:4">
      <c r="A236" s="241"/>
      <c r="B236" s="241"/>
      <c r="C236" s="241"/>
      <c r="D236" s="241"/>
    </row>
    <row r="237" spans="1:4">
      <c r="A237" s="241"/>
      <c r="B237" s="241"/>
      <c r="C237" s="241"/>
      <c r="D237" s="241"/>
    </row>
    <row r="238" spans="1:4">
      <c r="A238" s="241"/>
      <c r="B238" s="241"/>
      <c r="C238" s="241"/>
      <c r="D238" s="241"/>
    </row>
    <row r="239" spans="1:4">
      <c r="A239" s="241"/>
      <c r="B239" s="241"/>
      <c r="C239" s="241"/>
      <c r="D239" s="241"/>
    </row>
    <row r="240" spans="1:4">
      <c r="A240" s="241"/>
      <c r="B240" s="241"/>
      <c r="C240" s="241"/>
      <c r="D240" s="241"/>
    </row>
    <row r="241" spans="1:4">
      <c r="A241" s="241"/>
      <c r="B241" s="241"/>
      <c r="C241" s="241"/>
      <c r="D241" s="241"/>
    </row>
    <row r="242" spans="1:4">
      <c r="A242" s="241"/>
      <c r="B242" s="241"/>
      <c r="C242" s="241"/>
      <c r="D242" s="241"/>
    </row>
    <row r="243" spans="1:4">
      <c r="A243" s="241"/>
      <c r="B243" s="241"/>
      <c r="C243" s="241"/>
      <c r="D243" s="241"/>
    </row>
    <row r="244" spans="1:4">
      <c r="A244" s="241"/>
      <c r="B244" s="241"/>
      <c r="C244" s="241"/>
      <c r="D244" s="241"/>
    </row>
    <row r="245" spans="1:4">
      <c r="A245" s="241"/>
      <c r="B245" s="241"/>
      <c r="C245" s="241"/>
      <c r="D245" s="241"/>
    </row>
    <row r="246" spans="1:4">
      <c r="A246" s="241"/>
      <c r="B246" s="241"/>
      <c r="C246" s="241"/>
      <c r="D246" s="241"/>
    </row>
    <row r="247" spans="1:4">
      <c r="A247" s="241"/>
      <c r="B247" s="241"/>
      <c r="C247" s="241"/>
      <c r="D247" s="241"/>
    </row>
    <row r="248" spans="1:4">
      <c r="A248" s="241"/>
      <c r="B248" s="241"/>
      <c r="C248" s="241"/>
      <c r="D248" s="241"/>
    </row>
    <row r="249" spans="1:4">
      <c r="A249" s="241"/>
      <c r="B249" s="241"/>
      <c r="C249" s="241"/>
      <c r="D249" s="241"/>
    </row>
    <row r="250" spans="1:4">
      <c r="A250" s="241"/>
      <c r="B250" s="241"/>
      <c r="C250" s="241"/>
      <c r="D250" s="241"/>
    </row>
    <row r="251" spans="1:4">
      <c r="A251" s="241"/>
      <c r="B251" s="241"/>
      <c r="C251" s="241"/>
      <c r="D251" s="241"/>
    </row>
    <row r="252" spans="1:4">
      <c r="A252" s="241"/>
      <c r="B252" s="241"/>
      <c r="C252" s="241"/>
      <c r="D252" s="241"/>
    </row>
    <row r="253" spans="1:4">
      <c r="A253" s="241"/>
      <c r="B253" s="241"/>
      <c r="C253" s="241"/>
      <c r="D253" s="241"/>
    </row>
    <row r="254" spans="1:4">
      <c r="A254" s="241"/>
      <c r="B254" s="241"/>
      <c r="C254" s="241"/>
      <c r="D254" s="241"/>
    </row>
  </sheetData>
  <mergeCells count="1">
    <mergeCell ref="A1:D1"/>
  </mergeCells>
  <printOptions horizontalCentered="1"/>
  <pageMargins left="0.75" right="0.75" top="0.788888888888889" bottom="0.588888888888889" header="0.509027777777778" footer="0.509027777777778"/>
  <pageSetup paperSize="9" orientation="portrait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I248"/>
  <sheetViews>
    <sheetView zoomScale="90" zoomScaleNormal="90" workbookViewId="0">
      <selection activeCell="I28" sqref="I28"/>
    </sheetView>
  </sheetViews>
  <sheetFormatPr defaultColWidth="9" defaultRowHeight="14.25"/>
  <cols>
    <col min="1" max="1" width="30.125" style="557" customWidth="1"/>
    <col min="2" max="2" width="12" style="557" customWidth="1"/>
    <col min="3" max="3" width="10.625" style="557" customWidth="1"/>
    <col min="4" max="4" width="12.125" style="524" customWidth="1"/>
    <col min="5" max="5" width="10.625" style="557" customWidth="1"/>
    <col min="6" max="6" width="9" style="557"/>
    <col min="7" max="7" width="10.5" style="557" customWidth="1"/>
    <col min="8" max="8" width="9.75" style="557" customWidth="1"/>
    <col min="9" max="9" width="11.75" style="557" customWidth="1"/>
    <col min="10" max="16384" width="9" style="557"/>
  </cols>
  <sheetData>
    <row r="1" s="44" customFormat="1" ht="28.5" customHeight="1" spans="1:9">
      <c r="A1" s="495" t="s">
        <v>134</v>
      </c>
      <c r="B1" s="495"/>
      <c r="C1" s="495"/>
      <c r="D1" s="495"/>
      <c r="E1" s="495"/>
    </row>
    <row r="2" s="44" customFormat="1" ht="19.5" customHeight="1" spans="1:9">
      <c r="A2" s="621"/>
      <c r="B2" s="621"/>
      <c r="C2" s="621"/>
      <c r="D2" s="622" t="s">
        <v>39</v>
      </c>
      <c r="E2" s="623"/>
    </row>
    <row r="3" s="44" customFormat="1" ht="35.25" customHeight="1" spans="1:9">
      <c r="A3" s="624" t="s">
        <v>40</v>
      </c>
      <c r="B3" s="625" t="s">
        <v>81</v>
      </c>
      <c r="C3" s="626" t="s">
        <v>82</v>
      </c>
      <c r="D3" s="627" t="s">
        <v>83</v>
      </c>
      <c r="E3" s="626" t="s">
        <v>82</v>
      </c>
      <c r="G3" s="510"/>
      <c r="I3" s="510"/>
    </row>
    <row r="4" s="44" customFormat="1" ht="20.1" customHeight="1" spans="1:9">
      <c r="A4" s="628" t="s">
        <v>135</v>
      </c>
      <c r="B4" s="629">
        <v>227.6175</v>
      </c>
      <c r="C4" s="630">
        <v>11.3</v>
      </c>
      <c r="D4" s="631">
        <v>569.018</v>
      </c>
      <c r="E4" s="632">
        <v>7.2</v>
      </c>
      <c r="G4" s="510"/>
      <c r="I4" s="510"/>
    </row>
    <row r="5" s="44" customFormat="1" ht="20.1" customHeight="1" spans="1:9">
      <c r="A5" s="574" t="s">
        <v>136</v>
      </c>
      <c r="B5" s="471">
        <v>0.0209</v>
      </c>
      <c r="C5" s="577">
        <v>-94.8</v>
      </c>
      <c r="D5" s="483">
        <v>0.1506</v>
      </c>
      <c r="E5" s="579">
        <v>-68.9</v>
      </c>
      <c r="G5" s="510"/>
      <c r="I5" s="510"/>
    </row>
    <row r="6" s="44" customFormat="1" ht="20.1" customHeight="1" spans="1:9">
      <c r="A6" s="574" t="s">
        <v>137</v>
      </c>
      <c r="B6" s="471">
        <v>0.2745</v>
      </c>
      <c r="C6" s="577">
        <v>157.2</v>
      </c>
      <c r="D6" s="483">
        <v>0.708</v>
      </c>
      <c r="E6" s="579">
        <v>133.2</v>
      </c>
      <c r="G6" s="510"/>
      <c r="I6" s="510"/>
    </row>
    <row r="7" s="44" customFormat="1" ht="20.1" customHeight="1" spans="1:9">
      <c r="A7" s="574" t="s">
        <v>138</v>
      </c>
      <c r="B7" s="471">
        <v>1.0567</v>
      </c>
      <c r="C7" s="577">
        <v>-6.9</v>
      </c>
      <c r="D7" s="483">
        <v>2.6128</v>
      </c>
      <c r="E7" s="579">
        <v>34.1</v>
      </c>
      <c r="G7" s="510"/>
      <c r="I7" s="510"/>
    </row>
    <row r="8" s="44" customFormat="1" ht="20.1" customHeight="1" spans="1:9">
      <c r="A8" s="574" t="s">
        <v>139</v>
      </c>
      <c r="B8" s="471">
        <v>0.3554</v>
      </c>
      <c r="C8" s="577">
        <v>31.4</v>
      </c>
      <c r="D8" s="483">
        <v>1.0658</v>
      </c>
      <c r="E8" s="579">
        <v>60.2</v>
      </c>
      <c r="G8" s="510"/>
      <c r="I8" s="510"/>
    </row>
    <row r="9" s="44" customFormat="1" ht="20.1" customHeight="1" spans="1:9">
      <c r="A9" s="574" t="s">
        <v>140</v>
      </c>
      <c r="B9" s="471">
        <v>0</v>
      </c>
      <c r="C9" s="577">
        <v>0</v>
      </c>
      <c r="D9" s="483">
        <v>0</v>
      </c>
      <c r="E9" s="579">
        <v>0</v>
      </c>
      <c r="G9" s="510"/>
      <c r="I9" s="510"/>
    </row>
    <row r="10" s="44" customFormat="1" ht="20.1" customHeight="1" spans="1:9">
      <c r="A10" s="574" t="s">
        <v>141</v>
      </c>
      <c r="B10" s="471">
        <v>43.3281</v>
      </c>
      <c r="C10" s="577">
        <v>19.9</v>
      </c>
      <c r="D10" s="483">
        <v>107.8683</v>
      </c>
      <c r="E10" s="579">
        <v>12.7</v>
      </c>
      <c r="G10" s="510"/>
      <c r="I10" s="510"/>
    </row>
    <row r="11" s="44" customFormat="1" ht="20.1" customHeight="1" spans="1:9">
      <c r="A11" s="574" t="s">
        <v>142</v>
      </c>
      <c r="B11" s="471">
        <v>10.7555</v>
      </c>
      <c r="C11" s="577">
        <v>50.6</v>
      </c>
      <c r="D11" s="483">
        <v>22.6747</v>
      </c>
      <c r="E11" s="579">
        <v>46.2</v>
      </c>
      <c r="G11" s="510"/>
      <c r="I11" s="510"/>
    </row>
    <row r="12" s="44" customFormat="1" ht="20.1" customHeight="1" spans="1:9">
      <c r="A12" s="574" t="s">
        <v>143</v>
      </c>
      <c r="B12" s="471">
        <v>10.1495</v>
      </c>
      <c r="C12" s="577">
        <v>11</v>
      </c>
      <c r="D12" s="483">
        <v>32.168</v>
      </c>
      <c r="E12" s="579">
        <v>-1.5</v>
      </c>
      <c r="G12" s="510"/>
      <c r="I12" s="510"/>
    </row>
    <row r="13" s="44" customFormat="1" ht="20.1" customHeight="1" spans="1:9">
      <c r="A13" s="633" t="s">
        <v>144</v>
      </c>
      <c r="B13" s="471">
        <v>11.392</v>
      </c>
      <c r="C13" s="619">
        <v>12.8</v>
      </c>
      <c r="D13" s="483">
        <v>22.2357</v>
      </c>
      <c r="E13" s="579">
        <v>7.4</v>
      </c>
      <c r="G13" s="510"/>
      <c r="I13" s="510"/>
    </row>
    <row r="14" s="44" customFormat="1" ht="20.1" customHeight="1" spans="1:9">
      <c r="A14" s="633" t="s">
        <v>145</v>
      </c>
      <c r="B14" s="471">
        <v>1.2085</v>
      </c>
      <c r="C14" s="619">
        <v>-13.4</v>
      </c>
      <c r="D14" s="483">
        <v>3.1838</v>
      </c>
      <c r="E14" s="579">
        <v>-3.3</v>
      </c>
      <c r="G14" s="510"/>
      <c r="I14" s="510"/>
    </row>
    <row r="15" s="44" customFormat="1" ht="20.1" customHeight="1" spans="1:9">
      <c r="A15" s="574" t="s">
        <v>146</v>
      </c>
      <c r="B15" s="471">
        <v>1.172</v>
      </c>
      <c r="C15" s="577">
        <v>-33.3</v>
      </c>
      <c r="D15" s="483">
        <v>4.5401</v>
      </c>
      <c r="E15" s="579">
        <v>-1.5</v>
      </c>
      <c r="G15" s="510"/>
      <c r="I15" s="510"/>
    </row>
    <row r="16" s="44" customFormat="1" ht="20.1" customHeight="1" spans="1:9">
      <c r="A16" s="574" t="s">
        <v>147</v>
      </c>
      <c r="B16" s="471">
        <v>1.4707</v>
      </c>
      <c r="C16" s="577">
        <v>34.8</v>
      </c>
      <c r="D16" s="483">
        <v>6.4755</v>
      </c>
      <c r="E16" s="579">
        <v>26.5</v>
      </c>
      <c r="F16" s="634"/>
      <c r="G16" s="586"/>
      <c r="I16" s="510"/>
    </row>
    <row r="17" s="44" customFormat="1" ht="20.1" customHeight="1" spans="1:9">
      <c r="A17" s="574" t="s">
        <v>148</v>
      </c>
      <c r="B17" s="471">
        <v>0.6937</v>
      </c>
      <c r="C17" s="577">
        <v>-33.3</v>
      </c>
      <c r="D17" s="483">
        <v>1.8306</v>
      </c>
      <c r="E17" s="579">
        <v>-19.9</v>
      </c>
      <c r="F17" s="634"/>
      <c r="G17" s="510"/>
      <c r="I17" s="510"/>
    </row>
    <row r="18" s="44" customFormat="1" ht="20.1" customHeight="1" spans="1:9">
      <c r="A18" s="574" t="s">
        <v>149</v>
      </c>
      <c r="B18" s="471">
        <v>0.6951</v>
      </c>
      <c r="C18" s="577">
        <v>12.5</v>
      </c>
      <c r="D18" s="483">
        <v>1.4582</v>
      </c>
      <c r="E18" s="579">
        <v>15</v>
      </c>
      <c r="F18" s="634"/>
      <c r="G18" s="510"/>
      <c r="I18" s="510"/>
    </row>
    <row r="19" s="44" customFormat="1" ht="20.1" customHeight="1" spans="1:9">
      <c r="A19" s="574" t="s">
        <v>150</v>
      </c>
      <c r="B19" s="471">
        <v>4.395</v>
      </c>
      <c r="C19" s="577">
        <v>27.1</v>
      </c>
      <c r="D19" s="483">
        <v>7.8807</v>
      </c>
      <c r="E19" s="579">
        <v>21.1</v>
      </c>
      <c r="G19" s="510"/>
      <c r="I19" s="510"/>
    </row>
    <row r="20" s="44" customFormat="1" ht="20.1" customHeight="1" spans="1:9">
      <c r="A20" s="574" t="s">
        <v>151</v>
      </c>
      <c r="B20" s="471">
        <v>4.0285</v>
      </c>
      <c r="C20" s="577">
        <v>3</v>
      </c>
      <c r="D20" s="483">
        <v>9.0602</v>
      </c>
      <c r="E20" s="579">
        <v>2.5</v>
      </c>
      <c r="G20" s="510"/>
      <c r="I20" s="510"/>
    </row>
    <row r="21" s="44" customFormat="1" ht="20.1" customHeight="1" spans="1:9">
      <c r="A21" s="574" t="s">
        <v>152</v>
      </c>
      <c r="B21" s="471">
        <v>6.2965</v>
      </c>
      <c r="C21" s="577">
        <v>2.6</v>
      </c>
      <c r="D21" s="483">
        <v>14.4673</v>
      </c>
      <c r="E21" s="579">
        <v>2.6</v>
      </c>
      <c r="G21" s="510"/>
      <c r="I21" s="510"/>
    </row>
    <row r="22" s="44" customFormat="1" ht="20.1" customHeight="1" spans="1:9">
      <c r="A22" s="574" t="s">
        <v>153</v>
      </c>
      <c r="B22" s="471">
        <v>18.3197</v>
      </c>
      <c r="C22" s="577">
        <v>24.4</v>
      </c>
      <c r="D22" s="483">
        <v>42.7346</v>
      </c>
      <c r="E22" s="579">
        <v>21.8</v>
      </c>
      <c r="G22" s="510"/>
      <c r="I22" s="510"/>
    </row>
    <row r="23" s="44" customFormat="1" ht="20.1" customHeight="1" spans="1:9">
      <c r="A23" s="635" t="s">
        <v>154</v>
      </c>
      <c r="B23" s="636">
        <v>1.451</v>
      </c>
      <c r="C23" s="637">
        <v>-24.1</v>
      </c>
      <c r="D23" s="489">
        <v>3.425</v>
      </c>
      <c r="E23" s="638">
        <v>-16.4</v>
      </c>
      <c r="G23" s="510"/>
      <c r="I23" s="510"/>
    </row>
    <row r="24" s="44" customFormat="1"/>
    <row r="25" s="44" customFormat="1"/>
    <row r="26" s="44" customFormat="1"/>
    <row r="27" s="44" customFormat="1"/>
    <row r="28" s="44" customFormat="1"/>
    <row r="29" s="44" customFormat="1"/>
    <row r="30" s="44" customFormat="1"/>
    <row r="31" s="44" customFormat="1"/>
    <row r="32" s="44" customFormat="1"/>
    <row r="33" s="44" customFormat="1"/>
    <row r="34" s="44" customFormat="1"/>
    <row r="35" s="44" customFormat="1"/>
    <row r="36" s="44" customFormat="1"/>
    <row r="37" s="44" customFormat="1"/>
    <row r="38" s="44" customFormat="1"/>
    <row r="39" s="44" customFormat="1"/>
    <row r="40" s="44" customFormat="1"/>
    <row r="41" s="44" customFormat="1"/>
    <row r="42" s="44" customFormat="1"/>
    <row r="43" s="44" customFormat="1"/>
    <row r="44" s="44" customFormat="1"/>
    <row r="45" s="44" customFormat="1"/>
    <row r="46" s="44" customFormat="1"/>
    <row r="47" s="44" customFormat="1"/>
    <row r="48" s="44" customFormat="1"/>
    <row r="49" s="44" customFormat="1"/>
    <row r="50" s="44" customFormat="1"/>
    <row r="51" s="44" customFormat="1"/>
    <row r="52" s="44" customFormat="1"/>
    <row r="53" s="44" customFormat="1"/>
    <row r="54" s="44" customFormat="1"/>
    <row r="55" s="44" customFormat="1"/>
    <row r="56" s="44" customFormat="1"/>
    <row r="57" s="44" customFormat="1"/>
    <row r="58" s="44" customFormat="1"/>
    <row r="59" s="44" customFormat="1"/>
    <row r="60" s="44" customFormat="1"/>
    <row r="61" s="44" customFormat="1"/>
    <row r="62" s="44" customFormat="1"/>
    <row r="63" s="44" customFormat="1"/>
    <row r="64" s="44" customFormat="1"/>
    <row r="65" s="44" customFormat="1"/>
    <row r="66" s="44" customFormat="1"/>
    <row r="67" s="44" customFormat="1"/>
    <row r="68" s="44" customFormat="1"/>
    <row r="69" s="44" customFormat="1"/>
    <row r="70" s="44" customFormat="1"/>
    <row r="71" s="44" customFormat="1"/>
    <row r="72" s="44" customFormat="1"/>
    <row r="73" s="44" customFormat="1"/>
    <row r="74" s="44" customFormat="1"/>
    <row r="75" s="44" customFormat="1"/>
    <row r="76" s="44" customFormat="1"/>
    <row r="77" s="44" customFormat="1"/>
    <row r="78" s="44" customFormat="1"/>
    <row r="79" s="44" customFormat="1"/>
    <row r="80" s="44" customFormat="1"/>
    <row r="81" s="44" customFormat="1"/>
    <row r="82" s="44" customFormat="1"/>
    <row r="83" s="44" customFormat="1"/>
    <row r="84" s="44" customFormat="1"/>
    <row r="85" s="44" customFormat="1"/>
    <row r="86" s="44" customFormat="1"/>
    <row r="87" s="44" customFormat="1"/>
    <row r="88" s="44" customFormat="1"/>
    <row r="89" s="44" customFormat="1"/>
    <row r="90" s="44" customFormat="1"/>
    <row r="91" s="44" customFormat="1"/>
    <row r="92" s="44" customFormat="1"/>
    <row r="93" s="44" customFormat="1"/>
    <row r="94" s="44" customFormat="1"/>
    <row r="95" s="44" customFormat="1"/>
    <row r="96" s="44" customFormat="1"/>
    <row r="97" s="44" customFormat="1"/>
    <row r="98" s="44" customFormat="1"/>
    <row r="99" s="44" customFormat="1"/>
    <row r="100" s="44" customFormat="1"/>
    <row r="101" s="44" customFormat="1"/>
    <row r="102" s="44" customFormat="1"/>
    <row r="103" s="44" customFormat="1"/>
    <row r="104" s="44" customFormat="1"/>
    <row r="105" s="44" customFormat="1"/>
    <row r="106" s="44" customFormat="1"/>
    <row r="107" s="44" customFormat="1"/>
    <row r="108" s="44" customFormat="1"/>
    <row r="109" s="44" customFormat="1"/>
    <row r="110" s="44" customFormat="1"/>
    <row r="111" s="44" customFormat="1"/>
    <row r="112" s="44" customFormat="1"/>
    <row r="113" s="44" customFormat="1"/>
    <row r="114" s="44" customFormat="1"/>
    <row r="115" s="44" customFormat="1"/>
    <row r="116" s="44" customFormat="1"/>
    <row r="117" s="44" customFormat="1"/>
    <row r="118" s="44" customFormat="1"/>
    <row r="119" s="44" customFormat="1"/>
    <row r="120" s="44" customFormat="1"/>
    <row r="121" s="44" customFormat="1"/>
    <row r="122" s="44" customFormat="1"/>
    <row r="123" s="44" customFormat="1"/>
    <row r="124" s="44" customFormat="1"/>
    <row r="125" s="44" customFormat="1"/>
    <row r="126" s="44" customFormat="1"/>
    <row r="127" s="44" customFormat="1"/>
    <row r="128" s="44" customFormat="1"/>
    <row r="129" s="44" customFormat="1"/>
    <row r="130" s="44" customFormat="1"/>
    <row r="131" s="44" customFormat="1"/>
    <row r="132" s="44" customFormat="1"/>
    <row r="133" s="44" customFormat="1"/>
    <row r="134" s="44" customFormat="1"/>
    <row r="135" s="44" customFormat="1"/>
    <row r="136" s="44" customFormat="1"/>
    <row r="137" s="44" customFormat="1"/>
    <row r="138" s="44" customFormat="1"/>
    <row r="139" s="44" customFormat="1"/>
    <row r="140" s="44" customFormat="1"/>
    <row r="141" s="44" customFormat="1"/>
    <row r="142" s="44" customFormat="1"/>
    <row r="143" s="44" customFormat="1"/>
    <row r="144" s="44" customFormat="1"/>
    <row r="145" s="44" customFormat="1"/>
    <row r="146" s="44" customFormat="1"/>
    <row r="147" s="44" customFormat="1"/>
    <row r="148" s="44" customFormat="1"/>
    <row r="149" s="44" customFormat="1"/>
    <row r="150" s="44" customFormat="1"/>
    <row r="151" s="44" customFormat="1"/>
    <row r="152" s="44" customFormat="1"/>
    <row r="153" s="44" customFormat="1"/>
    <row r="154" s="44" customFormat="1"/>
    <row r="155" s="44" customFormat="1"/>
    <row r="156" s="44" customFormat="1"/>
    <row r="157" s="44" customFormat="1"/>
    <row r="158" s="44" customFormat="1"/>
    <row r="159" s="44" customFormat="1"/>
    <row r="160" s="44" customFormat="1"/>
    <row r="161" s="44" customFormat="1"/>
    <row r="162" s="44" customFormat="1"/>
    <row r="163" s="44" customFormat="1"/>
    <row r="164" s="44" customFormat="1"/>
    <row r="165" s="44" customFormat="1"/>
    <row r="166" s="44" customFormat="1"/>
    <row r="167" s="44" customFormat="1"/>
    <row r="168" s="44" customFormat="1"/>
    <row r="169" s="44" customFormat="1"/>
    <row r="170" s="44" customFormat="1"/>
    <row r="171" s="44" customFormat="1"/>
    <row r="172" s="44" customFormat="1"/>
    <row r="173" s="44" customFormat="1"/>
    <row r="174" s="44" customFormat="1"/>
    <row r="175" s="44" customFormat="1"/>
    <row r="176" s="44" customFormat="1"/>
    <row r="177" s="44" customFormat="1"/>
    <row r="178" s="44" customFormat="1"/>
    <row r="179" s="44" customFormat="1"/>
    <row r="180" s="44" customFormat="1"/>
    <row r="181" s="44" customFormat="1"/>
    <row r="182" s="44" customFormat="1"/>
    <row r="183" s="44" customFormat="1"/>
    <row r="184" s="44" customFormat="1"/>
    <row r="185" s="44" customFormat="1"/>
    <row r="186" s="44" customFormat="1"/>
    <row r="187" s="44" customFormat="1"/>
    <row r="188" s="44" customFormat="1"/>
    <row r="189" s="44" customFormat="1"/>
    <row r="190" s="44" customFormat="1"/>
    <row r="191" s="44" customFormat="1"/>
    <row r="192" s="44" customFormat="1"/>
    <row r="193" s="44" customFormat="1"/>
    <row r="194" s="44" customFormat="1"/>
    <row r="195" s="44" customFormat="1"/>
    <row r="196" s="44" customFormat="1"/>
    <row r="197" s="44" customFormat="1"/>
    <row r="198" s="44" customFormat="1"/>
    <row r="199" s="44" customFormat="1"/>
    <row r="200" s="44" customFormat="1"/>
    <row r="201" s="44" customFormat="1"/>
    <row r="202" s="44" customFormat="1"/>
    <row r="203" s="44" customFormat="1"/>
    <row r="204" s="44" customFormat="1"/>
    <row r="205" s="44" customFormat="1"/>
    <row r="206" s="44" customFormat="1"/>
    <row r="207" s="44" customFormat="1"/>
    <row r="208" s="44" customFormat="1"/>
    <row r="209" s="44" customFormat="1"/>
    <row r="210" s="44" customFormat="1"/>
    <row r="211" s="44" customFormat="1"/>
    <row r="212" s="44" customFormat="1"/>
    <row r="213" s="44" customFormat="1"/>
    <row r="214" s="44" customFormat="1"/>
    <row r="215" s="44" customFormat="1"/>
    <row r="216" s="44" customFormat="1"/>
    <row r="217" s="44" customFormat="1"/>
    <row r="218" s="44" customFormat="1"/>
    <row r="219" s="44" customFormat="1"/>
    <row r="220" s="44" customFormat="1"/>
    <row r="221" s="44" customFormat="1"/>
    <row r="222" s="44" customFormat="1"/>
    <row r="223" s="44" customFormat="1"/>
    <row r="224" s="44" customFormat="1"/>
    <row r="225" s="44" customFormat="1"/>
    <row r="226" s="44" customFormat="1"/>
    <row r="227" s="44" customFormat="1"/>
    <row r="228" s="44" customFormat="1"/>
    <row r="229" s="44" customFormat="1"/>
    <row r="230" s="44" customFormat="1"/>
    <row r="231" s="44" customFormat="1"/>
    <row r="232" s="44" customFormat="1"/>
    <row r="233" s="44" customFormat="1"/>
    <row r="234" s="44" customFormat="1"/>
    <row r="235" s="44" customFormat="1"/>
    <row r="236" s="44" customFormat="1"/>
    <row r="237" s="44" customFormat="1"/>
    <row r="238" s="44" customFormat="1"/>
    <row r="239" s="44" customFormat="1"/>
    <row r="240" s="44" customFormat="1"/>
    <row r="241" s="44" customFormat="1"/>
    <row r="242" s="44" customFormat="1"/>
    <row r="243" s="44" customFormat="1"/>
    <row r="244" s="44" customFormat="1"/>
    <row r="245" s="44" customFormat="1"/>
    <row r="246" s="44" customFormat="1"/>
    <row r="247" s="44" customFormat="1"/>
    <row r="248" s="44" customFormat="1"/>
  </sheetData>
  <mergeCells count="2">
    <mergeCell ref="A1:E1"/>
    <mergeCell ref="D2:E2"/>
  </mergeCells>
  <pageMargins left="0.75" right="0.75" top="1" bottom="1" header="0.5" footer="0.5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yz</Company>
  <Application>Microsoft Excel</Application>
  <HeadingPairs>
    <vt:vector size="2" baseType="variant">
      <vt:variant>
        <vt:lpstr>工作表</vt:lpstr>
      </vt:variant>
      <vt:variant>
        <vt:i4>56</vt:i4>
      </vt:variant>
    </vt:vector>
  </HeadingPairs>
  <TitlesOfParts>
    <vt:vector size="56" baseType="lpstr">
      <vt:lpstr>-------</vt:lpstr>
      <vt:lpstr>全市指标1</vt:lpstr>
      <vt:lpstr>全市指标2</vt:lpstr>
      <vt:lpstr>GDP</vt:lpstr>
      <vt:lpstr>农业</vt:lpstr>
      <vt:lpstr>工业1</vt:lpstr>
      <vt:lpstr>工业2</vt:lpstr>
      <vt:lpstr>工业经济效益</vt:lpstr>
      <vt:lpstr>分行业工业总产值1</vt:lpstr>
      <vt:lpstr>分行业工业总产值2</vt:lpstr>
      <vt:lpstr>主要工业产品产量1</vt:lpstr>
      <vt:lpstr>主要工业产品产量2 </vt:lpstr>
      <vt:lpstr>主要工业产品产量3</vt:lpstr>
      <vt:lpstr>工业综合能源消费量</vt:lpstr>
      <vt:lpstr>交通 </vt:lpstr>
      <vt:lpstr>投资</vt:lpstr>
      <vt:lpstr>国内贸易</vt:lpstr>
      <vt:lpstr>财税</vt:lpstr>
      <vt:lpstr>金融</vt:lpstr>
      <vt:lpstr>进出口</vt:lpstr>
      <vt:lpstr>居民收支</vt:lpstr>
      <vt:lpstr>消价</vt:lpstr>
      <vt:lpstr>分县1</vt:lpstr>
      <vt:lpstr>分县2</vt:lpstr>
      <vt:lpstr>分县3</vt:lpstr>
      <vt:lpstr>分县4</vt:lpstr>
      <vt:lpstr>分县5</vt:lpstr>
      <vt:lpstr>分县6</vt:lpstr>
      <vt:lpstr>分县7</vt:lpstr>
      <vt:lpstr>分县8</vt:lpstr>
      <vt:lpstr>分县9</vt:lpstr>
      <vt:lpstr>分县10</vt:lpstr>
      <vt:lpstr>分县11</vt:lpstr>
      <vt:lpstr>分县12</vt:lpstr>
      <vt:lpstr>分县13</vt:lpstr>
      <vt:lpstr>分县14</vt:lpstr>
      <vt:lpstr>分县15</vt:lpstr>
      <vt:lpstr>分县16</vt:lpstr>
      <vt:lpstr>分县17</vt:lpstr>
      <vt:lpstr>分县18</vt:lpstr>
      <vt:lpstr>分县19</vt:lpstr>
      <vt:lpstr>分市5（旧）</vt:lpstr>
      <vt:lpstr>工业序列（原）</vt:lpstr>
      <vt:lpstr>工业序列</vt:lpstr>
      <vt:lpstr>投资序列</vt:lpstr>
      <vt:lpstr>消费序列</vt:lpstr>
      <vt:lpstr>进出口序列</vt:lpstr>
      <vt:lpstr>预算收入序列</vt:lpstr>
      <vt:lpstr>价格指数序列</vt:lpstr>
      <vt:lpstr>用电量序列</vt:lpstr>
      <vt:lpstr>投资序列(原)</vt:lpstr>
      <vt:lpstr>消费序列（原）</vt:lpstr>
      <vt:lpstr>出口序列（原）</vt:lpstr>
      <vt:lpstr>地方预算收入序列（原）</vt:lpstr>
      <vt:lpstr>工业用电量序列 （原）</vt:lpstr>
      <vt:lpstr>价格序列（原）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mmtjj07</dc:creator>
  <cp:lastModifiedBy>筱瑾</cp:lastModifiedBy>
  <cp:revision>1</cp:revision>
  <dcterms:created xsi:type="dcterms:W3CDTF">2006-03-05T01:13:00Z</dcterms:created>
  <cp:lastPrinted>2016-10-14T02:19:00Z</cp:lastPrinted>
  <dcterms:modified xsi:type="dcterms:W3CDTF">2026-06-08T07:05:19Z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false</vt:bool>
  </property>
  <property fmtid="{D5CDD505-2E9C-101B-9397-08002B2CF9AE}" pid="4" name="ICV">
    <vt:lpwstr>FA0ACAC4E3B64B769F9B0A343D374F5F_12</vt:lpwstr>
  </property>
  <property fmtid="{D5CDD505-2E9C-101B-9397-08002B2CF9AE}" pid="5" name="CalculationRule">
    <vt:i4>0</vt:i4>
  </property>
</Properties>
</file>