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86" firstSheet="8" activeTab="20"/>
  </bookViews>
  <sheets>
    <sheet name="-------" sheetId="138" state="hidden" r:id="rId1"/>
    <sheet name="全市指标1" sheetId="209" r:id="rId2"/>
    <sheet name="全市指标2" sheetId="210" r:id="rId3"/>
    <sheet name="GDP" sheetId="139" r:id="rId4"/>
    <sheet name="农业" sheetId="145" r:id="rId5"/>
    <sheet name="工业1" sheetId="125" r:id="rId6"/>
    <sheet name="工业2" sheetId="173" r:id="rId7"/>
    <sheet name="工业经济效益" sheetId="9" r:id="rId8"/>
    <sheet name="分行业工业总产值1" sheetId="162" r:id="rId9"/>
    <sheet name="分行业工业总产值2" sheetId="163" r:id="rId10"/>
    <sheet name="主要工业产品产量1" sheetId="160" r:id="rId11"/>
    <sheet name="主要工业产品产量2 " sheetId="161" r:id="rId12"/>
    <sheet name="主要工业产品产量3" sheetId="177" r:id="rId13"/>
    <sheet name="工业综合能源消费量" sheetId="174" r:id="rId14"/>
    <sheet name="交通 " sheetId="98" r:id="rId15"/>
    <sheet name="投资" sheetId="68" r:id="rId16"/>
    <sheet name="国内贸易" sheetId="11" r:id="rId17"/>
    <sheet name="财税" sheetId="23" r:id="rId18"/>
    <sheet name="金融" sheetId="146" r:id="rId19"/>
    <sheet name="进出口" sheetId="124" r:id="rId20"/>
    <sheet name="居民收支" sheetId="99" r:id="rId21"/>
    <sheet name="消价" sheetId="42" r:id="rId22"/>
    <sheet name="分县1" sheetId="100" r:id="rId23"/>
    <sheet name="分县2" sheetId="149" r:id="rId24"/>
    <sheet name="分县3" sheetId="181" r:id="rId25"/>
    <sheet name="分县4" sheetId="167" r:id="rId26"/>
    <sheet name="分县5" sheetId="182" r:id="rId27"/>
    <sheet name="分县6" sheetId="101" r:id="rId28"/>
    <sheet name="分县7" sheetId="183" r:id="rId29"/>
    <sheet name="分县8" sheetId="166" r:id="rId30"/>
    <sheet name="分县9" sheetId="165" r:id="rId31"/>
    <sheet name="分县10" sheetId="171" r:id="rId32"/>
    <sheet name="分县11" sheetId="184" r:id="rId33"/>
    <sheet name="分县12" sheetId="170" r:id="rId34"/>
    <sheet name="分县13" sheetId="193" r:id="rId35"/>
    <sheet name="分县14" sheetId="185" r:id="rId36"/>
    <sheet name="分县15" sheetId="172" r:id="rId37"/>
    <sheet name="分县16" sheetId="127" r:id="rId38"/>
    <sheet name="分县17" sheetId="147" r:id="rId39"/>
    <sheet name="分县18" sheetId="186" r:id="rId40"/>
    <sheet name="分县19" sheetId="211" r:id="rId41"/>
    <sheet name="分市5（旧）" sheetId="194" state="hidden" r:id="rId42"/>
    <sheet name="工业序列（原）" sheetId="158" state="hidden" r:id="rId43"/>
    <sheet name="工业序列" sheetId="199" r:id="rId44"/>
    <sheet name="投资序列" sheetId="200" r:id="rId45"/>
    <sheet name="消费序列" sheetId="201" r:id="rId46"/>
    <sheet name="进出口序列" sheetId="202" r:id="rId47"/>
    <sheet name="预算收入序列" sheetId="204" r:id="rId48"/>
    <sheet name="价格指数序列" sheetId="208" r:id="rId49"/>
    <sheet name="用电量序列" sheetId="205" r:id="rId50"/>
    <sheet name="投资序列(原)" sheetId="157" state="hidden" r:id="rId51"/>
    <sheet name="消费序列（原）" sheetId="156" state="hidden" r:id="rId52"/>
    <sheet name="出口序列（原）" sheetId="155" state="hidden" r:id="rId53"/>
    <sheet name="地方预算收入序列（原）" sheetId="154" state="hidden" r:id="rId54"/>
    <sheet name="工业用电量序列 （原）" sheetId="198" state="hidden" r:id="rId55"/>
    <sheet name="价格序列（原）" sheetId="153" state="hidden" r:id="rId56"/>
  </sheets>
  <externalReferences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</externalReferences>
  <definedNames>
    <definedName name="_21114" localSheetId="40">#REF!</definedName>
    <definedName name="_21114" localSheetId="54">#REF!</definedName>
    <definedName name="_21114" localSheetId="2">#REF!</definedName>
    <definedName name="_21114">#REF!</definedName>
    <definedName name="_Fill" localSheetId="40" hidden="1">[1]eqpmad2!#REF!</definedName>
    <definedName name="_Fill" localSheetId="54" hidden="1">[1]eqpmad2!#REF!</definedName>
    <definedName name="_Fill" localSheetId="2" hidden="1">[1]eqpmad2!#REF!</definedName>
    <definedName name="_Fill" hidden="1">[1]eqpmad2!#REF!</definedName>
    <definedName name="_xlnm._FilterDatabase" localSheetId="40" hidden="1">#REF!</definedName>
    <definedName name="_xlnm._FilterDatabase" localSheetId="54" hidden="1">#REF!</definedName>
    <definedName name="_xlnm._FilterDatabase" localSheetId="2" hidden="1">#REF!</definedName>
    <definedName name="_xlnm._FilterDatabase" hidden="1">#REF!</definedName>
    <definedName name="_Order1" hidden="1">255</definedName>
    <definedName name="_Order2" hidden="1">255</definedName>
    <definedName name="A" localSheetId="40">#REF!</definedName>
    <definedName name="A" localSheetId="54">#REF!</definedName>
    <definedName name="A" localSheetId="2">#REF!</definedName>
    <definedName name="A">#REF!</definedName>
    <definedName name="aa" localSheetId="40">#REF!</definedName>
    <definedName name="aa" localSheetId="54">#REF!</definedName>
    <definedName name="aa" localSheetId="2">#REF!</definedName>
    <definedName name="aa">#REF!</definedName>
    <definedName name="as">#N/A</definedName>
    <definedName name="data" localSheetId="40">#REF!</definedName>
    <definedName name="data" localSheetId="54">#REF!</definedName>
    <definedName name="data" localSheetId="2">#REF!</definedName>
    <definedName name="data">#REF!</definedName>
    <definedName name="Database" localSheetId="40" hidden="1">#REF!</definedName>
    <definedName name="Database" localSheetId="54" hidden="1">#REF!</definedName>
    <definedName name="Database" localSheetId="2" hidden="1">#REF!</definedName>
    <definedName name="Database" hidden="1">#REF!</definedName>
    <definedName name="database2" localSheetId="40">#REF!</definedName>
    <definedName name="database2" localSheetId="54">#REF!</definedName>
    <definedName name="database2" localSheetId="2">#REF!</definedName>
    <definedName name="database2">#REF!</definedName>
    <definedName name="database3" localSheetId="40">#REF!</definedName>
    <definedName name="database3" localSheetId="54">#REF!</definedName>
    <definedName name="database3" localSheetId="2">#REF!</definedName>
    <definedName name="database3">#REF!</definedName>
    <definedName name="dss" localSheetId="40" hidden="1">#REF!</definedName>
    <definedName name="dss" localSheetId="54" hidden="1">#REF!</definedName>
    <definedName name="dss" localSheetId="2" hidden="1">#REF!</definedName>
    <definedName name="dss" hidden="1">#REF!</definedName>
    <definedName name="E206." localSheetId="40">#REF!</definedName>
    <definedName name="E206." localSheetId="54">#REF!</definedName>
    <definedName name="E206." localSheetId="2">#REF!</definedName>
    <definedName name="E206.">#REF!</definedName>
    <definedName name="eee" localSheetId="40">#REF!</definedName>
    <definedName name="eee" localSheetId="54">#REF!</definedName>
    <definedName name="eee" localSheetId="2">#REF!</definedName>
    <definedName name="eee">#REF!</definedName>
    <definedName name="fff" localSheetId="40">#REF!</definedName>
    <definedName name="fff" localSheetId="54">#REF!</definedName>
    <definedName name="fff" localSheetId="2">#REF!</definedName>
    <definedName name="fff">#REF!</definedName>
    <definedName name="gxxe2003">'[2]P1012001'!$A$6:$E$117</definedName>
    <definedName name="gxxe20032">'[2]P1012001'!$A$6:$E$117</definedName>
    <definedName name="hhhh" localSheetId="40">#REF!</definedName>
    <definedName name="hhhh" localSheetId="54">#REF!</definedName>
    <definedName name="hhhh" localSheetId="2">#REF!</definedName>
    <definedName name="hhhh">#REF!</definedName>
    <definedName name="HWSheet">1</definedName>
    <definedName name="kkkk" localSheetId="40">#REF!</definedName>
    <definedName name="kkkk" localSheetId="54">#REF!</definedName>
    <definedName name="kkkk" localSheetId="2">#REF!</definedName>
    <definedName name="kkkk">#REF!</definedName>
    <definedName name="Module.Prix_SMC" localSheetId="32">Module.Prix_SMC</definedName>
    <definedName name="Module.Prix_SMC" localSheetId="35">分县11!Module.Prix_SMC</definedName>
    <definedName name="Module.Prix_SMC" localSheetId="37">分县16!Module.Prix_SMC</definedName>
    <definedName name="Module.Prix_SMC" localSheetId="39">分县11!Module.Prix_SMC</definedName>
    <definedName name="Module.Prix_SMC" localSheetId="40">#N/A</definedName>
    <definedName name="Module.Prix_SMC" localSheetId="24">分县11!Module.Prix_SMC</definedName>
    <definedName name="Module.Prix_SMC" localSheetId="26">分县11!Module.Prix_SMC</definedName>
    <definedName name="Module.Prix_SMC" localSheetId="28">分县11!Module.Prix_SMC</definedName>
    <definedName name="Module.Prix_SMC" localSheetId="5">工业1!Module.Prix_SMC</definedName>
    <definedName name="Module.Prix_SMC" localSheetId="48">分县11!Module.Prix_SMC</definedName>
    <definedName name="Module.Prix_SMC" localSheetId="19">进出口!Module.Prix_SMC</definedName>
    <definedName name="Module.Prix_SMC" localSheetId="46">分县11!Module.Prix_SMC</definedName>
    <definedName name="Module.Prix_SMC" localSheetId="44">分县11!Module.Prix_SMC</definedName>
    <definedName name="Module.Prix_SMC" localSheetId="45">分县11!Module.Prix_SMC</definedName>
    <definedName name="Module.Prix_SMC" localSheetId="49">分县11!Module.Prix_SMC</definedName>
    <definedName name="Module.Prix_SMC" localSheetId="47">分县11!Module.Prix_SMC</definedName>
    <definedName name="Module.Prix_SMC">分县11!Module.Prix_SMC</definedName>
    <definedName name="panduan">OR([3]Sheet!$G1="日期有误",[3]Sheet!$G1="请检查身份证号码",[3]Sheet!$G1="识别码有误")</definedName>
    <definedName name="_xlnm.Print_Area" localSheetId="31">分县10!$A$1:$D$27</definedName>
    <definedName name="_xlnm.Print_Area" localSheetId="32">分县11!$A$1:$D$27</definedName>
    <definedName name="_xlnm.Print_Area" localSheetId="35">分县14!$A$1:$D$27</definedName>
    <definedName name="_xlnm.Print_Area" localSheetId="36">分县15!$A$1:$D$27</definedName>
    <definedName name="_xlnm.Print_Area" localSheetId="38">分县17!$A$1:$D$26</definedName>
    <definedName name="_xlnm.Print_Area" localSheetId="39">分县18!$A$1:$D$27</definedName>
    <definedName name="_xlnm.Print_Area" localSheetId="40">分县19!$A$1:$D$27</definedName>
    <definedName name="_xlnm.Print_Area" localSheetId="23">分县2!$A$1:$D$27</definedName>
    <definedName name="_xlnm.Print_Area" localSheetId="24">分县3!$A$1:$D$28</definedName>
    <definedName name="_xlnm.Print_Area" localSheetId="27">分县6!$A$1:$D$27</definedName>
    <definedName name="_xlnm.Print_Area" localSheetId="28">分县7!$A$1:$D$26</definedName>
    <definedName name="_xlnm.Print_Area" localSheetId="29">分县8!$A$1:$D$27</definedName>
    <definedName name="_xlnm.Print_Area" localSheetId="30">分县9!$A$1:$D$27</definedName>
    <definedName name="_xlnm.Print_Area" localSheetId="5">工业1!$A$1:$E$22</definedName>
    <definedName name="_xlnm.Print_Area" localSheetId="54" hidden="1">#REF!</definedName>
    <definedName name="_xlnm.Print_Area" localSheetId="16">国内贸易!$A$1:$C$29</definedName>
    <definedName name="_xlnm.Print_Area" localSheetId="20">居民收支!$A$1:$C$21</definedName>
    <definedName name="_xlnm.Print_Area" localSheetId="2" hidden="1">#REF!</definedName>
    <definedName name="_xlnm.Print_Area" localSheetId="15">投资!$A$1:$D$24</definedName>
    <definedName name="_xlnm.Print_Area" localSheetId="21">消价!$A$1:$C$21</definedName>
    <definedName name="_xlnm.Print_Area" hidden="1">#REF!</definedName>
    <definedName name="Print_Area_MI" localSheetId="40">#REF!</definedName>
    <definedName name="Print_Area_MI" localSheetId="54">#REF!</definedName>
    <definedName name="Print_Area_MI" localSheetId="2">#REF!</definedName>
    <definedName name="Print_Area_MI">#REF!</definedName>
    <definedName name="_xlnm.Print_Titles" hidden="1">#N/A</definedName>
    <definedName name="rrrr" localSheetId="40">#REF!</definedName>
    <definedName name="rrrr" localSheetId="54">#REF!</definedName>
    <definedName name="rrrr" localSheetId="2">#REF!</definedName>
    <definedName name="rrrr">#REF!</definedName>
    <definedName name="s" localSheetId="40">#REF!</definedName>
    <definedName name="s" localSheetId="54">#REF!</definedName>
    <definedName name="s" localSheetId="2">#REF!</definedName>
    <definedName name="s">#REF!</definedName>
    <definedName name="sfeggsafasfas" localSheetId="40">#REF!</definedName>
    <definedName name="sfeggsafasfas" localSheetId="54">#REF!</definedName>
    <definedName name="sfeggsafasfas" localSheetId="2">#REF!</definedName>
    <definedName name="sfeggsafasfas">#REF!</definedName>
    <definedName name="Sheet1" localSheetId="40">#REF!</definedName>
    <definedName name="Sheet1" localSheetId="54">#REF!</definedName>
    <definedName name="Sheet1" localSheetId="2">#REF!</definedName>
    <definedName name="Sheet1">#REF!</definedName>
    <definedName name="Sheet10" localSheetId="40">#REF!</definedName>
    <definedName name="Sheet10" localSheetId="54">#REF!</definedName>
    <definedName name="Sheet10" localSheetId="2">#REF!</definedName>
    <definedName name="Sheet10">#REF!</definedName>
    <definedName name="Sheet11" localSheetId="40">#REF!</definedName>
    <definedName name="Sheet11" localSheetId="54">#REF!</definedName>
    <definedName name="Sheet11" localSheetId="2">#REF!</definedName>
    <definedName name="Sheet11">#REF!</definedName>
    <definedName name="Sheet12" localSheetId="40">#REF!</definedName>
    <definedName name="Sheet12" localSheetId="54">#REF!</definedName>
    <definedName name="Sheet12" localSheetId="2">#REF!</definedName>
    <definedName name="Sheet12">#REF!</definedName>
    <definedName name="Sheet3" localSheetId="40">#REF!</definedName>
    <definedName name="Sheet3" localSheetId="54">#REF!</definedName>
    <definedName name="Sheet3" localSheetId="2">#REF!</definedName>
    <definedName name="Sheet3">#REF!</definedName>
    <definedName name="Sheet4" localSheetId="40">#REF!</definedName>
    <definedName name="Sheet4" localSheetId="54">#REF!</definedName>
    <definedName name="Sheet4" localSheetId="2">#REF!</definedName>
    <definedName name="Sheet4">#REF!</definedName>
    <definedName name="Sheet5" localSheetId="40">#REF!</definedName>
    <definedName name="Sheet5" localSheetId="54">#REF!</definedName>
    <definedName name="Sheet5" localSheetId="2">#REF!</definedName>
    <definedName name="Sheet5">#REF!</definedName>
    <definedName name="Sheet6" localSheetId="40">#REF!</definedName>
    <definedName name="Sheet6" localSheetId="54">#REF!</definedName>
    <definedName name="Sheet6" localSheetId="2">#REF!</definedName>
    <definedName name="Sheet6">#REF!</definedName>
    <definedName name="Sheet7" localSheetId="40">#REF!</definedName>
    <definedName name="Sheet7" localSheetId="54">#REF!</definedName>
    <definedName name="Sheet7" localSheetId="2">#REF!</definedName>
    <definedName name="Sheet7">#REF!</definedName>
    <definedName name="Sheet8" localSheetId="40">#REF!</definedName>
    <definedName name="Sheet8" localSheetId="54">#REF!</definedName>
    <definedName name="Sheet8" localSheetId="2">#REF!</definedName>
    <definedName name="Sheet8">#REF!</definedName>
    <definedName name="Sheet9" localSheetId="40">#REF!</definedName>
    <definedName name="Sheet9" localSheetId="54">#REF!</definedName>
    <definedName name="Sheet9" localSheetId="2">#REF!</definedName>
    <definedName name="Sheet9">#REF!</definedName>
    <definedName name="ss" localSheetId="40">#REF!</definedName>
    <definedName name="ss" localSheetId="54">#REF!</definedName>
    <definedName name="ss" localSheetId="2">#REF!</definedName>
    <definedName name="ss">#REF!</definedName>
    <definedName name="ttt" localSheetId="40">#REF!</definedName>
    <definedName name="ttt" localSheetId="54">#REF!</definedName>
    <definedName name="ttt" localSheetId="2">#REF!</definedName>
    <definedName name="ttt">#REF!</definedName>
    <definedName name="tttt" localSheetId="40">#REF!</definedName>
    <definedName name="tttt" localSheetId="54">#REF!</definedName>
    <definedName name="tttt" localSheetId="2">#REF!</definedName>
    <definedName name="tttt">#REF!</definedName>
    <definedName name="UFPrn20010712083924" localSheetId="40">#REF!</definedName>
    <definedName name="UFPrn20010712083924" localSheetId="54">#REF!</definedName>
    <definedName name="UFPrn20010712083924" localSheetId="2">#REF!</definedName>
    <definedName name="UFPrn20010712083924">#REF!</definedName>
    <definedName name="UFPrn20020224093130" localSheetId="40">#REF!</definedName>
    <definedName name="UFPrn20020224093130" localSheetId="54">#REF!</definedName>
    <definedName name="UFPrn20020224093130" localSheetId="2">#REF!</definedName>
    <definedName name="UFPrn20020224093130">#REF!</definedName>
    <definedName name="UFPrn20020224094757" localSheetId="40">#REF!</definedName>
    <definedName name="UFPrn20020224094757" localSheetId="54">#REF!</definedName>
    <definedName name="UFPrn20020224094757" localSheetId="2">#REF!</definedName>
    <definedName name="UFPrn20020224094757">#REF!</definedName>
    <definedName name="UFPrn20020224101302" localSheetId="40">#REF!</definedName>
    <definedName name="UFPrn20020224101302" localSheetId="54">#REF!</definedName>
    <definedName name="UFPrn20020224101302" localSheetId="2">#REF!</definedName>
    <definedName name="UFPrn20020224101302">#REF!</definedName>
    <definedName name="UFPrn20020224101600" localSheetId="40">#REF!</definedName>
    <definedName name="UFPrn20020224101600" localSheetId="54">#REF!</definedName>
    <definedName name="UFPrn20020224101600" localSheetId="2">#REF!</definedName>
    <definedName name="UFPrn20020224101600">#REF!</definedName>
    <definedName name="UFPrn20020228143318" localSheetId="40">#REF!</definedName>
    <definedName name="UFPrn20020228143318" localSheetId="54">#REF!</definedName>
    <definedName name="UFPrn20020228143318" localSheetId="2">#REF!</definedName>
    <definedName name="UFPrn20020228143318">#REF!</definedName>
    <definedName name="UFPrn20020303094007" localSheetId="40">#REF!</definedName>
    <definedName name="UFPrn20020303094007" localSheetId="54">#REF!</definedName>
    <definedName name="UFPrn20020303094007" localSheetId="2">#REF!</definedName>
    <definedName name="UFPrn20020303094007">#REF!</definedName>
    <definedName name="www" localSheetId="40">#REF!</definedName>
    <definedName name="www" localSheetId="54">#REF!</definedName>
    <definedName name="www" localSheetId="2">#REF!</definedName>
    <definedName name="www">#REF!</definedName>
    <definedName name="yyyy" localSheetId="40">#REF!</definedName>
    <definedName name="yyyy" localSheetId="54">#REF!</definedName>
    <definedName name="yyyy" localSheetId="2">#REF!</definedName>
    <definedName name="yyyy">#REF!</definedName>
    <definedName name="备___注" localSheetId="40">#REF!</definedName>
    <definedName name="备___注" localSheetId="54">#REF!</definedName>
    <definedName name="备___注" localSheetId="2">#REF!</definedName>
    <definedName name="备___注">#REF!</definedName>
    <definedName name="本级标准收入2004年">[4]本年收入合计!$E$4:$E$184</definedName>
    <definedName name="拨款汇总_合计" localSheetId="40">SUM([5]汇总!#REF!)</definedName>
    <definedName name="拨款汇总_合计" localSheetId="54">SUM([5]汇总!#REF!)</definedName>
    <definedName name="拨款汇总_合计" localSheetId="2">SUM([5]汇总!#REF!)</definedName>
    <definedName name="拨款汇总_合计">SUM([5]汇总!#REF!)</definedName>
    <definedName name="财力" localSheetId="40">#REF!</definedName>
    <definedName name="财力" localSheetId="54">#REF!</definedName>
    <definedName name="财力" localSheetId="2">#REF!</definedName>
    <definedName name="财力">#REF!</definedName>
    <definedName name="财政供养人员增幅2004年">[6]财政供养人员增幅!$E$6</definedName>
    <definedName name="财政供养人员增幅2004年分县">[6]财政供养人员增幅!$E$4:$E$184</definedName>
    <definedName name="村级标准支出">[7]村级支出!$E$4:$E$184</definedName>
    <definedName name="存货合计" localSheetId="40">#REF!</definedName>
    <definedName name="存货合计" localSheetId="54">#REF!</definedName>
    <definedName name="存货合计" localSheetId="2">#REF!</definedName>
    <definedName name="存货合计">#REF!</definedName>
    <definedName name="存货明细" localSheetId="40">#REF!</definedName>
    <definedName name="存货明细" localSheetId="54">#REF!</definedName>
    <definedName name="存货明细" localSheetId="2">#REF!</definedName>
    <definedName name="存货明细">#REF!</definedName>
    <definedName name="大多数">'[8]13 铁路配件'!$A$15</definedName>
    <definedName name="大幅度" localSheetId="40">#REF!</definedName>
    <definedName name="大幅度" localSheetId="54">#REF!</definedName>
    <definedName name="大幅度" localSheetId="2">#REF!</definedName>
    <definedName name="大幅度">#REF!</definedName>
    <definedName name="地区名称" localSheetId="40">[9]封面!#REF!</definedName>
    <definedName name="地区名称" localSheetId="54">[9]封面!#REF!</definedName>
    <definedName name="地区名称" localSheetId="2">[9]封面!#REF!</definedName>
    <definedName name="地区名称">[9]封面!#REF!</definedName>
    <definedName name="第二产业分县2003年">[10]GDP!$G$4:$G$184</definedName>
    <definedName name="第二产业合计2003年">[10]GDP!$G$4</definedName>
    <definedName name="第三产业分县2003年">[10]GDP!$H$4:$H$184</definedName>
    <definedName name="第三产业合计2003年">[10]GDP!$H$4</definedName>
    <definedName name="耕地占用税分县2003年">[11]一般预算收入!$U$4:$U$184</definedName>
    <definedName name="耕地占用税合计2003年">[11]一般预算收入!$U$4</definedName>
    <definedName name="工商税收2004年">[12]工商税收!$S$4:$S$184</definedName>
    <definedName name="工商税收合计2004年">[12]工商税收!$S$4</definedName>
    <definedName name="公检法司部门编制数">[13]公检法司编制!$E$4:$E$184</definedName>
    <definedName name="公用标准支出">[14]合计!$E$4:$E$184</definedName>
    <definedName name="行政管理部门编制数">[13]行政编制!$E$4:$E$184</definedName>
    <definedName name="合___计" localSheetId="40">#REF!</definedName>
    <definedName name="合___计" localSheetId="54">#REF!</definedName>
    <definedName name="合___计" localSheetId="2">#REF!</definedName>
    <definedName name="合___计">#REF!</definedName>
    <definedName name="汇率" localSheetId="40">#REF!</definedName>
    <definedName name="汇率" localSheetId="54">#REF!</definedName>
    <definedName name="汇率" localSheetId="2">#REF!</definedName>
    <definedName name="汇率">#REF!</definedName>
    <definedName name="科目编码">[15]编码!$A$2:$A$145</definedName>
    <definedName name="农业人口2003年">[16]农业人口!$E$4:$E$184</definedName>
    <definedName name="农业税分县2003年">[11]一般预算收入!$S$4:$S$184</definedName>
    <definedName name="农业税合计2003年">[11]一般预算收入!$S$4</definedName>
    <definedName name="农业特产税分县2003年">[11]一般预算收入!$T$4:$T$184</definedName>
    <definedName name="农业特产税合计2003年">[11]一般预算收入!$T$4</definedName>
    <definedName name="农业用地面积">[17]农业用地!$E$4:$E$184</definedName>
    <definedName name="契税分县2003年">[11]一般预算收入!$V$4:$V$184</definedName>
    <definedName name="契税合计2003年">[11]一般预算收入!$V$4</definedName>
    <definedName name="全额差额比例" localSheetId="40">'[18]C01-1'!#REF!</definedName>
    <definedName name="全额差额比例" localSheetId="54">'[18]C01-1'!#REF!</definedName>
    <definedName name="全额差额比例" localSheetId="2">'[18]C01-1'!#REF!</definedName>
    <definedName name="全额差额比例">'[18]C01-1'!#REF!</definedName>
    <definedName name="人员标准支出">[19]人员支出!$E$4:$E$184</definedName>
    <definedName name="生产列1" localSheetId="40">#REF!</definedName>
    <definedName name="生产列1" localSheetId="54">#REF!</definedName>
    <definedName name="生产列1" localSheetId="2">#REF!</definedName>
    <definedName name="生产列1">#REF!</definedName>
    <definedName name="生产列11" localSheetId="40">#REF!</definedName>
    <definedName name="生产列11" localSheetId="54">#REF!</definedName>
    <definedName name="生产列11" localSheetId="2">#REF!</definedName>
    <definedName name="生产列11">#REF!</definedName>
    <definedName name="生产列15" localSheetId="40">#REF!</definedName>
    <definedName name="生产列15" localSheetId="54">#REF!</definedName>
    <definedName name="生产列15" localSheetId="2">#REF!</definedName>
    <definedName name="生产列15">#REF!</definedName>
    <definedName name="生产列16" localSheetId="40">#REF!</definedName>
    <definedName name="生产列16" localSheetId="54">#REF!</definedName>
    <definedName name="生产列16" localSheetId="2">#REF!</definedName>
    <definedName name="生产列16">#REF!</definedName>
    <definedName name="生产列17" localSheetId="40">#REF!</definedName>
    <definedName name="生产列17" localSheetId="54">#REF!</definedName>
    <definedName name="生产列17" localSheetId="2">#REF!</definedName>
    <definedName name="生产列17">#REF!</definedName>
    <definedName name="生产列19" localSheetId="40">#REF!</definedName>
    <definedName name="生产列19" localSheetId="54">#REF!</definedName>
    <definedName name="生产列19" localSheetId="2">#REF!</definedName>
    <definedName name="生产列19">#REF!</definedName>
    <definedName name="生产列2" localSheetId="40">#REF!</definedName>
    <definedName name="生产列2" localSheetId="54">#REF!</definedName>
    <definedName name="生产列2" localSheetId="2">#REF!</definedName>
    <definedName name="生产列2">#REF!</definedName>
    <definedName name="生产列20" localSheetId="40">#REF!</definedName>
    <definedName name="生产列20" localSheetId="54">#REF!</definedName>
    <definedName name="生产列20" localSheetId="2">#REF!</definedName>
    <definedName name="生产列20">#REF!</definedName>
    <definedName name="生产列3" localSheetId="40">#REF!</definedName>
    <definedName name="生产列3" localSheetId="54">#REF!</definedName>
    <definedName name="生产列3" localSheetId="2">#REF!</definedName>
    <definedName name="生产列3">#REF!</definedName>
    <definedName name="生产列4" localSheetId="40">#REF!</definedName>
    <definedName name="生产列4" localSheetId="54">#REF!</definedName>
    <definedName name="生产列4" localSheetId="2">#REF!</definedName>
    <definedName name="生产列4">#REF!</definedName>
    <definedName name="生产列5" localSheetId="40">#REF!</definedName>
    <definedName name="生产列5" localSheetId="54">#REF!</definedName>
    <definedName name="生产列5" localSheetId="2">#REF!</definedName>
    <definedName name="生产列5">#REF!</definedName>
    <definedName name="生产列6" localSheetId="40">#REF!</definedName>
    <definedName name="生产列6" localSheetId="54">#REF!</definedName>
    <definedName name="生产列6" localSheetId="2">#REF!</definedName>
    <definedName name="生产列6">#REF!</definedName>
    <definedName name="生产列7" localSheetId="40">#REF!</definedName>
    <definedName name="生产列7" localSheetId="54">#REF!</definedName>
    <definedName name="生产列7" localSheetId="2">#REF!</definedName>
    <definedName name="生产列7">#REF!</definedName>
    <definedName name="生产列8" localSheetId="40">#REF!</definedName>
    <definedName name="生产列8" localSheetId="54">#REF!</definedName>
    <definedName name="生产列8" localSheetId="2">#REF!</definedName>
    <definedName name="生产列8">#REF!</definedName>
    <definedName name="生产列9" localSheetId="40">#REF!</definedName>
    <definedName name="生产列9" localSheetId="54">#REF!</definedName>
    <definedName name="生产列9" localSheetId="2">#REF!</definedName>
    <definedName name="生产列9">#REF!</definedName>
    <definedName name="生产期" localSheetId="40">#REF!</definedName>
    <definedName name="生产期" localSheetId="54">#REF!</definedName>
    <definedName name="生产期" localSheetId="2">#REF!</definedName>
    <definedName name="生产期">#REF!</definedName>
    <definedName name="生产期1" localSheetId="40">#REF!</definedName>
    <definedName name="生产期1" localSheetId="54">#REF!</definedName>
    <definedName name="生产期1" localSheetId="2">#REF!</definedName>
    <definedName name="生产期1">#REF!</definedName>
    <definedName name="生产期11" localSheetId="40">#REF!</definedName>
    <definedName name="生产期11" localSheetId="54">#REF!</definedName>
    <definedName name="生产期11" localSheetId="2">#REF!</definedName>
    <definedName name="生产期11">#REF!</definedName>
    <definedName name="生产期123" localSheetId="40">#REF!</definedName>
    <definedName name="生产期123" localSheetId="54">#REF!</definedName>
    <definedName name="生产期123" localSheetId="2">#REF!</definedName>
    <definedName name="生产期123">#REF!</definedName>
    <definedName name="生产期15" localSheetId="40">#REF!</definedName>
    <definedName name="生产期15" localSheetId="54">#REF!</definedName>
    <definedName name="生产期15" localSheetId="2">#REF!</definedName>
    <definedName name="生产期15">#REF!</definedName>
    <definedName name="生产期16" localSheetId="40">#REF!</definedName>
    <definedName name="生产期16" localSheetId="54">#REF!</definedName>
    <definedName name="生产期16" localSheetId="2">#REF!</definedName>
    <definedName name="生产期16">#REF!</definedName>
    <definedName name="生产期17" localSheetId="40">#REF!</definedName>
    <definedName name="生产期17" localSheetId="54">#REF!</definedName>
    <definedName name="生产期17" localSheetId="2">#REF!</definedName>
    <definedName name="生产期17">#REF!</definedName>
    <definedName name="生产期19" localSheetId="40">#REF!</definedName>
    <definedName name="生产期19" localSheetId="54">#REF!</definedName>
    <definedName name="生产期19" localSheetId="2">#REF!</definedName>
    <definedName name="生产期19">#REF!</definedName>
    <definedName name="生产期2" localSheetId="40">#REF!</definedName>
    <definedName name="生产期2" localSheetId="54">#REF!</definedName>
    <definedName name="生产期2" localSheetId="2">#REF!</definedName>
    <definedName name="生产期2">#REF!</definedName>
    <definedName name="生产期20" localSheetId="40">#REF!</definedName>
    <definedName name="生产期20" localSheetId="54">#REF!</definedName>
    <definedName name="生产期20" localSheetId="2">#REF!</definedName>
    <definedName name="生产期20">#REF!</definedName>
    <definedName name="生产期3" localSheetId="40">#REF!</definedName>
    <definedName name="生产期3" localSheetId="54">#REF!</definedName>
    <definedName name="生产期3" localSheetId="2">#REF!</definedName>
    <definedName name="生产期3">#REF!</definedName>
    <definedName name="生产期4" localSheetId="40">#REF!</definedName>
    <definedName name="生产期4" localSheetId="54">#REF!</definedName>
    <definedName name="生产期4" localSheetId="2">#REF!</definedName>
    <definedName name="生产期4">#REF!</definedName>
    <definedName name="生产期5" localSheetId="40">#REF!</definedName>
    <definedName name="生产期5" localSheetId="54">#REF!</definedName>
    <definedName name="生产期5" localSheetId="2">#REF!</definedName>
    <definedName name="生产期5">#REF!</definedName>
    <definedName name="生产期6" localSheetId="40">#REF!</definedName>
    <definedName name="生产期6" localSheetId="54">#REF!</definedName>
    <definedName name="生产期6" localSheetId="2">#REF!</definedName>
    <definedName name="生产期6">#REF!</definedName>
    <definedName name="生产期7" localSheetId="40">#REF!</definedName>
    <definedName name="生产期7" localSheetId="54">#REF!</definedName>
    <definedName name="生产期7" localSheetId="2">#REF!</definedName>
    <definedName name="生产期7">#REF!</definedName>
    <definedName name="生产期8" localSheetId="40">#REF!</definedName>
    <definedName name="生产期8" localSheetId="54">#REF!</definedName>
    <definedName name="生产期8" localSheetId="2">#REF!</definedName>
    <definedName name="生产期8">#REF!</definedName>
    <definedName name="生产期9" localSheetId="40">#REF!</definedName>
    <definedName name="生产期9" localSheetId="54">#REF!</definedName>
    <definedName name="生产期9" localSheetId="2">#REF!</definedName>
    <definedName name="生产期9">#REF!</definedName>
    <definedName name="事业发展支出">[20]事业发展!$E$4:$E$184</definedName>
    <definedName name="是" localSheetId="40">#REF!</definedName>
    <definedName name="是" localSheetId="54">#REF!</definedName>
    <definedName name="是" localSheetId="2">#REF!</definedName>
    <definedName name="是">#REF!</definedName>
    <definedName name="手机">OR([3]Sheet!$AL1="未填手机号码",[3]Sheet!$AL1="请检查手机号码")</definedName>
    <definedName name="索引号" localSheetId="40">#REF!</definedName>
    <definedName name="索引号" localSheetId="54">#REF!</definedName>
    <definedName name="索引号" localSheetId="2">#REF!</definedName>
    <definedName name="索引号">#REF!</definedName>
    <definedName name="未审合计" localSheetId="40">#REF!</definedName>
    <definedName name="未审合计" localSheetId="54">#REF!</definedName>
    <definedName name="未审合计" localSheetId="2">#REF!</definedName>
    <definedName name="未审合计">#REF!</definedName>
    <definedName name="未审数" localSheetId="40">#REF!</definedName>
    <definedName name="未审数" localSheetId="54">#REF!</definedName>
    <definedName name="未审数" localSheetId="2">#REF!</definedName>
    <definedName name="未审数">#REF!</definedName>
    <definedName name="位次d" localSheetId="40">[21]四月份月报!#REF!</definedName>
    <definedName name="位次d" localSheetId="54">[21]四月份月报!#REF!</definedName>
    <definedName name="位次d" localSheetId="2">[21]四月份月报!#REF!</definedName>
    <definedName name="位次d">[21]四月份月报!#REF!</definedName>
    <definedName name="乡镇个数">[22]行政区划!$D$6:$D$184</definedName>
    <definedName name="性别">[3]Sheet!$D1="性别填写有误"</definedName>
    <definedName name="学历">[23]基础编码!$S$2:$S$9</definedName>
    <definedName name="一般预算收入2002年">'[24]2002年一般预算收入'!$AC$4:$AC$184</definedName>
    <definedName name="一般预算收入2003年">[11]一般预算收入!$AD$4:$AD$184</definedName>
    <definedName name="一般预算收入合计2003年">[11]一般预算收入!$AC$4</definedName>
    <definedName name="支出">'[25]P1012001'!$A$6:$E$117</definedName>
    <definedName name="中国" localSheetId="40">#REF!</definedName>
    <definedName name="中国" localSheetId="54">#REF!</definedName>
    <definedName name="中国" localSheetId="2">#REF!</definedName>
    <definedName name="中国">#REF!</definedName>
    <definedName name="中小学生人数2003年">[26]中小学生!$E$4:$E$184</definedName>
    <definedName name="总人口2003年">[27]总人口!$E$4:$E$184</definedName>
    <definedName name="전" localSheetId="40">#REF!</definedName>
    <definedName name="전" localSheetId="54">#REF!</definedName>
    <definedName name="전" localSheetId="2">#REF!</definedName>
    <definedName name="전">#REF!</definedName>
    <definedName name="주택사업본부" localSheetId="40">#REF!</definedName>
    <definedName name="주택사업본부" localSheetId="54">#REF!</definedName>
    <definedName name="주택사업본부" localSheetId="2">#REF!</definedName>
    <definedName name="주택사업본부">#REF!</definedName>
    <definedName name="철구사업본부" localSheetId="40">#REF!</definedName>
    <definedName name="철구사업본부" localSheetId="54">#REF!</definedName>
    <definedName name="철구사업본부" localSheetId="2">#REF!</definedName>
    <definedName name="철구사업본부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<sst xmlns="http://schemas.openxmlformats.org/spreadsheetml/2006/main" count="1828" uniqueCount="589">
  <si>
    <t>主要经济指标完成情况</t>
  </si>
  <si>
    <t>指   标</t>
  </si>
  <si>
    <t>单位</t>
  </si>
  <si>
    <t>2019年1-2月</t>
  </si>
  <si>
    <t>绝对值</t>
  </si>
  <si>
    <t>增长%</t>
  </si>
  <si>
    <t>生产总值(GDP)</t>
  </si>
  <si>
    <t>亿元</t>
  </si>
  <si>
    <t>-</t>
  </si>
  <si>
    <t>规模以上工业总产值</t>
  </si>
  <si>
    <t>规模以上工业增加值</t>
  </si>
  <si>
    <t>固定资产投资</t>
  </si>
  <si>
    <t xml:space="preserve">    房地产开发投资</t>
  </si>
  <si>
    <t xml:space="preserve">    商品房销售面积</t>
  </si>
  <si>
    <t>万平方米</t>
  </si>
  <si>
    <t>社会消费品零售总额</t>
  </si>
  <si>
    <t>地方一般公共预算收入</t>
  </si>
  <si>
    <t>地方一般公共预算支出</t>
  </si>
  <si>
    <t>税收收入</t>
  </si>
  <si>
    <t>进出口总额（上月累计数）</t>
  </si>
  <si>
    <t xml:space="preserve">    出口总额</t>
  </si>
  <si>
    <t xml:space="preserve">    进口总额</t>
  </si>
  <si>
    <t>实际使用外资</t>
  </si>
  <si>
    <t>万美元</t>
  </si>
  <si>
    <t>金融机构本外币存款余额</t>
  </si>
  <si>
    <t xml:space="preserve">    #住户存款余额</t>
  </si>
  <si>
    <t>金融机构本外币贷款余额</t>
  </si>
  <si>
    <t>居民消费价格指数</t>
  </si>
  <si>
    <t>%</t>
  </si>
  <si>
    <t>工业生产者出厂价格指数</t>
  </si>
  <si>
    <t>全社会用电量</t>
  </si>
  <si>
    <t>亿千瓦时</t>
  </si>
  <si>
    <t xml:space="preserve">    工业用电量</t>
  </si>
  <si>
    <t>注：生产总值按季度统计，税收收入按自然口径计算。</t>
  </si>
  <si>
    <t>2018年</t>
  </si>
  <si>
    <t>进出口总额</t>
  </si>
  <si>
    <t>全市生产总值（GDP）</t>
  </si>
  <si>
    <t>单位：亿元</t>
  </si>
  <si>
    <t>指  标</t>
  </si>
  <si>
    <t>生产总值</t>
  </si>
  <si>
    <t xml:space="preserve">    第一产业</t>
  </si>
  <si>
    <t xml:space="preserve">    第二产业</t>
  </si>
  <si>
    <t xml:space="preserve">        建筑业</t>
  </si>
  <si>
    <t xml:space="preserve">    第三产业</t>
  </si>
  <si>
    <t xml:space="preserve">        交运仓储邮电通信业</t>
  </si>
  <si>
    <t xml:space="preserve">        批发和零售业</t>
  </si>
  <si>
    <t xml:space="preserve">        住宿和餐饮业</t>
  </si>
  <si>
    <t xml:space="preserve">        金融业</t>
  </si>
  <si>
    <t xml:space="preserve">        房地产业</t>
  </si>
  <si>
    <t xml:space="preserve">        营利性服务业</t>
  </si>
  <si>
    <t xml:space="preserve">        非营利性服务业</t>
  </si>
  <si>
    <t xml:space="preserve">        农业</t>
  </si>
  <si>
    <t xml:space="preserve">        工业</t>
  </si>
  <si>
    <t xml:space="preserve">  三次产业结构（%）</t>
  </si>
  <si>
    <t>17.7:36.1:46.1</t>
  </si>
  <si>
    <t>注：生产总值按季度核算。</t>
  </si>
  <si>
    <t>农业生产情况</t>
  </si>
  <si>
    <t>一、农林牧渔业总产值</t>
  </si>
  <si>
    <t xml:space="preserve">        农  业</t>
  </si>
  <si>
    <t xml:space="preserve">        林  业</t>
  </si>
  <si>
    <t xml:space="preserve">        畜牧业</t>
  </si>
  <si>
    <t xml:space="preserve">        渔  业</t>
  </si>
  <si>
    <t xml:space="preserve">        农林牧渔服务业</t>
  </si>
  <si>
    <t>二、农林牧渔业增加值</t>
  </si>
  <si>
    <t>三、主要农产品产量</t>
  </si>
  <si>
    <t xml:space="preserve">        粮  食 </t>
  </si>
  <si>
    <t>万吨</t>
  </si>
  <si>
    <t xml:space="preserve">            #稻  谷</t>
  </si>
  <si>
    <t xml:space="preserve">        蔬  菜 </t>
  </si>
  <si>
    <t xml:space="preserve">        园林水果 </t>
  </si>
  <si>
    <t xml:space="preserve">        生  猪（出栏量） </t>
  </si>
  <si>
    <t>万头</t>
  </si>
  <si>
    <t xml:space="preserve">        家  禽（出栏量）      </t>
  </si>
  <si>
    <t>万只</t>
  </si>
  <si>
    <t xml:space="preserve">        水产品 </t>
  </si>
  <si>
    <t>注：农业总产值和增加值按季度核算，增长速度按可比价格计算，以2017年农普修订的季度数据为基数。</t>
  </si>
  <si>
    <t>规模以上工业生产情况（一）</t>
  </si>
  <si>
    <t>2月</t>
  </si>
  <si>
    <t>增速（%）</t>
  </si>
  <si>
    <t>1-2月</t>
  </si>
  <si>
    <t>一、工业总产值</t>
  </si>
  <si>
    <t xml:space="preserve">  # 轻工业</t>
  </si>
  <si>
    <t xml:space="preserve">    重工业</t>
  </si>
  <si>
    <t xml:space="preserve">  # 国有企业</t>
  </si>
  <si>
    <t xml:space="preserve">    集体企业</t>
  </si>
  <si>
    <t xml:space="preserve">    股份合作制企业</t>
  </si>
  <si>
    <t xml:space="preserve">    股份制企业</t>
  </si>
  <si>
    <t xml:space="preserve">    外商及港澳台企业</t>
  </si>
  <si>
    <t xml:space="preserve">    其他经济类型企业</t>
  </si>
  <si>
    <t xml:space="preserve">  # 国有及国有控股企业</t>
  </si>
  <si>
    <t xml:space="preserve">    民营企业</t>
  </si>
  <si>
    <t xml:space="preserve">  # 大型企业</t>
  </si>
  <si>
    <t xml:space="preserve">    中型企业</t>
  </si>
  <si>
    <t xml:space="preserve">    小型企业</t>
  </si>
  <si>
    <t xml:space="preserve">    微型企业</t>
  </si>
  <si>
    <t>二、出口交货值</t>
  </si>
  <si>
    <t>现价销售产值         （亿元）</t>
  </si>
  <si>
    <t>产品销售率（%）</t>
  </si>
  <si>
    <t>产品销售率增速（%）</t>
  </si>
  <si>
    <t>三、销售产值及产销率</t>
  </si>
  <si>
    <t>注：2011年起，规模以上工业统计范围为主营业务收入2000万元及以上的工业法人企业。</t>
  </si>
  <si>
    <t>规模以上工业生产情况（二）</t>
  </si>
  <si>
    <t>一、工业增加值</t>
  </si>
  <si>
    <t>规模以上工业企业经济效益</t>
  </si>
  <si>
    <t>计量单位</t>
  </si>
  <si>
    <t>企业单位数</t>
  </si>
  <si>
    <t>个</t>
  </si>
  <si>
    <t xml:space="preserve">    #亏损企业</t>
  </si>
  <si>
    <t>亏损企业亏损额</t>
  </si>
  <si>
    <t>主营业务收入</t>
  </si>
  <si>
    <t>实现利税总额</t>
  </si>
  <si>
    <t xml:space="preserve">    #利润总额</t>
  </si>
  <si>
    <t>资产合计</t>
  </si>
  <si>
    <t>负债合计</t>
  </si>
  <si>
    <t>应收帐款净额</t>
  </si>
  <si>
    <t>产成品存货</t>
  </si>
  <si>
    <t>利息支出</t>
  </si>
  <si>
    <t>全部从业人员平均人数</t>
  </si>
  <si>
    <t>万人</t>
  </si>
  <si>
    <t>经济效益综合指数</t>
  </si>
  <si>
    <t>资产贡献率</t>
  </si>
  <si>
    <t>资产增值率</t>
  </si>
  <si>
    <t>资产负债率</t>
  </si>
  <si>
    <t>流动资产周转率</t>
  </si>
  <si>
    <t>次</t>
  </si>
  <si>
    <t>成本利润率</t>
  </si>
  <si>
    <t>劳动生产率</t>
  </si>
  <si>
    <t>万元/人</t>
  </si>
  <si>
    <t>产品销售率</t>
  </si>
  <si>
    <t>分行业规模以上工业企业总产值(一）</t>
  </si>
  <si>
    <t>全市总计</t>
  </si>
  <si>
    <t>黑色金属矿采矿业</t>
  </si>
  <si>
    <t>有色金属矿采选业</t>
  </si>
  <si>
    <t>非金属矿采选业</t>
  </si>
  <si>
    <t>开采辅助活动</t>
  </si>
  <si>
    <t>其他采矿业</t>
  </si>
  <si>
    <t>农副食品加工业</t>
  </si>
  <si>
    <t xml:space="preserve">    其中：植物油加工    </t>
  </si>
  <si>
    <t xml:space="preserve">          制糖</t>
  </si>
  <si>
    <t xml:space="preserve">          水产品加工</t>
  </si>
  <si>
    <t>食品制造业</t>
  </si>
  <si>
    <t>酒.饮料和精制茶制造业</t>
  </si>
  <si>
    <t>烟草制品业</t>
  </si>
  <si>
    <t>纺织业</t>
  </si>
  <si>
    <t>纺织服装、服饰业</t>
  </si>
  <si>
    <t>皮革毛皮羽毛制品业</t>
  </si>
  <si>
    <t>木材.竹.藤.棕.草制品业</t>
  </si>
  <si>
    <t>家具制造业</t>
  </si>
  <si>
    <t>造纸及纸制品业</t>
  </si>
  <si>
    <t>印刷、记录媒介复制</t>
  </si>
  <si>
    <t>分行业规模以上工业企业总产值(二）</t>
  </si>
  <si>
    <t>文教体育娱乐用品制造业</t>
  </si>
  <si>
    <t>石油加工.炼焦业</t>
  </si>
  <si>
    <t>化学原料及化学制造业</t>
  </si>
  <si>
    <t>医药制造业</t>
  </si>
  <si>
    <t>橡胶和塑料制品业</t>
  </si>
  <si>
    <t>非金属矿制品业</t>
  </si>
  <si>
    <t>黑色金属冶炼压延加工业</t>
  </si>
  <si>
    <t>有色金属冶炼压延加工业</t>
  </si>
  <si>
    <t>金属制品业</t>
  </si>
  <si>
    <t>通用机械制造业</t>
  </si>
  <si>
    <t>专用设备制造业</t>
  </si>
  <si>
    <t>汽车制造业</t>
  </si>
  <si>
    <t>铁路船舶和其他运输设备制造</t>
  </si>
  <si>
    <t>电气机械及器材制造业</t>
  </si>
  <si>
    <t>通信设备.计算机制造业</t>
  </si>
  <si>
    <t>其他制造业</t>
  </si>
  <si>
    <t>废弃资源废旧材料回收业</t>
  </si>
  <si>
    <t>金属制品.机械和设备修理业</t>
  </si>
  <si>
    <t>电力.热力生产和供应业</t>
  </si>
  <si>
    <t>燃气生产和供应业</t>
  </si>
  <si>
    <t>自来水的生产和供应业</t>
  </si>
  <si>
    <t>规模以上工业企业主要产品产量(一）</t>
  </si>
  <si>
    <t>原  盐</t>
  </si>
  <si>
    <t>饲  料</t>
  </si>
  <si>
    <t>食用植物油</t>
  </si>
  <si>
    <t>小麦粉</t>
  </si>
  <si>
    <t>鲜冷藏冻肉</t>
  </si>
  <si>
    <t>成品糖</t>
  </si>
  <si>
    <t>罐头</t>
  </si>
  <si>
    <t>发酵酒精</t>
  </si>
  <si>
    <t>千升</t>
  </si>
  <si>
    <t>饮料酒</t>
  </si>
  <si>
    <t xml:space="preserve">  其中:白酒   </t>
  </si>
  <si>
    <t xml:space="preserve">       啤酒   </t>
  </si>
  <si>
    <t>乳制品</t>
  </si>
  <si>
    <t>饮料</t>
  </si>
  <si>
    <t>冷冻水产品</t>
  </si>
  <si>
    <t>卷  烟</t>
  </si>
  <si>
    <t>亿支</t>
  </si>
  <si>
    <t>纱</t>
  </si>
  <si>
    <t>鞋</t>
  </si>
  <si>
    <t>万双</t>
  </si>
  <si>
    <t>服装</t>
  </si>
  <si>
    <t>万件</t>
  </si>
  <si>
    <t>规模以上工业企业主要产品产量(二）</t>
  </si>
  <si>
    <t>纸浆</t>
  </si>
  <si>
    <t>人造板</t>
  </si>
  <si>
    <t>万立方米</t>
  </si>
  <si>
    <t>家具</t>
  </si>
  <si>
    <t>机制纸及纸板</t>
  </si>
  <si>
    <t>纸制品</t>
  </si>
  <si>
    <t>原油加工量</t>
  </si>
  <si>
    <t>汽油</t>
  </si>
  <si>
    <t>柴油</t>
  </si>
  <si>
    <t>燃料油</t>
  </si>
  <si>
    <t>石脑油</t>
  </si>
  <si>
    <t>石油沥青</t>
  </si>
  <si>
    <t>液化石油气</t>
  </si>
  <si>
    <t>硫酸(折100%)</t>
  </si>
  <si>
    <t>纯苯</t>
  </si>
  <si>
    <t>农用化学肥料</t>
  </si>
  <si>
    <t>磷酸二铵（实物量）</t>
  </si>
  <si>
    <t>初级形态的塑料</t>
  </si>
  <si>
    <t>化学药品原药</t>
  </si>
  <si>
    <t>涂料</t>
  </si>
  <si>
    <t>中成药</t>
  </si>
  <si>
    <t>规模以上工业企业主要产品产量(三）</t>
  </si>
  <si>
    <t>塑料制品</t>
  </si>
  <si>
    <t>塑料薄膜</t>
  </si>
  <si>
    <t>橡胶轮胎外胎</t>
  </si>
  <si>
    <t>万条</t>
  </si>
  <si>
    <t>水泥</t>
  </si>
  <si>
    <t>商品混凝土</t>
  </si>
  <si>
    <t>砖(折标准砖)</t>
  </si>
  <si>
    <t>亿块</t>
  </si>
  <si>
    <t>玻璃包装容器</t>
  </si>
  <si>
    <t>瓷砖</t>
  </si>
  <si>
    <t>生铁</t>
  </si>
  <si>
    <t>粗钢</t>
  </si>
  <si>
    <t>钢材</t>
  </si>
  <si>
    <t>金属门窗及类似制品</t>
  </si>
  <si>
    <t>铝  材</t>
  </si>
  <si>
    <t>金属紧固件</t>
  </si>
  <si>
    <t>农产品初加工机械</t>
  </si>
  <si>
    <t>台</t>
  </si>
  <si>
    <t>变压器</t>
  </si>
  <si>
    <t>万千伏安</t>
  </si>
  <si>
    <t>电饭锅</t>
  </si>
  <si>
    <t>万个</t>
  </si>
  <si>
    <t>灯具照明装置</t>
  </si>
  <si>
    <t>万台（套）</t>
  </si>
  <si>
    <t>发电量</t>
  </si>
  <si>
    <t>供电量</t>
  </si>
  <si>
    <t>工业综合能源消费量</t>
  </si>
  <si>
    <t>单位：万吨标准煤</t>
  </si>
  <si>
    <t>规模以上工业企业</t>
  </si>
  <si>
    <t xml:space="preserve">    采矿业</t>
  </si>
  <si>
    <t xml:space="preserve">    制造业</t>
  </si>
  <si>
    <t xml:space="preserve">    电力、热力、燃气及水生产和供应业</t>
  </si>
  <si>
    <t xml:space="preserve"> 高耗能行业</t>
  </si>
  <si>
    <t xml:space="preserve">  25.石油、煤炭及其他燃料加工业 </t>
  </si>
  <si>
    <t xml:space="preserve">  26.化学原料和化学制品制造业</t>
  </si>
  <si>
    <t xml:space="preserve">  30.非金属矿物制品业</t>
  </si>
  <si>
    <t xml:space="preserve">  31.黑色金属冶炼和压延加工业</t>
  </si>
  <si>
    <t xml:space="preserve">  32.有色金属冶炼和压延加工业 </t>
  </si>
  <si>
    <t xml:space="preserve">  44.电力、热力生产和供应业</t>
  </si>
  <si>
    <t>注：工业综合能源消费量(按当量值计算)为企业在工业生产活动中实际消费的各种能源的总和净值。</t>
  </si>
  <si>
    <t>交通运输完成情况</t>
  </si>
  <si>
    <r>
      <rPr>
        <b/>
        <sz val="12"/>
        <rFont val="宋体"/>
        <charset val="134"/>
      </rPr>
      <t>增长</t>
    </r>
    <r>
      <rPr>
        <b/>
        <sz val="12"/>
        <rFont val="Times New Roman"/>
        <charset val="134"/>
      </rPr>
      <t>%</t>
    </r>
  </si>
  <si>
    <t>一、港口货物吞吐量</t>
  </si>
  <si>
    <t>全市港口货物吞吐量</t>
  </si>
  <si>
    <t>全市港口集装箱吞吐量</t>
  </si>
  <si>
    <t>万TEU</t>
  </si>
  <si>
    <t>二、交通运输</t>
  </si>
  <si>
    <t>（一）公 路</t>
  </si>
  <si>
    <t xml:space="preserve">        货运量</t>
  </si>
  <si>
    <t>亿吨</t>
  </si>
  <si>
    <t xml:space="preserve">        货物周转量</t>
  </si>
  <si>
    <t>亿吨公里</t>
  </si>
  <si>
    <t xml:space="preserve">        客运量</t>
  </si>
  <si>
    <t xml:space="preserve">        旅客周转量</t>
  </si>
  <si>
    <t>亿人公里</t>
  </si>
  <si>
    <t>（二）水 路</t>
  </si>
  <si>
    <t>固定资产投资完成情况</t>
  </si>
  <si>
    <t>一、固定资产投资</t>
  </si>
  <si>
    <t xml:space="preserve">       基础设施 </t>
  </si>
  <si>
    <t xml:space="preserve">          #城市建设</t>
  </si>
  <si>
    <t xml:space="preserve">           交通运输基础设施投资</t>
  </si>
  <si>
    <t xml:space="preserve">       房地产开发</t>
  </si>
  <si>
    <t xml:space="preserve">       工业</t>
  </si>
  <si>
    <t xml:space="preserve">          #技术改造</t>
  </si>
  <si>
    <t xml:space="preserve">    按注册类型分：国有经济投资</t>
  </si>
  <si>
    <t xml:space="preserve">                  民间投资</t>
  </si>
  <si>
    <t xml:space="preserve">                  港澳台及外商投资</t>
  </si>
  <si>
    <t xml:space="preserve">    按产业分：第一产业</t>
  </si>
  <si>
    <t xml:space="preserve">              第二产业</t>
  </si>
  <si>
    <t xml:space="preserve">              第三产业</t>
  </si>
  <si>
    <t>二、施工项目个数</t>
  </si>
  <si>
    <t xml:space="preserve">      #亿元以上项目</t>
  </si>
  <si>
    <t xml:space="preserve">      #工业新增项目</t>
  </si>
  <si>
    <t>三、本年施工房屋面积</t>
  </si>
  <si>
    <t xml:space="preserve">       #住宅</t>
  </si>
  <si>
    <t>四、竣工面积</t>
  </si>
  <si>
    <t>五、商品房销售面积</t>
  </si>
  <si>
    <t>六、商品房销售额</t>
  </si>
  <si>
    <t>一、社会消费品零售总额</t>
  </si>
  <si>
    <t>（一）按销售单位所在地分</t>
  </si>
  <si>
    <t xml:space="preserve">       1.城镇</t>
  </si>
  <si>
    <t xml:space="preserve">       2.乡村</t>
  </si>
  <si>
    <t>（二）按行业分</t>
  </si>
  <si>
    <t xml:space="preserve">       1.批发零售贸易业</t>
  </si>
  <si>
    <t xml:space="preserve">       2.住宿和餐饮业</t>
  </si>
  <si>
    <t>（三）限额以上批发和零售业消费品零售额</t>
  </si>
  <si>
    <t xml:space="preserve">      粮油、食品、饮料、烟酒类</t>
  </si>
  <si>
    <t xml:space="preserve">      服装鞋帽针纺织品类</t>
  </si>
  <si>
    <t xml:space="preserve">      化妆品类</t>
  </si>
  <si>
    <t xml:space="preserve">      金银珠宝类</t>
  </si>
  <si>
    <t xml:space="preserve">      日用品类</t>
  </si>
  <si>
    <t xml:space="preserve">      五金电料类</t>
  </si>
  <si>
    <t xml:space="preserve">      体育娱乐用品类</t>
  </si>
  <si>
    <t xml:space="preserve">      书报杂志类</t>
  </si>
  <si>
    <t xml:space="preserve">      电子出版物及音像制品类</t>
  </si>
  <si>
    <t xml:space="preserve">      家用电器和音像器材类</t>
  </si>
  <si>
    <t xml:space="preserve">      中西药品类</t>
  </si>
  <si>
    <t xml:space="preserve">      文化办公用品类</t>
  </si>
  <si>
    <t xml:space="preserve">      家具类</t>
  </si>
  <si>
    <t xml:space="preserve">      通讯器材类</t>
  </si>
  <si>
    <t xml:space="preserve">      石油及制品类</t>
  </si>
  <si>
    <t xml:space="preserve">      建筑及装潢材料类</t>
  </si>
  <si>
    <t xml:space="preserve">      机电产品及设备类</t>
  </si>
  <si>
    <t xml:space="preserve">      汽车类</t>
  </si>
  <si>
    <t xml:space="preserve">      其他类</t>
  </si>
  <si>
    <t>财政收支情况</t>
  </si>
  <si>
    <t>单位:亿元</t>
  </si>
  <si>
    <t>增长％</t>
  </si>
  <si>
    <t xml:space="preserve">     地方一般公共预算收入</t>
  </si>
  <si>
    <t xml:space="preserve">       ＃税收收入</t>
  </si>
  <si>
    <t xml:space="preserve">            ＃增值税</t>
  </si>
  <si>
    <t xml:space="preserve">              企业所得税</t>
  </si>
  <si>
    <t xml:space="preserve">              个人所得税</t>
  </si>
  <si>
    <t xml:space="preserve">         非税收入</t>
  </si>
  <si>
    <t xml:space="preserve">    地方一般公共预算支出</t>
  </si>
  <si>
    <t xml:space="preserve">        ＃一般公共服务</t>
  </si>
  <si>
    <t xml:space="preserve">          科学技术</t>
  </si>
  <si>
    <t xml:space="preserve">          民生支出合计</t>
  </si>
  <si>
    <r>
      <rPr>
        <sz val="12"/>
        <rFont val="宋体"/>
        <charset val="134"/>
      </rPr>
      <t xml:space="preserve">             </t>
    </r>
    <r>
      <rPr>
        <vertAlign val="superscript"/>
        <sz val="12"/>
        <rFont val="宋体"/>
        <charset val="134"/>
      </rPr>
      <t>＃</t>
    </r>
    <r>
      <rPr>
        <sz val="12"/>
        <rFont val="宋体"/>
        <charset val="134"/>
      </rPr>
      <t>教育</t>
    </r>
  </si>
  <si>
    <t xml:space="preserve">              文化体育与传媒</t>
  </si>
  <si>
    <t xml:space="preserve">              社会保障和就业</t>
  </si>
  <si>
    <t xml:space="preserve">              医疗卫生和计划生育</t>
  </si>
  <si>
    <t xml:space="preserve">              节能环保</t>
  </si>
  <si>
    <t xml:space="preserve">              城乡社区事务</t>
  </si>
  <si>
    <t xml:space="preserve">              农林水事务</t>
  </si>
  <si>
    <t xml:space="preserve">              交通运输</t>
  </si>
  <si>
    <t xml:space="preserve">              住房保障支出</t>
  </si>
  <si>
    <t xml:space="preserve">              粮油物资储备事务</t>
  </si>
  <si>
    <t>注：财政数据由湛江市财政局提供。</t>
  </si>
  <si>
    <t>金  融</t>
  </si>
  <si>
    <t>本月余额</t>
  </si>
  <si>
    <t>金融机构本外币各项存款余额</t>
  </si>
  <si>
    <r>
      <rPr>
        <sz val="12"/>
        <rFont val="宋体"/>
        <charset val="134"/>
      </rPr>
      <t>　　（一）</t>
    </r>
    <r>
      <rPr>
        <sz val="12"/>
        <rFont val="宋体"/>
        <charset val="134"/>
      </rPr>
      <t>境内存款</t>
    </r>
  </si>
  <si>
    <r>
      <rPr>
        <sz val="12"/>
        <rFont val="宋体"/>
        <charset val="134"/>
      </rPr>
      <t>　　　　1</t>
    </r>
    <r>
      <rPr>
        <sz val="12"/>
        <rFont val="宋体"/>
        <charset val="134"/>
      </rPr>
      <t>.住户存款</t>
    </r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</si>
  <si>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>2</t>
    </r>
    <r>
      <rPr>
        <sz val="12"/>
        <rFont val="宋体"/>
        <charset val="134"/>
      </rPr>
      <t>.</t>
    </r>
    <r>
      <rPr>
        <sz val="12"/>
        <rFont val="宋体"/>
        <charset val="134"/>
      </rPr>
      <t>非金融企业存款</t>
    </r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</si>
  <si>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>3</t>
    </r>
    <r>
      <rPr>
        <sz val="12"/>
        <rFont val="宋体"/>
        <charset val="134"/>
      </rPr>
      <t>.广义政府存款</t>
    </r>
  </si>
  <si>
    <t xml:space="preserve">        4.非银行业金融机构存款</t>
  </si>
  <si>
    <t>　　（二）境外存款</t>
  </si>
  <si>
    <t>金融机构本外币各项贷款余额</t>
  </si>
  <si>
    <r>
      <rPr>
        <sz val="12"/>
        <rFont val="宋体"/>
        <charset val="134"/>
      </rPr>
      <t>　　（一）</t>
    </r>
    <r>
      <rPr>
        <sz val="12"/>
        <rFont val="宋体"/>
        <charset val="134"/>
      </rPr>
      <t>境内贷款</t>
    </r>
  </si>
  <si>
    <r>
      <rPr>
        <sz val="12"/>
        <rFont val="宋体"/>
        <charset val="134"/>
      </rPr>
      <t>　　　　1</t>
    </r>
    <r>
      <rPr>
        <sz val="12"/>
        <rFont val="宋体"/>
        <charset val="134"/>
      </rPr>
      <t>.住户贷款</t>
    </r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</si>
  <si>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>2</t>
    </r>
    <r>
      <rPr>
        <sz val="12"/>
        <rFont val="宋体"/>
        <charset val="134"/>
      </rPr>
      <t>.非金融企业及机关团体贷款</t>
    </r>
  </si>
  <si>
    <t xml:space="preserve">        3.非银行业金融机构贷款</t>
  </si>
  <si>
    <t>　　（二）境外贷款</t>
  </si>
  <si>
    <t>金融机构人民币各项存款余额</t>
  </si>
  <si>
    <t>　　　　　　其中：活期存款</t>
  </si>
  <si>
    <t>　　　　　　其中：机关团体存款</t>
  </si>
  <si>
    <t>金融机构人民币各项贷款余额</t>
  </si>
  <si>
    <r>
      <rPr>
        <sz val="12"/>
        <rFont val="宋体"/>
        <charset val="134"/>
      </rPr>
      <t>　　　　　　</t>
    </r>
    <r>
      <rPr>
        <sz val="12"/>
        <rFont val="宋体"/>
        <charset val="134"/>
      </rPr>
      <t>其中：中长期贷款</t>
    </r>
  </si>
  <si>
    <t>　　　　　　其中：短期贷款</t>
  </si>
  <si>
    <r>
      <rPr>
        <sz val="12"/>
        <rFont val="宋体"/>
        <charset val="134"/>
      </rPr>
      <t xml:space="preserve">　　　　　　 </t>
    </r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>中长期贷款</t>
    </r>
  </si>
  <si>
    <t>注：金融数据由中国人民银行湛江市中心支行提供。</t>
  </si>
  <si>
    <t>对  外  经  济</t>
  </si>
  <si>
    <t>1月</t>
  </si>
  <si>
    <t>一、外贸进出口总额</t>
  </si>
  <si>
    <t xml:space="preserve">   (一)出口总额</t>
  </si>
  <si>
    <t xml:space="preserve">   1.按主要贸易方式分</t>
  </si>
  <si>
    <t xml:space="preserve">       一般贸易</t>
  </si>
  <si>
    <t xml:space="preserve">       来料加工</t>
  </si>
  <si>
    <t xml:space="preserve">       进料加工</t>
  </si>
  <si>
    <t xml:space="preserve">         保税仓进出境货物</t>
  </si>
  <si>
    <t xml:space="preserve">   2.按主要经济类型分</t>
  </si>
  <si>
    <t xml:space="preserve">       国有企业</t>
  </si>
  <si>
    <t xml:space="preserve">      “三”资企业</t>
  </si>
  <si>
    <t xml:space="preserve">       集体企业</t>
  </si>
  <si>
    <t xml:space="preserve">       私营企业</t>
  </si>
  <si>
    <t xml:space="preserve">   4.按主要国家（地区）分</t>
  </si>
  <si>
    <t>东     盟</t>
  </si>
  <si>
    <t>欧     盟</t>
  </si>
  <si>
    <t>美     国</t>
  </si>
  <si>
    <t>香     港</t>
  </si>
  <si>
    <t>墨 西 哥</t>
  </si>
  <si>
    <t xml:space="preserve">  (二)进口总额</t>
  </si>
  <si>
    <t xml:space="preserve">  按主要贸易方式分</t>
  </si>
  <si>
    <t xml:space="preserve">    一般贸易</t>
  </si>
  <si>
    <t xml:space="preserve">    来料加工</t>
  </si>
  <si>
    <t xml:space="preserve">    进料加工</t>
  </si>
  <si>
    <t xml:space="preserve">      保税仓进出境货物</t>
  </si>
  <si>
    <t>二、使用外资金额 （1-2月）</t>
  </si>
  <si>
    <t xml:space="preserve">      外商直接投资项目个数 </t>
  </si>
  <si>
    <t xml:space="preserve">      合同利用外商直接投资</t>
  </si>
  <si>
    <t xml:space="preserve">      实际利用外商直接投资</t>
  </si>
  <si>
    <t>注:对外经济数据由湛江市商务局提供</t>
  </si>
  <si>
    <t>人 民 生 活</t>
  </si>
  <si>
    <t>单位：元</t>
  </si>
  <si>
    <t>一、居民人均可支配收入</t>
  </si>
  <si>
    <t xml:space="preserve">    1、工资性收入</t>
  </si>
  <si>
    <t xml:space="preserve">    2、经营净收入</t>
  </si>
  <si>
    <t xml:space="preserve">    3、财产净收入</t>
  </si>
  <si>
    <t xml:space="preserve">    4、转移净收入</t>
  </si>
  <si>
    <t>其中：城镇常住居民人均可支配收入</t>
  </si>
  <si>
    <t xml:space="preserve">      农村常住居民人均可支配收入</t>
  </si>
  <si>
    <t>二、居民人均消费支出</t>
  </si>
  <si>
    <t xml:space="preserve">    1、食品烟酒</t>
  </si>
  <si>
    <t xml:space="preserve">    2、衣着</t>
  </si>
  <si>
    <t xml:space="preserve">    3、居住</t>
  </si>
  <si>
    <t xml:space="preserve">    4、生活用品及服务</t>
  </si>
  <si>
    <t xml:space="preserve">    5、交通通信</t>
  </si>
  <si>
    <t xml:space="preserve">    6、教育文化娱乐</t>
  </si>
  <si>
    <t xml:space="preserve">    7、医疗保健</t>
  </si>
  <si>
    <t xml:space="preserve">    8、其他用品和服务</t>
  </si>
  <si>
    <t>其中：城镇常住居民人均消费支出</t>
  </si>
  <si>
    <t xml:space="preserve">      农村常住居民人均消费支出</t>
  </si>
  <si>
    <t>注:居民收支数据由国家统计局湛江调查队提供。</t>
  </si>
  <si>
    <t>单位：%</t>
  </si>
  <si>
    <t>上年同月=100</t>
  </si>
  <si>
    <t>上年同期=100</t>
  </si>
  <si>
    <t>一、居民消费价格总指数</t>
  </si>
  <si>
    <t>（一）食品烟酒</t>
  </si>
  <si>
    <t xml:space="preserve">       #粮食</t>
  </si>
  <si>
    <t xml:space="preserve">        鲜菜</t>
  </si>
  <si>
    <t xml:space="preserve">        畜肉类</t>
  </si>
  <si>
    <t xml:space="preserve">        水产品</t>
  </si>
  <si>
    <t xml:space="preserve">        蛋类</t>
  </si>
  <si>
    <t xml:space="preserve">        在外餐饮</t>
  </si>
  <si>
    <t>（二）衣着</t>
  </si>
  <si>
    <t>（三）居住</t>
  </si>
  <si>
    <t xml:space="preserve">（四）生活用品及服务 </t>
  </si>
  <si>
    <t>（五）交通和通信</t>
  </si>
  <si>
    <t>（六）教育文化和娱乐</t>
  </si>
  <si>
    <t xml:space="preserve">      #教育</t>
  </si>
  <si>
    <t>（七）医疗保健</t>
  </si>
  <si>
    <t>（八）其他用品和服务</t>
  </si>
  <si>
    <t>服务项目价格指数</t>
  </si>
  <si>
    <t>二、商品零售价格指数（%）</t>
  </si>
  <si>
    <t>注:价格指数数据由国家统计局湛江调查队提供。</t>
  </si>
  <si>
    <t>各县（市、 区）主要经济指标完成情况（一）</t>
  </si>
  <si>
    <t>市  别</t>
  </si>
  <si>
    <t>增速排位</t>
  </si>
  <si>
    <t>一、生产总值</t>
  </si>
  <si>
    <t xml:space="preserve">     全  市</t>
  </si>
  <si>
    <t xml:space="preserve">     赤坎区</t>
  </si>
  <si>
    <t xml:space="preserve">     霞山区</t>
  </si>
  <si>
    <t xml:space="preserve">     坡头区</t>
  </si>
  <si>
    <t xml:space="preserve">     麻章区</t>
  </si>
  <si>
    <t xml:space="preserve">     开发区</t>
  </si>
  <si>
    <t xml:space="preserve">     吴川市</t>
  </si>
  <si>
    <t xml:space="preserve">     徐闻县</t>
  </si>
  <si>
    <t xml:space="preserve">     雷州市</t>
  </si>
  <si>
    <t xml:space="preserve">     遂溪县</t>
  </si>
  <si>
    <t xml:space="preserve">     廉江市</t>
  </si>
  <si>
    <t>二、第一产业增加值</t>
  </si>
  <si>
    <t>注：地区生产总值（GDP）按季度核算。</t>
  </si>
  <si>
    <t>各县（市、 区）主要经济指标完成情况（二）</t>
  </si>
  <si>
    <t>三、第二产业增加值</t>
  </si>
  <si>
    <t>四、第三产业增加值</t>
  </si>
  <si>
    <t>各县（市、 区）主要经济指标完成情况（三）</t>
  </si>
  <si>
    <t>五、工业增加值</t>
  </si>
  <si>
    <t>六、规模以上工业产品销售产值（2019年1-2月）</t>
  </si>
  <si>
    <t xml:space="preserve">       其中：奋勇新区</t>
  </si>
  <si>
    <t xml:space="preserve">  总计中：开发区</t>
  </si>
  <si>
    <t>各县（市、 区）主要经济指标完成情况（四）</t>
  </si>
  <si>
    <t>七、规模以上工业增加值</t>
  </si>
  <si>
    <t>八、规模以上工业总产值</t>
  </si>
  <si>
    <t>各县（市、 区）主要经济指标完成情况（五）</t>
  </si>
  <si>
    <t>九、规模以上产品销售率(%)</t>
  </si>
  <si>
    <t>十、规模以上工业产品出口交货值（亿元）</t>
  </si>
  <si>
    <t>各县（市、 区）主要经济指标完成情况（六）</t>
  </si>
  <si>
    <t>十一、规模以上工业企业经济效益综合指数(%)</t>
  </si>
  <si>
    <t>十二、规模以上工业企业单位数（个）</t>
  </si>
  <si>
    <t>各县（市、 区）主要经济指标完成情况（七）</t>
  </si>
  <si>
    <t>十三、规模以上工业亏损企业数（个）</t>
  </si>
  <si>
    <t>十四、规模以上工业企业主营业务收入(亿元)</t>
  </si>
  <si>
    <t>各县（市、 区）主要经济指标完成情况（八）</t>
  </si>
  <si>
    <t>十五、规模以上工业企业利润总额</t>
  </si>
  <si>
    <t>十六、规模以上工业企业亏损额</t>
  </si>
  <si>
    <t>各县（市、 区）主要经济指标完成情况（九）</t>
  </si>
  <si>
    <t>十七、规模以上工业企业利税总额</t>
  </si>
  <si>
    <t>十八、规模以上工业企业资产合计</t>
  </si>
  <si>
    <t>各县（市、 区）主要经济指标完成情况（十）</t>
  </si>
  <si>
    <t>十九、规模以上工业企业负债合计</t>
  </si>
  <si>
    <t>二十、规模以上工业企业应收账款净额</t>
  </si>
  <si>
    <t>各县（市、 区）主要经济指标完成情况（十一）</t>
  </si>
  <si>
    <t>二十一、规模以上工业企业产成品存货</t>
  </si>
  <si>
    <t>二十二、规模以上工业企业利息支出</t>
  </si>
  <si>
    <t>各县（市、 区）主要经济指标完成情况（十二）</t>
  </si>
  <si>
    <t>二十三、规模以上工业企业全部平均人数(人）</t>
  </si>
  <si>
    <t>二十四、规模以上工业企业资产贡献率（%）</t>
  </si>
  <si>
    <t>各县（市、 区）主要经济指标完成情况（十三）</t>
  </si>
  <si>
    <t>二十五、规模以上工业企业资产增值率</t>
  </si>
  <si>
    <t>二十六、规模以上工业企业资产负债率</t>
  </si>
  <si>
    <t>各县（市、 区）主要经济指标完成情况（十四）</t>
  </si>
  <si>
    <t>二十七、规模以上工业企业流动资产周转率</t>
  </si>
  <si>
    <t>二十八、规模以上工业企业成本利润率</t>
  </si>
  <si>
    <t>各县（市、 区）主要经济指标完成情况（十五）</t>
  </si>
  <si>
    <t>二十九、社会消费品零售总额</t>
  </si>
  <si>
    <t>三十、固定资产投资</t>
  </si>
  <si>
    <t>各县（市、 区）主要经济指标完成情况（十六）</t>
  </si>
  <si>
    <t>其中：工业投资</t>
  </si>
  <si>
    <t xml:space="preserve">  其中：工业技改投资</t>
  </si>
  <si>
    <t>各县（市、 区）主要经济指标完成情况（十七）</t>
  </si>
  <si>
    <t>三十一、房地产开发投资（亿元）</t>
  </si>
  <si>
    <t>三十二、商品房销售面积（万平方米）</t>
  </si>
  <si>
    <t>各县（市、 区）主要经济指标完成情况（十八）</t>
  </si>
  <si>
    <t>三十三、地方一般公共预算收入</t>
  </si>
  <si>
    <t>三十四、地方一般公共预算支出</t>
  </si>
  <si>
    <t>注：实际使用外资按原口径统计。</t>
  </si>
  <si>
    <t>各县（市、 区）主要经济指标完成情况（十九）</t>
  </si>
  <si>
    <t>三十五、进出口总额（亿元）1月</t>
  </si>
  <si>
    <t>三十六、实际使用外资（万美元）</t>
  </si>
  <si>
    <t>全国及全省各市主要经济指标完成情况（五）</t>
  </si>
  <si>
    <t xml:space="preserve"> 市    别 </t>
  </si>
  <si>
    <t>地税收入</t>
  </si>
  <si>
    <t>国税收入</t>
  </si>
  <si>
    <t>1-5月</t>
  </si>
  <si>
    <t>增长（%）</t>
  </si>
  <si>
    <t>全  国</t>
  </si>
  <si>
    <t>全  省</t>
  </si>
  <si>
    <t>广州市</t>
  </si>
  <si>
    <t>深圳市</t>
  </si>
  <si>
    <t>珠海市</t>
  </si>
  <si>
    <t>汕头市</t>
  </si>
  <si>
    <t>佛山市</t>
  </si>
  <si>
    <t>韶关市</t>
  </si>
  <si>
    <t>河源市</t>
  </si>
  <si>
    <t>梅州市</t>
  </si>
  <si>
    <t>惠州市</t>
  </si>
  <si>
    <t>汕尾市</t>
  </si>
  <si>
    <t>东莞市</t>
  </si>
  <si>
    <t>中山市</t>
  </si>
  <si>
    <t>江门市</t>
  </si>
  <si>
    <t>阳江市</t>
  </si>
  <si>
    <t>湛江市</t>
  </si>
  <si>
    <t>茂名市</t>
  </si>
  <si>
    <t>肇庆市</t>
  </si>
  <si>
    <t>清远市</t>
  </si>
  <si>
    <t>潮州市</t>
  </si>
  <si>
    <t>揭阳市</t>
  </si>
  <si>
    <t>云浮市</t>
  </si>
  <si>
    <t>规模以上工业增加值序列</t>
  </si>
  <si>
    <t xml:space="preserve">  单位：万元</t>
  </si>
  <si>
    <t>时间</t>
  </si>
  <si>
    <t xml:space="preserve">  累计</t>
  </si>
  <si>
    <t>累计增长%</t>
  </si>
  <si>
    <t>月份</t>
  </si>
  <si>
    <t>2016年</t>
  </si>
  <si>
    <t>2017年</t>
  </si>
  <si>
    <t>累计数</t>
  </si>
  <si>
    <t>增速%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</si>
  <si>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</si>
  <si>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</si>
  <si>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</si>
  <si>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</si>
  <si>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</si>
  <si>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</si>
  <si>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</si>
  <si>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</si>
  <si>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</si>
  <si>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</si>
  <si>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2019年</t>
  </si>
  <si>
    <t>单位：亿元、亿美元</t>
  </si>
  <si>
    <t>注：2016年起，进出口总额数据以人民币计价。</t>
  </si>
  <si>
    <t>一般公共预算收入</t>
  </si>
  <si>
    <t>备注：地方一般公共预算收入增速为可比口径增长。</t>
  </si>
  <si>
    <t>同比增减
百分点</t>
  </si>
  <si>
    <t>累计指数</t>
  </si>
  <si>
    <t>工业用电量</t>
  </si>
  <si>
    <t>单位：亿千瓦时</t>
  </si>
  <si>
    <t>固定资产投资序列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</si>
  <si>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单位：万元</t>
    </r>
  </si>
  <si>
    <t>社会消费品零售总额序列</t>
  </si>
  <si>
    <t>出口序列</t>
  </si>
  <si>
    <t xml:space="preserve">    单位：万元</t>
  </si>
  <si>
    <t>外贸出口总额</t>
  </si>
  <si>
    <t xml:space="preserve"> </t>
  </si>
  <si>
    <t>地方一般公共预算收入序列</t>
  </si>
  <si>
    <t>工业用电量序列</t>
  </si>
  <si>
    <t xml:space="preserve">  单位：亿千瓦时</t>
  </si>
  <si>
    <t>（上年同期＝100）单位：%</t>
  </si>
  <si>
    <t>当月</t>
  </si>
  <si>
    <t>累计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</si>
</sst>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;\-#,##0;&quot;-&quot;"/>
    <numFmt numFmtId="177" formatCode="#,##0;\(#,##0\)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\ * #,##0.00_-;_-&quot;$&quot;\ * #,##0.00\-;_-&quot;$&quot;\ * &quot;-&quot;??_-;_-@_-"/>
    <numFmt numFmtId="181" formatCode="\$#,##0.00;\(\$#,##0.00\)"/>
    <numFmt numFmtId="182" formatCode="\$#,##0;\(\$#,##0\)"/>
    <numFmt numFmtId="183" formatCode="#,##0.0_);\(#,##0.0\)"/>
    <numFmt numFmtId="184" formatCode="_-&quot;$&quot;\ * #,##0_-;_-&quot;$&quot;\ * #,##0\-;_-&quot;$&quot;\ * &quot;-&quot;_-;_-@_-"/>
    <numFmt numFmtId="185" formatCode="&quot;$&quot;#,##0_);[Red]\(&quot;$&quot;#,##0\)"/>
    <numFmt numFmtId="186" formatCode="&quot;$&quot;#,##0.00_);[Red]\(&quot;$&quot;#,##0.00\)"/>
    <numFmt numFmtId="187" formatCode="&quot;$&quot;\ #,##0.00_-;[Red]&quot;$&quot;\ #,##0.00\-"/>
    <numFmt numFmtId="188" formatCode="&quot;$&quot;\ #,##0_-;[Red]&quot;$&quot;\ #,##0\-"/>
    <numFmt numFmtId="189" formatCode="0.00_)"/>
    <numFmt numFmtId="190" formatCode="#\ ??/??"/>
    <numFmt numFmtId="191" formatCode="_(&quot;$&quot;* #,##0.00_);_(&quot;$&quot;* \(#,##0.00\);_(&quot;$&quot;* &quot;-&quot;??_);_(@_)"/>
    <numFmt numFmtId="192" formatCode="_(&quot;$&quot;* #,##0_);_(&quot;$&quot;* \(#,##0\);_(&quot;$&quot;* &quot;-&quot;_);_(@_)"/>
    <numFmt numFmtId="193" formatCode="_-* #,##0_$_-;\-* #,##0_$_-;_-* &quot;-&quot;_$_-;_-@_-"/>
    <numFmt numFmtId="194" formatCode="_-* #,##0.00_$_-;\-* #,##0.00_$_-;_-* &quot;-&quot;??_$_-;_-@_-"/>
    <numFmt numFmtId="195" formatCode="_-* #,##0&quot;$&quot;_-;\-* #,##0&quot;$&quot;_-;_-* &quot;-&quot;&quot;$&quot;_-;_-@_-"/>
    <numFmt numFmtId="196" formatCode="_-* #,##0.00&quot;$&quot;_-;\-* #,##0.00&quot;$&quot;_-;_-* &quot;-&quot;??&quot;$&quot;_-;_-@_-"/>
    <numFmt numFmtId="197" formatCode="0_);\(0\)"/>
    <numFmt numFmtId="198" formatCode="yy\.mm\.dd"/>
    <numFmt numFmtId="199" formatCode="0.0"/>
    <numFmt numFmtId="200" formatCode="0.0_);[Red]\(0.0\)"/>
    <numFmt numFmtId="201" formatCode="0.0_ "/>
    <numFmt numFmtId="202" formatCode="0_);[Red]\(0\)"/>
    <numFmt numFmtId="203" formatCode="0.00_ "/>
    <numFmt numFmtId="204" formatCode="0;_؄"/>
    <numFmt numFmtId="205" formatCode="0_ "/>
    <numFmt numFmtId="206" formatCode="0.00_);[Red]\(0.00\)"/>
    <numFmt numFmtId="207" formatCode="0.0_ ;[Red]\-0.0\ "/>
    <numFmt numFmtId="208" formatCode="0.0%"/>
    <numFmt numFmtId="209" formatCode="0.0000_ "/>
  </numFmts>
  <fonts count="120">
    <font>
      <sz val="12"/>
      <name val="宋体"/>
      <charset val="134"/>
    </font>
    <font>
      <sz val="8"/>
      <name val="宋体"/>
      <charset val="134"/>
    </font>
    <font>
      <sz val="10"/>
      <name val="Arial"/>
      <charset val="134"/>
    </font>
    <font>
      <b/>
      <sz val="18"/>
      <name val="方正小标宋简体"/>
      <charset val="134"/>
    </font>
    <font>
      <sz val="10"/>
      <name val="宋体"/>
      <charset val="134"/>
    </font>
    <font>
      <sz val="12"/>
      <color indexed="10"/>
      <name val="宋体"/>
      <charset val="134"/>
    </font>
    <font>
      <b/>
      <sz val="18"/>
      <color indexed="10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color indexed="10"/>
      <name val="黑体"/>
      <charset val="134"/>
    </font>
    <font>
      <sz val="16"/>
      <name val="黑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10.5"/>
      <name val="Times New Roman"/>
      <charset val="134"/>
    </font>
    <font>
      <sz val="14"/>
      <name val="仿宋_GB2312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1"/>
      <name val="宋体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9"/>
      <name val="宋体"/>
      <charset val="134"/>
    </font>
    <font>
      <b/>
      <sz val="1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????"/>
      <charset val="134"/>
    </font>
    <font>
      <sz val="10"/>
      <name val="Helv"/>
      <charset val="134"/>
    </font>
    <font>
      <sz val="10"/>
      <name val="Geneva"/>
      <charset val="134"/>
    </font>
    <font>
      <sz val="11"/>
      <color indexed="8"/>
      <name val="宋体"/>
      <charset val="134"/>
    </font>
    <font>
      <sz val="12"/>
      <color indexed="8"/>
      <name val="楷体_GB2312"/>
      <charset val="134"/>
    </font>
    <font>
      <sz val="11"/>
      <color indexed="9"/>
      <name val="宋体"/>
      <charset val="134"/>
    </font>
    <font>
      <sz val="12"/>
      <color indexed="9"/>
      <name val="楷体_GB2312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8"/>
      <name val="Times New Roman"/>
      <charset val="134"/>
    </font>
    <font>
      <sz val="11"/>
      <color indexed="20"/>
      <name val="宋体"/>
      <charset val="134"/>
    </font>
    <font>
      <sz val="10"/>
      <color indexed="8"/>
      <name val="Arial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0"/>
      <name val="Times New Roman"/>
      <charset val="134"/>
    </font>
    <font>
      <sz val="12"/>
      <name val="Arial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8"/>
      <name val="Arial"/>
      <charset val="134"/>
    </font>
    <font>
      <b/>
      <sz val="12"/>
      <name val="Arial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name val="Arial"/>
      <charset val="134"/>
    </font>
    <font>
      <sz val="11"/>
      <color indexed="62"/>
      <name val="宋体"/>
      <charset val="134"/>
    </font>
    <font>
      <sz val="12"/>
      <name val="Helv"/>
      <charset val="134"/>
    </font>
    <font>
      <sz val="11"/>
      <color indexed="52"/>
      <name val="宋体"/>
      <charset val="134"/>
    </font>
    <font>
      <sz val="12"/>
      <color indexed="9"/>
      <name val="Helv"/>
      <charset val="134"/>
    </font>
    <font>
      <sz val="11"/>
      <color indexed="60"/>
      <name val="宋体"/>
      <charset val="134"/>
    </font>
    <font>
      <sz val="7"/>
      <name val="Small Fonts"/>
      <charset val="134"/>
    </font>
    <font>
      <sz val="10"/>
      <name val="Courier"/>
      <charset val="134"/>
    </font>
    <font>
      <b/>
      <sz val="11"/>
      <color indexed="63"/>
      <name val="宋体"/>
      <charset val="134"/>
    </font>
    <font>
      <b/>
      <sz val="10"/>
      <name val="MS Sans Serif"/>
      <charset val="134"/>
    </font>
    <font>
      <b/>
      <sz val="10"/>
      <name val="Arial"/>
      <charset val="134"/>
    </font>
    <font>
      <b/>
      <sz val="10"/>
      <name val="Tms Rmn"/>
      <charset val="134"/>
    </font>
    <font>
      <sz val="10"/>
      <color indexed="8"/>
      <name val="MS Sans Serif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楷体_GB2312"/>
      <charset val="134"/>
    </font>
    <font>
      <b/>
      <sz val="13"/>
      <color indexed="56"/>
      <name val="楷体_GB2312"/>
      <charset val="134"/>
    </font>
    <font>
      <b/>
      <sz val="11"/>
      <color indexed="56"/>
      <name val="楷体_GB2312"/>
      <charset val="134"/>
    </font>
    <font>
      <b/>
      <sz val="14"/>
      <name val="楷体"/>
      <charset val="134"/>
    </font>
    <font>
      <b/>
      <sz val="18"/>
      <color indexed="62"/>
      <name val="宋体"/>
      <charset val="134"/>
    </font>
    <font>
      <sz val="10"/>
      <name val="楷体"/>
      <charset val="134"/>
    </font>
    <font>
      <sz val="12"/>
      <color indexed="20"/>
      <name val="楷体_GB2312"/>
      <charset val="134"/>
    </font>
    <font>
      <sz val="12"/>
      <color indexed="20"/>
      <name val="宋体"/>
      <charset val="134"/>
    </font>
    <font>
      <sz val="10.5"/>
      <color indexed="20"/>
      <name val="宋体"/>
      <charset val="134"/>
    </font>
    <font>
      <sz val="12"/>
      <color indexed="16"/>
      <name val="宋体"/>
      <charset val="134"/>
    </font>
    <font>
      <sz val="10"/>
      <color indexed="20"/>
      <name val="宋体"/>
      <charset val="134"/>
    </font>
    <font>
      <b/>
      <sz val="9"/>
      <name val="Arial"/>
      <charset val="134"/>
    </font>
    <font>
      <sz val="12"/>
      <color indexed="17"/>
      <name val="楷体_GB2312"/>
      <charset val="134"/>
    </font>
    <font>
      <sz val="12"/>
      <color indexed="17"/>
      <name val="宋体"/>
      <charset val="134"/>
    </font>
    <font>
      <sz val="10.5"/>
      <color indexed="17"/>
      <name val="宋体"/>
      <charset val="134"/>
    </font>
    <font>
      <sz val="10"/>
      <color indexed="17"/>
      <name val="宋体"/>
      <charset val="134"/>
    </font>
    <font>
      <u/>
      <sz val="12"/>
      <color indexed="36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楷体_GB2312"/>
      <charset val="134"/>
    </font>
    <font>
      <b/>
      <sz val="12"/>
      <color indexed="52"/>
      <name val="楷体_GB2312"/>
      <charset val="134"/>
    </font>
    <font>
      <b/>
      <sz val="12"/>
      <color indexed="9"/>
      <name val="楷体_GB2312"/>
      <charset val="134"/>
    </font>
    <font>
      <i/>
      <sz val="12"/>
      <color indexed="23"/>
      <name val="楷体_GB2312"/>
      <charset val="134"/>
    </font>
    <font>
      <sz val="12"/>
      <color indexed="10"/>
      <name val="楷体_GB2312"/>
      <charset val="134"/>
    </font>
    <font>
      <sz val="12"/>
      <color indexed="52"/>
      <name val="楷体_GB2312"/>
      <charset val="134"/>
    </font>
    <font>
      <sz val="12"/>
      <name val="官帕眉"/>
      <charset val="134"/>
    </font>
    <font>
      <b/>
      <sz val="12"/>
      <color indexed="8"/>
      <name val="宋体"/>
      <charset val="134"/>
    </font>
    <font>
      <sz val="12"/>
      <color indexed="60"/>
      <name val="楷体_GB2312"/>
      <charset val="134"/>
    </font>
    <font>
      <b/>
      <sz val="12"/>
      <color indexed="63"/>
      <name val="楷体_GB2312"/>
      <charset val="134"/>
    </font>
    <font>
      <sz val="12"/>
      <color indexed="62"/>
      <name val="楷体_GB2312"/>
      <charset val="134"/>
    </font>
    <font>
      <sz val="12"/>
      <name val="Courier"/>
      <charset val="134"/>
    </font>
    <font>
      <sz val="10"/>
      <name val="MS Sans Serif"/>
      <charset val="134"/>
    </font>
    <font>
      <sz val="12"/>
      <name val="바탕체"/>
      <charset val="134"/>
    </font>
    <font>
      <vertAlign val="superscript"/>
      <sz val="12"/>
      <name val="宋体"/>
      <charset val="134"/>
    </font>
    <font>
      <b/>
      <sz val="12"/>
      <name val="Times New Roman"/>
      <charset val="134"/>
    </font>
  </fonts>
  <fills count="6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8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auto="1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5">
    <xf numFmtId="0" fontId="0" fillId="0" borderId="0"/>
    <xf numFmtId="43" fontId="0" fillId="0" borderId="0" applyFont="0" applyFill="0" applyBorder="0" applyAlignment="0" applyProtection="0"/>
    <xf numFmtId="44" fontId="2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3" borderId="62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3" applyNumberFormat="0" applyFill="0" applyAlignment="0" applyProtection="0">
      <alignment vertical="center"/>
    </xf>
    <xf numFmtId="0" fontId="35" fillId="0" borderId="63" applyNumberFormat="0" applyFill="0" applyAlignment="0" applyProtection="0">
      <alignment vertical="center"/>
    </xf>
    <xf numFmtId="0" fontId="36" fillId="0" borderId="6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" borderId="65" applyNumberFormat="0" applyAlignment="0" applyProtection="0">
      <alignment vertical="center"/>
    </xf>
    <xf numFmtId="0" fontId="38" fillId="5" borderId="66" applyNumberFormat="0" applyAlignment="0" applyProtection="0">
      <alignment vertical="center"/>
    </xf>
    <xf numFmtId="0" fontId="39" fillId="5" borderId="65" applyNumberFormat="0" applyAlignment="0" applyProtection="0">
      <alignment vertical="center"/>
    </xf>
    <xf numFmtId="0" fontId="40" fillId="6" borderId="67" applyNumberFormat="0" applyAlignment="0" applyProtection="0">
      <alignment vertical="center"/>
    </xf>
    <xf numFmtId="0" fontId="41" fillId="0" borderId="68" applyNumberFormat="0" applyFill="0" applyAlignment="0" applyProtection="0">
      <alignment vertical="center"/>
    </xf>
    <xf numFmtId="0" fontId="42" fillId="0" borderId="69" applyNumberFormat="0" applyFill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8" fillId="0" borderId="0"/>
    <xf numFmtId="0" fontId="49" fillId="0" borderId="0"/>
    <xf numFmtId="0" fontId="50" fillId="0" borderId="0"/>
    <xf numFmtId="49" fontId="0" fillId="0" borderId="0" applyFont="0" applyFill="0" applyBorder="0" applyAlignment="0" applyProtection="0"/>
    <xf numFmtId="0" fontId="25" fillId="0" borderId="0">
      <protection locked="0"/>
    </xf>
    <xf numFmtId="0" fontId="51" fillId="34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49" fillId="0" borderId="0">
      <protection locked="0"/>
    </xf>
    <xf numFmtId="0" fontId="55" fillId="48" borderId="0" applyNumberFormat="0" applyBorder="0" applyAlignment="0" applyProtection="0"/>
    <xf numFmtId="0" fontId="56" fillId="34" borderId="0" applyNumberFormat="0" applyBorder="0" applyAlignment="0" applyProtection="0"/>
    <xf numFmtId="0" fontId="55" fillId="40" borderId="0" applyNumberFormat="0" applyBorder="0" applyAlignment="0" applyProtection="0"/>
    <xf numFmtId="0" fontId="53" fillId="49" borderId="0" applyNumberFormat="0" applyBorder="0" applyAlignment="0" applyProtection="0">
      <alignment vertical="center"/>
    </xf>
    <xf numFmtId="0" fontId="55" fillId="50" borderId="0" applyNumberFormat="0" applyBorder="0" applyAlignment="0" applyProtection="0"/>
    <xf numFmtId="0" fontId="56" fillId="51" borderId="0" applyNumberFormat="0" applyBorder="0" applyAlignment="0" applyProtection="0"/>
    <xf numFmtId="0" fontId="56" fillId="52" borderId="0" applyNumberFormat="0" applyBorder="0" applyAlignment="0" applyProtection="0"/>
    <xf numFmtId="0" fontId="55" fillId="53" borderId="0" applyNumberFormat="0" applyBorder="0" applyAlignment="0" applyProtection="0"/>
    <xf numFmtId="0" fontId="53" fillId="54" borderId="0" applyNumberFormat="0" applyBorder="0" applyAlignment="0" applyProtection="0">
      <alignment vertical="center"/>
    </xf>
    <xf numFmtId="0" fontId="56" fillId="36" borderId="0" applyNumberFormat="0" applyBorder="0" applyAlignment="0" applyProtection="0"/>
    <xf numFmtId="0" fontId="55" fillId="52" borderId="0" applyNumberFormat="0" applyBorder="0" applyAlignment="0" applyProtection="0"/>
    <xf numFmtId="0" fontId="53" fillId="55" borderId="0" applyNumberFormat="0" applyBorder="0" applyAlignment="0" applyProtection="0">
      <alignment vertical="center"/>
    </xf>
    <xf numFmtId="0" fontId="55" fillId="46" borderId="0" applyNumberFormat="0" applyBorder="0" applyAlignment="0" applyProtection="0"/>
    <xf numFmtId="0" fontId="56" fillId="38" borderId="0" applyNumberFormat="0" applyBorder="0" applyAlignment="0" applyProtection="0"/>
    <xf numFmtId="0" fontId="55" fillId="47" borderId="0" applyNumberFormat="0" applyBorder="0" applyAlignment="0" applyProtection="0"/>
    <xf numFmtId="0" fontId="56" fillId="39" borderId="0" applyNumberFormat="0" applyBorder="0" applyAlignment="0" applyProtection="0"/>
    <xf numFmtId="0" fontId="55" fillId="39" borderId="0" applyNumberFormat="0" applyBorder="0" applyAlignment="0" applyProtection="0"/>
    <xf numFmtId="0" fontId="53" fillId="56" borderId="0" applyNumberFormat="0" applyBorder="0" applyAlignment="0" applyProtection="0">
      <alignment vertical="center"/>
    </xf>
    <xf numFmtId="0" fontId="57" fillId="0" borderId="0">
      <alignment horizontal="center" wrapText="1"/>
      <protection locked="0"/>
    </xf>
    <xf numFmtId="0" fontId="58" fillId="35" borderId="0" applyNumberFormat="0" applyBorder="0" applyAlignment="0" applyProtection="0">
      <alignment vertical="center"/>
    </xf>
    <xf numFmtId="176" fontId="59" fillId="0" borderId="0" applyFill="0" applyBorder="0" applyAlignment="0"/>
    <xf numFmtId="0" fontId="60" fillId="52" borderId="70" applyNumberFormat="0" applyAlignment="0" applyProtection="0">
      <alignment vertical="center"/>
    </xf>
    <xf numFmtId="0" fontId="61" fillId="53" borderId="71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top"/>
    </xf>
    <xf numFmtId="41" fontId="0" fillId="0" borderId="0" applyFont="0" applyFill="0" applyBorder="0" applyAlignment="0" applyProtection="0"/>
    <xf numFmtId="177" fontId="62" fillId="0" borderId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1" fontId="62" fillId="0" borderId="0"/>
    <xf numFmtId="0" fontId="63" fillId="0" borderId="0" applyProtection="0"/>
    <xf numFmtId="182" fontId="62" fillId="0" borderId="0"/>
    <xf numFmtId="0" fontId="64" fillId="0" borderId="0" applyNumberFormat="0" applyFill="0" applyBorder="0" applyAlignment="0" applyProtection="0">
      <alignment vertical="center"/>
    </xf>
    <xf numFmtId="2" fontId="63" fillId="0" borderId="0" applyProtection="0"/>
    <xf numFmtId="0" fontId="65" fillId="36" borderId="0" applyNumberFormat="0" applyBorder="0" applyAlignment="0" applyProtection="0">
      <alignment vertical="center"/>
    </xf>
    <xf numFmtId="0" fontId="66" fillId="52" borderId="0" applyNumberFormat="0" applyBorder="0" applyAlignment="0" applyProtection="0"/>
    <xf numFmtId="0" fontId="67" fillId="0" borderId="72" applyNumberFormat="0" applyAlignment="0" applyProtection="0">
      <alignment horizontal="left" vertical="center"/>
    </xf>
    <xf numFmtId="0" fontId="67" fillId="0" borderId="25">
      <alignment horizontal="left" vertical="center"/>
    </xf>
    <xf numFmtId="0" fontId="68" fillId="0" borderId="73" applyNumberFormat="0" applyFill="0" applyAlignment="0" applyProtection="0">
      <alignment vertical="center"/>
    </xf>
    <xf numFmtId="0" fontId="69" fillId="0" borderId="74" applyNumberFormat="0" applyFill="0" applyAlignment="0" applyProtection="0">
      <alignment vertical="center"/>
    </xf>
    <xf numFmtId="0" fontId="70" fillId="0" borderId="75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Protection="0"/>
    <xf numFmtId="0" fontId="67" fillId="0" borderId="0" applyProtection="0"/>
    <xf numFmtId="0" fontId="72" fillId="39" borderId="70" applyNumberFormat="0" applyAlignment="0" applyProtection="0">
      <alignment vertical="center"/>
    </xf>
    <xf numFmtId="0" fontId="66" fillId="51" borderId="18" applyNumberFormat="0" applyBorder="0" applyAlignment="0" applyProtection="0"/>
    <xf numFmtId="183" fontId="73" fillId="57" borderId="0"/>
    <xf numFmtId="0" fontId="74" fillId="0" borderId="76" applyNumberFormat="0" applyFill="0" applyAlignment="0" applyProtection="0">
      <alignment vertical="center"/>
    </xf>
    <xf numFmtId="183" fontId="75" fillId="58" borderId="0"/>
    <xf numFmtId="38" fontId="0" fillId="0" borderId="0" applyFont="0" applyFill="0" applyBorder="0" applyAlignment="0" applyProtection="0"/>
    <xf numFmtId="40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7" fontId="0" fillId="0" borderId="0" applyFont="0" applyFill="0" applyBorder="0" applyAlignment="0" applyProtection="0"/>
    <xf numFmtId="0" fontId="76" fillId="59" borderId="0" applyNumberFormat="0" applyBorder="0" applyAlignment="0" applyProtection="0">
      <alignment vertical="center"/>
    </xf>
    <xf numFmtId="0" fontId="62" fillId="0" borderId="0"/>
    <xf numFmtId="37" fontId="77" fillId="0" borderId="0"/>
    <xf numFmtId="0" fontId="73" fillId="0" borderId="0"/>
    <xf numFmtId="188" fontId="2" fillId="0" borderId="0"/>
    <xf numFmtId="189" fontId="78" fillId="0" borderId="0"/>
    <xf numFmtId="0" fontId="0" fillId="51" borderId="77" applyNumberFormat="0" applyFont="0" applyAlignment="0" applyProtection="0">
      <alignment vertical="center"/>
    </xf>
    <xf numFmtId="0" fontId="79" fillId="52" borderId="78" applyNumberFormat="0" applyAlignment="0" applyProtection="0">
      <alignment vertical="center"/>
    </xf>
    <xf numFmtId="14" fontId="57" fillId="0" borderId="0">
      <alignment horizontal="center" wrapText="1"/>
      <protection locked="0"/>
    </xf>
    <xf numFmtId="10" fontId="0" fillId="0" borderId="0" applyFont="0" applyFill="0" applyBorder="0" applyAlignment="0" applyProtection="0"/>
    <xf numFmtId="190" fontId="0" fillId="0" borderId="0" applyFont="0" applyFill="0" applyProtection="0"/>
    <xf numFmtId="0" fontId="0" fillId="0" borderId="0" applyNumberFormat="0" applyFont="0" applyFill="0" applyBorder="0" applyAlignment="0" applyProtection="0">
      <alignment horizontal="left"/>
    </xf>
    <xf numFmtId="15" fontId="0" fillId="0" borderId="0" applyFont="0" applyFill="0" applyBorder="0" applyAlignment="0" applyProtection="0"/>
    <xf numFmtId="4" fontId="0" fillId="0" borderId="0" applyFont="0" applyFill="0" applyBorder="0" applyAlignment="0" applyProtection="0"/>
    <xf numFmtId="0" fontId="80" fillId="0" borderId="1">
      <alignment horizontal="center"/>
    </xf>
    <xf numFmtId="3" fontId="0" fillId="0" borderId="0" applyFont="0" applyFill="0" applyBorder="0" applyAlignment="0" applyProtection="0"/>
    <xf numFmtId="0" fontId="0" fillId="60" borderId="0" applyNumberFormat="0" applyFont="0" applyBorder="0" applyAlignment="0" applyProtection="0"/>
    <xf numFmtId="0" fontId="81" fillId="0" borderId="0" applyNumberFormat="0" applyFill="0" applyBorder="0" applyAlignment="0" applyProtection="0"/>
    <xf numFmtId="0" fontId="82" fillId="61" borderId="5">
      <protection locked="0"/>
    </xf>
    <xf numFmtId="0" fontId="83" fillId="0" borderId="0"/>
    <xf numFmtId="0" fontId="84" fillId="0" borderId="0" applyNumberFormat="0" applyFill="0" applyBorder="0" applyAlignment="0" applyProtection="0">
      <alignment vertical="center"/>
    </xf>
    <xf numFmtId="0" fontId="63" fillId="0" borderId="79" applyProtection="0"/>
    <xf numFmtId="0" fontId="8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91" fontId="0" fillId="0" borderId="0" applyFont="0" applyFill="0" applyBorder="0" applyAlignment="0" applyProtection="0"/>
    <xf numFmtId="192" fontId="0" fillId="0" borderId="0" applyFont="0" applyFill="0" applyBorder="0" applyAlignment="0" applyProtection="0"/>
    <xf numFmtId="0" fontId="2" fillId="0" borderId="7" applyNumberFormat="0" applyFill="0" applyProtection="0">
      <alignment horizontal="right"/>
    </xf>
    <xf numFmtId="0" fontId="86" fillId="0" borderId="73" applyNumberFormat="0" applyFill="0" applyAlignment="0" applyProtection="0">
      <alignment vertical="center"/>
    </xf>
    <xf numFmtId="0" fontId="87" fillId="0" borderId="74" applyNumberFormat="0" applyFill="0" applyAlignment="0" applyProtection="0">
      <alignment vertical="center"/>
    </xf>
    <xf numFmtId="0" fontId="88" fillId="0" borderId="75" applyNumberFormat="0" applyFill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9" fillId="0" borderId="7" applyNumberFormat="0" applyFill="0" applyProtection="0">
      <alignment horizontal="center"/>
    </xf>
    <xf numFmtId="0" fontId="90" fillId="0" borderId="0" applyNumberFormat="0" applyFill="0" applyBorder="0" applyAlignment="0" applyProtection="0"/>
    <xf numFmtId="0" fontId="91" fillId="0" borderId="2" applyNumberFormat="0" applyFill="0" applyProtection="0">
      <alignment horizontal="center"/>
    </xf>
    <xf numFmtId="0" fontId="92" fillId="35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95" fillId="35" borderId="0" applyNumberFormat="0" applyBorder="0" applyAlignment="0" applyProtection="0"/>
    <xf numFmtId="0" fontId="94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6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36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9" fillId="36" borderId="0" applyNumberFormat="0" applyBorder="0" applyAlignment="0" applyProtection="0"/>
    <xf numFmtId="0" fontId="100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top"/>
      <protection locked="0"/>
    </xf>
    <xf numFmtId="0" fontId="103" fillId="0" borderId="80" applyNumberFormat="0" applyFill="0" applyAlignment="0" applyProtection="0">
      <alignment vertical="center"/>
    </xf>
    <xf numFmtId="0" fontId="104" fillId="0" borderId="80" applyNumberFormat="0" applyFill="0" applyAlignment="0" applyProtection="0">
      <alignment vertical="center"/>
    </xf>
    <xf numFmtId="0" fontId="105" fillId="52" borderId="70" applyNumberFormat="0" applyAlignment="0" applyProtection="0">
      <alignment vertical="center"/>
    </xf>
    <xf numFmtId="0" fontId="106" fillId="53" borderId="71" applyNumberFormat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91" fillId="0" borderId="2" applyNumberFormat="0" applyFill="0" applyProtection="0">
      <alignment horizontal="left"/>
    </xf>
    <xf numFmtId="0" fontId="108" fillId="0" borderId="0" applyNumberFormat="0" applyFill="0" applyBorder="0" applyAlignment="0" applyProtection="0">
      <alignment vertical="center"/>
    </xf>
    <xf numFmtId="0" fontId="109" fillId="0" borderId="76" applyNumberFormat="0" applyFill="0" applyAlignment="0" applyProtection="0">
      <alignment vertical="center"/>
    </xf>
    <xf numFmtId="193" fontId="0" fillId="0" borderId="0" applyFont="0" applyFill="0" applyBorder="0" applyAlignment="0" applyProtection="0"/>
    <xf numFmtId="194" fontId="0" fillId="0" borderId="0" applyFont="0" applyFill="0" applyBorder="0" applyAlignment="0" applyProtection="0"/>
    <xf numFmtId="195" fontId="0" fillId="0" borderId="0" applyFont="0" applyFill="0" applyBorder="0" applyAlignment="0" applyProtection="0"/>
    <xf numFmtId="196" fontId="0" fillId="0" borderId="0" applyFont="0" applyFill="0" applyBorder="0" applyAlignment="0" applyProtection="0"/>
    <xf numFmtId="19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0" fillId="0" borderId="0"/>
    <xf numFmtId="0" fontId="111" fillId="62" borderId="0" applyNumberFormat="0" applyBorder="0" applyAlignment="0" applyProtection="0"/>
    <xf numFmtId="0" fontId="111" fillId="63" borderId="0" applyNumberFormat="0" applyBorder="0" applyAlignment="0" applyProtection="0"/>
    <xf numFmtId="0" fontId="111" fillId="64" borderId="0" applyNumberFormat="0" applyBorder="0" applyAlignment="0" applyProtection="0"/>
    <xf numFmtId="0" fontId="54" fillId="49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198" fontId="2" fillId="0" borderId="2" applyFill="0" applyProtection="0">
      <alignment horizontal="right"/>
    </xf>
    <xf numFmtId="0" fontId="2" fillId="0" borderId="7" applyNumberFormat="0" applyFill="0" applyProtection="0">
      <alignment horizontal="left"/>
    </xf>
    <xf numFmtId="0" fontId="112" fillId="59" borderId="0" applyNumberFormat="0" applyBorder="0" applyAlignment="0" applyProtection="0">
      <alignment vertical="center"/>
    </xf>
    <xf numFmtId="0" fontId="113" fillId="52" borderId="78" applyNumberFormat="0" applyAlignment="0" applyProtection="0">
      <alignment vertical="center"/>
    </xf>
    <xf numFmtId="0" fontId="114" fillId="39" borderId="70" applyNumberFormat="0" applyAlignment="0" applyProtection="0">
      <alignment vertical="center"/>
    </xf>
    <xf numFmtId="1" fontId="2" fillId="0" borderId="2" applyFill="0" applyProtection="0">
      <alignment horizontal="center"/>
    </xf>
    <xf numFmtId="1" fontId="23" fillId="0" borderId="18">
      <alignment vertical="center"/>
      <protection locked="0"/>
    </xf>
    <xf numFmtId="0" fontId="115" fillId="0" borderId="0"/>
    <xf numFmtId="199" fontId="23" fillId="0" borderId="18">
      <alignment vertical="center"/>
      <protection locked="0"/>
    </xf>
    <xf numFmtId="0" fontId="2" fillId="0" borderId="0"/>
    <xf numFmtId="0" fontId="116" fillId="0" borderId="0"/>
    <xf numFmtId="0" fontId="117" fillId="0" borderId="0"/>
  </cellStyleXfs>
  <cellXfs count="7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right"/>
    </xf>
    <xf numFmtId="189" fontId="0" fillId="0" borderId="2" xfId="148" applyFont="1" applyFill="1" applyBorder="1" applyAlignment="1">
      <alignment horizontal="center" vertical="center"/>
    </xf>
    <xf numFmtId="189" fontId="0" fillId="0" borderId="3" xfId="148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00" fontId="0" fillId="0" borderId="5" xfId="0" applyNumberFormat="1" applyFont="1" applyFill="1" applyBorder="1" applyAlignment="1">
      <alignment horizontal="right" vertical="center"/>
    </xf>
    <xf numFmtId="201" fontId="0" fillId="0" borderId="6" xfId="148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01" fontId="0" fillId="0" borderId="0" xfId="148" applyNumberFormat="1" applyFont="1" applyFill="1" applyBorder="1" applyAlignment="1">
      <alignment horizontal="right" vertical="center"/>
    </xf>
    <xf numFmtId="0" fontId="5" fillId="0" borderId="4" xfId="0" applyNumberFormat="1" applyFont="1" applyBorder="1" applyAlignment="1">
      <alignment horizontal="center"/>
    </xf>
    <xf numFmtId="0" fontId="0" fillId="0" borderId="4" xfId="0" applyNumberFormat="1" applyBorder="1"/>
    <xf numFmtId="0" fontId="0" fillId="0" borderId="0" xfId="0" applyNumberFormat="1" applyBorder="1"/>
    <xf numFmtId="200" fontId="0" fillId="0" borderId="4" xfId="0" applyNumberFormat="1" applyFont="1" applyFill="1" applyBorder="1" applyAlignment="1">
      <alignment horizontal="right" vertical="center"/>
    </xf>
    <xf numFmtId="200" fontId="0" fillId="0" borderId="0" xfId="0" applyNumberFormat="1" applyFont="1" applyFill="1" applyBorder="1" applyAlignment="1">
      <alignment horizontal="right" vertical="center"/>
    </xf>
    <xf numFmtId="201" fontId="0" fillId="0" borderId="5" xfId="0" applyNumberFormat="1" applyBorder="1"/>
    <xf numFmtId="201" fontId="0" fillId="0" borderId="0" xfId="0" applyNumberFormat="1" applyBorder="1"/>
    <xf numFmtId="0" fontId="5" fillId="0" borderId="2" xfId="0" applyNumberFormat="1" applyFont="1" applyBorder="1" applyAlignment="1">
      <alignment horizontal="center"/>
    </xf>
    <xf numFmtId="201" fontId="0" fillId="0" borderId="7" xfId="0" applyNumberFormat="1" applyBorder="1"/>
    <xf numFmtId="201" fontId="0" fillId="0" borderId="3" xfId="0" applyNumberFormat="1" applyBorder="1"/>
    <xf numFmtId="0" fontId="6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202" fontId="0" fillId="0" borderId="5" xfId="0" applyNumberFormat="1" applyFont="1" applyBorder="1" applyAlignment="1">
      <alignment horizontal="right" vertical="center"/>
    </xf>
    <xf numFmtId="203" fontId="0" fillId="0" borderId="5" xfId="0" applyNumberFormat="1" applyFont="1" applyBorder="1" applyAlignment="1">
      <alignment horizontal="right" vertical="center"/>
    </xf>
    <xf numFmtId="201" fontId="0" fillId="0" borderId="6" xfId="0" applyNumberFormat="1" applyFont="1" applyBorder="1" applyAlignment="1">
      <alignment horizontal="right" vertical="center"/>
    </xf>
    <xf numFmtId="201" fontId="0" fillId="0" borderId="6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201" fontId="0" fillId="0" borderId="0" xfId="0" applyNumberFormat="1" applyFont="1" applyFill="1" applyBorder="1" applyAlignment="1">
      <alignment horizontal="right" vertical="center"/>
    </xf>
    <xf numFmtId="203" fontId="0" fillId="0" borderId="4" xfId="0" applyNumberFormat="1" applyFont="1" applyBorder="1" applyAlignment="1">
      <alignment horizontal="right" vertical="center"/>
    </xf>
    <xf numFmtId="201" fontId="0" fillId="0" borderId="0" xfId="0" applyNumberFormat="1" applyBorder="1" applyAlignment="1">
      <alignment horizontal="right"/>
    </xf>
    <xf numFmtId="203" fontId="0" fillId="0" borderId="4" xfId="0" applyNumberFormat="1" applyBorder="1"/>
    <xf numFmtId="201" fontId="0" fillId="0" borderId="0" xfId="252" applyNumberFormat="1" applyFont="1" applyFill="1" applyBorder="1" applyAlignment="1">
      <alignment horizontal="right" vertical="center"/>
    </xf>
    <xf numFmtId="203" fontId="0" fillId="0" borderId="7" xfId="0" applyNumberFormat="1" applyFont="1" applyBorder="1" applyAlignment="1">
      <alignment horizontal="right" vertical="center"/>
    </xf>
    <xf numFmtId="201" fontId="0" fillId="0" borderId="3" xfId="25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202" fontId="0" fillId="0" borderId="4" xfId="0" applyNumberFormat="1" applyFont="1" applyBorder="1" applyAlignment="1">
      <alignment horizontal="right" vertical="center"/>
    </xf>
    <xf numFmtId="0" fontId="0" fillId="0" borderId="5" xfId="0" applyNumberFormat="1" applyBorder="1"/>
    <xf numFmtId="0" fontId="0" fillId="0" borderId="7" xfId="0" applyNumberFormat="1" applyBorder="1"/>
    <xf numFmtId="0" fontId="0" fillId="0" borderId="0" xfId="0" applyFont="1"/>
    <xf numFmtId="0" fontId="4" fillId="0" borderId="0" xfId="0" applyFont="1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0" fillId="0" borderId="0" xfId="0" applyFont="1" applyFill="1" applyAlignment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0" xfId="0" applyFont="1" applyBorder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200" fontId="0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 wrapText="1"/>
    </xf>
    <xf numFmtId="201" fontId="0" fillId="0" borderId="0" xfId="0" applyNumberFormat="1" applyBorder="1" applyAlignment="1">
      <alignment vertical="center"/>
    </xf>
    <xf numFmtId="202" fontId="0" fillId="0" borderId="2" xfId="0" applyNumberFormat="1" applyFont="1" applyBorder="1" applyAlignment="1">
      <alignment horizontal="right" vertical="center"/>
    </xf>
    <xf numFmtId="201" fontId="0" fillId="0" borderId="3" xfId="0" applyNumberFormat="1" applyBorder="1" applyAlignment="1">
      <alignment vertical="center"/>
    </xf>
    <xf numFmtId="0" fontId="0" fillId="0" borderId="1" xfId="0" applyFont="1" applyBorder="1" applyAlignment="1">
      <alignment horizontal="center"/>
    </xf>
    <xf numFmtId="202" fontId="0" fillId="0" borderId="5" xfId="302" applyNumberFormat="1" applyFont="1" applyBorder="1" applyAlignment="1">
      <alignment horizontal="right" vertical="center"/>
    </xf>
    <xf numFmtId="202" fontId="0" fillId="0" borderId="5" xfId="302" applyNumberFormat="1" applyFont="1" applyBorder="1" applyAlignment="1">
      <alignment horizontal="right" vertical="center" wrapText="1"/>
    </xf>
    <xf numFmtId="201" fontId="0" fillId="0" borderId="6" xfId="148" applyNumberFormat="1" applyFont="1" applyFill="1" applyBorder="1" applyAlignment="1">
      <alignment horizontal="right" vertical="center" wrapText="1"/>
    </xf>
    <xf numFmtId="204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5" fillId="0" borderId="4" xfId="0" applyNumberFormat="1" applyFont="1" applyBorder="1" applyAlignment="1">
      <alignment horizontal="center" vertical="center"/>
    </xf>
    <xf numFmtId="0" fontId="0" fillId="0" borderId="5" xfId="0" applyNumberFormat="1" applyBorder="1" applyAlignment="1">
      <alignment wrapText="1"/>
    </xf>
    <xf numFmtId="0" fontId="0" fillId="0" borderId="6" xfId="0" applyNumberFormat="1" applyBorder="1" applyAlignment="1">
      <alignment wrapText="1"/>
    </xf>
    <xf numFmtId="201" fontId="0" fillId="0" borderId="6" xfId="0" applyNumberFormat="1" applyBorder="1" applyAlignment="1">
      <alignment wrapText="1"/>
    </xf>
    <xf numFmtId="0" fontId="5" fillId="0" borderId="6" xfId="0" applyNumberFormat="1" applyFont="1" applyBorder="1" applyAlignment="1">
      <alignment horizontal="center" vertical="center"/>
    </xf>
    <xf numFmtId="205" fontId="0" fillId="0" borderId="5" xfId="0" applyNumberFormat="1" applyBorder="1" applyAlignment="1">
      <alignment wrapText="1"/>
    </xf>
    <xf numFmtId="0" fontId="0" fillId="0" borderId="0" xfId="0" applyNumberFormat="1" applyBorder="1" applyAlignment="1">
      <alignment wrapText="1"/>
    </xf>
    <xf numFmtId="201" fontId="0" fillId="0" borderId="0" xfId="0" applyNumberFormat="1" applyBorder="1" applyAlignment="1">
      <alignment wrapText="1"/>
    </xf>
    <xf numFmtId="205" fontId="0" fillId="0" borderId="4" xfId="0" applyNumberFormat="1" applyBorder="1"/>
    <xf numFmtId="205" fontId="0" fillId="0" borderId="11" xfId="0" applyNumberFormat="1" applyBorder="1"/>
    <xf numFmtId="201" fontId="0" fillId="0" borderId="12" xfId="0" applyNumberFormat="1" applyBorder="1"/>
    <xf numFmtId="202" fontId="0" fillId="0" borderId="5" xfId="0" applyNumberFormat="1" applyFont="1" applyFill="1" applyBorder="1" applyAlignment="1">
      <alignment horizontal="right" vertical="center"/>
    </xf>
    <xf numFmtId="200" fontId="0" fillId="0" borderId="6" xfId="0" applyNumberFormat="1" applyFont="1" applyFill="1" applyBorder="1" applyAlignment="1">
      <alignment horizontal="right" vertical="center"/>
    </xf>
    <xf numFmtId="0" fontId="0" fillId="0" borderId="4" xfId="0" applyBorder="1"/>
    <xf numFmtId="0" fontId="0" fillId="0" borderId="6" xfId="0" applyBorder="1"/>
    <xf numFmtId="0" fontId="5" fillId="0" borderId="0" xfId="0" applyNumberFormat="1" applyFont="1" applyBorder="1" applyAlignment="1">
      <alignment horizontal="center" vertical="center"/>
    </xf>
    <xf numFmtId="0" fontId="0" fillId="2" borderId="7" xfId="0" applyFont="1" applyFill="1" applyBorder="1" applyAlignment="1">
      <alignment horizontal="right" vertical="center"/>
    </xf>
    <xf numFmtId="201" fontId="0" fillId="2" borderId="13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horizontal="center" vertical="center"/>
    </xf>
    <xf numFmtId="201" fontId="10" fillId="0" borderId="0" xfId="0" applyNumberFormat="1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201" fontId="11" fillId="0" borderId="0" xfId="0" applyNumberFormat="1" applyFont="1" applyAlignment="1">
      <alignment vertical="center"/>
    </xf>
    <xf numFmtId="0" fontId="11" fillId="0" borderId="0" xfId="0" applyFont="1" applyAlignment="1">
      <alignment horizontal="right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201" fontId="12" fillId="0" borderId="15" xfId="0" applyNumberFormat="1" applyFont="1" applyBorder="1" applyAlignment="1">
      <alignment horizontal="center" vertical="center"/>
    </xf>
    <xf numFmtId="201" fontId="12" fillId="0" borderId="16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201" fontId="12" fillId="0" borderId="18" xfId="0" applyNumberFormat="1" applyFont="1" applyBorder="1" applyAlignment="1">
      <alignment horizontal="center" vertical="center" wrapText="1"/>
    </xf>
    <xf numFmtId="201" fontId="12" fillId="0" borderId="19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201" fontId="11" fillId="0" borderId="5" xfId="0" applyNumberFormat="1" applyFont="1" applyBorder="1" applyAlignment="1">
      <alignment horizontal="center" vertical="center" wrapText="1"/>
    </xf>
    <xf numFmtId="201" fontId="11" fillId="0" borderId="6" xfId="0" applyNumberFormat="1" applyFont="1" applyBorder="1" applyAlignment="1">
      <alignment horizontal="center" vertical="center" wrapText="1"/>
    </xf>
    <xf numFmtId="203" fontId="11" fillId="0" borderId="0" xfId="0" applyNumberFormat="1" applyFont="1" applyAlignment="1">
      <alignment vertical="center" wrapText="1"/>
    </xf>
    <xf numFmtId="201" fontId="11" fillId="0" borderId="5" xfId="0" applyNumberFormat="1" applyFont="1" applyBorder="1" applyAlignment="1">
      <alignment horizontal="right" vertical="center" wrapText="1"/>
    </xf>
    <xf numFmtId="201" fontId="11" fillId="0" borderId="6" xfId="0" applyNumberFormat="1" applyFont="1" applyBorder="1" applyAlignment="1">
      <alignment horizontal="right" vertical="center" wrapText="1"/>
    </xf>
    <xf numFmtId="203" fontId="11" fillId="0" borderId="4" xfId="0" applyNumberFormat="1" applyFont="1" applyBorder="1" applyAlignment="1">
      <alignment vertical="center" wrapText="1"/>
    </xf>
    <xf numFmtId="203" fontId="11" fillId="0" borderId="5" xfId="0" applyNumberFormat="1" applyFont="1" applyBorder="1" applyAlignment="1">
      <alignment vertical="center" wrapText="1"/>
    </xf>
    <xf numFmtId="201" fontId="11" fillId="0" borderId="6" xfId="0" applyNumberFormat="1" applyFont="1" applyBorder="1" applyAlignment="1">
      <alignment vertical="center" wrapText="1"/>
    </xf>
    <xf numFmtId="201" fontId="11" fillId="0" borderId="5" xfId="0" applyNumberFormat="1" applyFont="1" applyBorder="1" applyAlignment="1">
      <alignment vertical="center" wrapText="1"/>
    </xf>
    <xf numFmtId="201" fontId="12" fillId="0" borderId="18" xfId="0" applyNumberFormat="1" applyFont="1" applyBorder="1" applyAlignment="1">
      <alignment horizontal="center" vertical="center"/>
    </xf>
    <xf numFmtId="201" fontId="12" fillId="0" borderId="19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03" fontId="11" fillId="0" borderId="20" xfId="0" applyNumberFormat="1" applyFont="1" applyBorder="1" applyAlignment="1">
      <alignment horizontal="right" vertical="center" wrapText="1"/>
    </xf>
    <xf numFmtId="201" fontId="11" fillId="0" borderId="20" xfId="0" applyNumberFormat="1" applyFont="1" applyBorder="1" applyAlignment="1">
      <alignment horizontal="right" vertical="center" wrapText="1"/>
    </xf>
    <xf numFmtId="201" fontId="11" fillId="0" borderId="21" xfId="0" applyNumberFormat="1" applyFont="1" applyBorder="1" applyAlignment="1">
      <alignment horizontal="right" vertical="center" wrapText="1"/>
    </xf>
    <xf numFmtId="203" fontId="11" fillId="0" borderId="20" xfId="0" applyNumberFormat="1" applyFont="1" applyBorder="1" applyAlignment="1">
      <alignment vertical="center" wrapText="1"/>
    </xf>
    <xf numFmtId="201" fontId="11" fillId="0" borderId="20" xfId="0" applyNumberFormat="1" applyFont="1" applyBorder="1" applyAlignment="1">
      <alignment vertical="center" wrapText="1"/>
    </xf>
    <xf numFmtId="201" fontId="11" fillId="0" borderId="21" xfId="0" applyNumberFormat="1" applyFont="1" applyBorder="1" applyAlignment="1">
      <alignment vertical="center" wrapText="1"/>
    </xf>
    <xf numFmtId="203" fontId="11" fillId="0" borderId="20" xfId="0" applyNumberFormat="1" applyFont="1" applyBorder="1" applyAlignment="1">
      <alignment vertical="center"/>
    </xf>
    <xf numFmtId="201" fontId="11" fillId="0" borderId="21" xfId="0" applyNumberFormat="1" applyFont="1" applyBorder="1" applyAlignment="1">
      <alignment vertical="center"/>
    </xf>
    <xf numFmtId="201" fontId="11" fillId="0" borderId="21" xfId="0" applyNumberFormat="1" applyFont="1" applyBorder="1" applyAlignment="1">
      <alignment horizontal="right" vertical="center"/>
    </xf>
    <xf numFmtId="203" fontId="0" fillId="0" borderId="0" xfId="0" applyNumberFormat="1"/>
    <xf numFmtId="0" fontId="11" fillId="0" borderId="1" xfId="0" applyFont="1" applyBorder="1" applyAlignment="1">
      <alignment horizontal="center" vertical="center"/>
    </xf>
    <xf numFmtId="203" fontId="11" fillId="0" borderId="22" xfId="0" applyNumberFormat="1" applyFont="1" applyBorder="1" applyAlignment="1">
      <alignment vertical="center" wrapText="1"/>
    </xf>
    <xf numFmtId="201" fontId="11" fillId="0" borderId="22" xfId="0" applyNumberFormat="1" applyFont="1" applyBorder="1" applyAlignment="1">
      <alignment vertical="center" wrapText="1"/>
    </xf>
    <xf numFmtId="203" fontId="11" fillId="0" borderId="22" xfId="0" applyNumberFormat="1" applyFont="1" applyBorder="1" applyAlignment="1">
      <alignment vertical="center"/>
    </xf>
    <xf numFmtId="201" fontId="11" fillId="0" borderId="23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201" fontId="10" fillId="0" borderId="0" xfId="0" applyNumberFormat="1" applyFont="1" applyFill="1" applyAlignment="1">
      <alignment horizontal="center" vertical="center" wrapText="1"/>
    </xf>
    <xf numFmtId="201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201" fontId="12" fillId="0" borderId="15" xfId="0" applyNumberFormat="1" applyFont="1" applyBorder="1" applyAlignment="1">
      <alignment horizontal="center" vertical="center" wrapText="1"/>
    </xf>
    <xf numFmtId="201" fontId="12" fillId="0" borderId="16" xfId="0" applyNumberFormat="1" applyFont="1" applyBorder="1" applyAlignment="1">
      <alignment horizontal="center" vertical="center" wrapText="1"/>
    </xf>
    <xf numFmtId="201" fontId="11" fillId="0" borderId="0" xfId="0" applyNumberFormat="1" applyFont="1" applyAlignment="1">
      <alignment vertical="center" wrapText="1"/>
    </xf>
    <xf numFmtId="201" fontId="11" fillId="0" borderId="4" xfId="0" applyNumberFormat="1" applyFont="1" applyBorder="1" applyAlignment="1">
      <alignment vertical="center" wrapText="1"/>
    </xf>
    <xf numFmtId="201" fontId="11" fillId="0" borderId="23" xfId="0" applyNumberFormat="1" applyFont="1" applyBorder="1" applyAlignment="1">
      <alignment horizontal="right" vertical="center" wrapText="1"/>
    </xf>
    <xf numFmtId="201" fontId="0" fillId="0" borderId="0" xfId="0" applyNumberFormat="1" applyAlignment="1">
      <alignment vertical="center"/>
    </xf>
    <xf numFmtId="201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201" fontId="11" fillId="0" borderId="0" xfId="0" applyNumberFormat="1" applyFont="1" applyAlignment="1">
      <alignment horizontal="right" vertical="center"/>
    </xf>
    <xf numFmtId="0" fontId="11" fillId="0" borderId="20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11" fillId="0" borderId="20" xfId="0" applyFont="1" applyBorder="1" applyAlignment="1">
      <alignment horizontal="center" vertical="center" wrapText="1"/>
    </xf>
    <xf numFmtId="201" fontId="11" fillId="0" borderId="20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right" vertical="center"/>
    </xf>
    <xf numFmtId="0" fontId="11" fillId="0" borderId="20" xfId="0" applyFont="1" applyBorder="1" applyAlignment="1">
      <alignment horizontal="center" vertical="center"/>
    </xf>
    <xf numFmtId="201" fontId="11" fillId="0" borderId="21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2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0" borderId="5" xfId="0" applyBorder="1"/>
    <xf numFmtId="0" fontId="0" fillId="0" borderId="0" xfId="0" applyFont="1" applyBorder="1" applyAlignment="1">
      <alignment horizontal="right" vertical="center"/>
    </xf>
    <xf numFmtId="201" fontId="0" fillId="0" borderId="6" xfId="0" applyNumberFormat="1" applyBorder="1"/>
    <xf numFmtId="201" fontId="0" fillId="0" borderId="6" xfId="0" applyNumberFormat="1" applyFill="1" applyBorder="1"/>
    <xf numFmtId="0" fontId="5" fillId="0" borderId="0" xfId="0" applyFont="1" applyBorder="1" applyAlignment="1">
      <alignment horizontal="center"/>
    </xf>
    <xf numFmtId="201" fontId="0" fillId="0" borderId="0" xfId="0" applyNumberFormat="1"/>
    <xf numFmtId="0" fontId="5" fillId="0" borderId="0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0" fillId="0" borderId="0" xfId="254" applyFont="1" applyFill="1">
      <alignment vertical="center"/>
    </xf>
    <xf numFmtId="0" fontId="0" fillId="0" borderId="0" xfId="254" applyFill="1" applyAlignment="1">
      <alignment horizontal="center" vertical="center"/>
    </xf>
    <xf numFmtId="0" fontId="0" fillId="0" borderId="0" xfId="254" applyFill="1">
      <alignment vertical="center"/>
    </xf>
    <xf numFmtId="0" fontId="3" fillId="0" borderId="0" xfId="254" applyFont="1" applyFill="1" applyBorder="1" applyAlignment="1">
      <alignment horizontal="center" vertical="center"/>
    </xf>
    <xf numFmtId="0" fontId="5" fillId="0" borderId="24" xfId="254" applyFont="1" applyFill="1" applyBorder="1" applyAlignment="1">
      <alignment horizontal="center" vertical="center"/>
    </xf>
    <xf numFmtId="0" fontId="0" fillId="0" borderId="18" xfId="254" applyFont="1" applyFill="1" applyBorder="1" applyAlignment="1">
      <alignment horizontal="center" vertical="center" wrapText="1"/>
    </xf>
    <xf numFmtId="0" fontId="0" fillId="0" borderId="25" xfId="254" applyFont="1" applyFill="1" applyBorder="1" applyAlignment="1">
      <alignment horizontal="center" vertical="center" wrapText="1"/>
    </xf>
    <xf numFmtId="0" fontId="0" fillId="0" borderId="19" xfId="254" applyFont="1" applyFill="1" applyBorder="1" applyAlignment="1">
      <alignment horizontal="center" vertical="center" wrapText="1"/>
    </xf>
    <xf numFmtId="0" fontId="0" fillId="0" borderId="0" xfId="254" applyFont="1" applyFill="1" applyAlignment="1">
      <alignment horizontal="center" vertical="center"/>
    </xf>
    <xf numFmtId="0" fontId="0" fillId="0" borderId="0" xfId="254" applyFill="1" applyBorder="1" applyAlignment="1">
      <alignment horizontal="center" vertical="center"/>
    </xf>
    <xf numFmtId="0" fontId="0" fillId="0" borderId="26" xfId="254" applyFont="1" applyFill="1" applyBorder="1" applyAlignment="1" applyProtection="1">
      <alignment horizontal="center" vertical="center"/>
    </xf>
    <xf numFmtId="205" fontId="0" fillId="0" borderId="6" xfId="254" applyNumberFormat="1" applyFont="1" applyFill="1" applyBorder="1" applyAlignment="1" applyProtection="1">
      <alignment horizontal="right" vertical="center"/>
    </xf>
    <xf numFmtId="202" fontId="0" fillId="0" borderId="27" xfId="148" applyNumberFormat="1" applyFont="1" applyFill="1" applyBorder="1" applyAlignment="1">
      <alignment horizontal="right" vertical="center"/>
    </xf>
    <xf numFmtId="202" fontId="0" fillId="0" borderId="0" xfId="148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/>
    </xf>
    <xf numFmtId="0" fontId="15" fillId="0" borderId="0" xfId="0" applyFont="1"/>
    <xf numFmtId="206" fontId="0" fillId="0" borderId="28" xfId="148" applyNumberFormat="1" applyFont="1" applyFill="1" applyBorder="1" applyAlignment="1">
      <alignment horizontal="right" vertical="center"/>
    </xf>
    <xf numFmtId="201" fontId="0" fillId="0" borderId="6" xfId="254" applyNumberFormat="1" applyFont="1" applyFill="1" applyBorder="1" applyAlignment="1" applyProtection="1">
      <alignment horizontal="right" vertical="center"/>
    </xf>
    <xf numFmtId="203" fontId="0" fillId="0" borderId="0" xfId="254" applyNumberFormat="1" applyFill="1" applyAlignment="1">
      <alignment horizontal="center" vertical="center"/>
    </xf>
    <xf numFmtId="0" fontId="16" fillId="0" borderId="0" xfId="254" applyFont="1" applyBorder="1" applyAlignment="1">
      <alignment horizontal="right" vertical="center" wrapText="1"/>
    </xf>
    <xf numFmtId="205" fontId="0" fillId="0" borderId="29" xfId="254" applyNumberFormat="1" applyFont="1" applyFill="1" applyBorder="1" applyAlignment="1" applyProtection="1">
      <alignment horizontal="right" vertical="center"/>
    </xf>
    <xf numFmtId="0" fontId="0" fillId="0" borderId="0" xfId="257">
      <alignment vertical="center"/>
    </xf>
    <xf numFmtId="201" fontId="0" fillId="0" borderId="0" xfId="254" applyNumberFormat="1" applyFill="1" applyAlignment="1">
      <alignment horizontal="center" vertical="center"/>
    </xf>
    <xf numFmtId="201" fontId="17" fillId="0" borderId="0" xfId="148" applyNumberFormat="1" applyFont="1" applyFill="1" applyBorder="1" applyAlignment="1">
      <alignment horizontal="right" vertical="center"/>
    </xf>
    <xf numFmtId="201" fontId="0" fillId="0" borderId="0" xfId="254" applyNumberFormat="1" applyFill="1">
      <alignment vertical="center"/>
    </xf>
    <xf numFmtId="0" fontId="16" fillId="0" borderId="0" xfId="254" applyFont="1" applyAlignment="1">
      <alignment horizontal="right" vertical="center" wrapText="1"/>
    </xf>
    <xf numFmtId="0" fontId="0" fillId="0" borderId="30" xfId="254" applyFont="1" applyFill="1" applyBorder="1" applyAlignment="1" applyProtection="1">
      <alignment horizontal="center" vertical="center"/>
    </xf>
    <xf numFmtId="206" fontId="0" fillId="0" borderId="31" xfId="148" applyNumberFormat="1" applyFont="1" applyFill="1" applyBorder="1" applyAlignment="1">
      <alignment horizontal="right" vertical="center"/>
    </xf>
    <xf numFmtId="201" fontId="0" fillId="0" borderId="10" xfId="148" applyNumberFormat="1" applyFont="1" applyFill="1" applyBorder="1" applyAlignment="1">
      <alignment horizontal="right" vertical="center"/>
    </xf>
    <xf numFmtId="205" fontId="0" fillId="0" borderId="32" xfId="254" applyNumberFormat="1" applyFont="1" applyFill="1" applyBorder="1" applyAlignment="1" applyProtection="1">
      <alignment horizontal="right" vertical="center"/>
    </xf>
    <xf numFmtId="201" fontId="0" fillId="0" borderId="10" xfId="254" applyNumberFormat="1" applyFont="1" applyFill="1" applyBorder="1" applyAlignment="1" applyProtection="1">
      <alignment horizontal="right" vertical="center"/>
    </xf>
    <xf numFmtId="205" fontId="0" fillId="0" borderId="10" xfId="254" applyNumberFormat="1" applyFont="1" applyFill="1" applyBorder="1" applyAlignment="1" applyProtection="1">
      <alignment horizontal="right" vertical="center"/>
    </xf>
    <xf numFmtId="0" fontId="0" fillId="0" borderId="0" xfId="254" applyFill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1" fillId="0" borderId="5" xfId="0" applyNumberFormat="1" applyFont="1" applyBorder="1" applyAlignment="1">
      <alignment horizontal="right" vertical="center" wrapText="1"/>
    </xf>
    <xf numFmtId="0" fontId="11" fillId="0" borderId="0" xfId="0" applyNumberFormat="1" applyFont="1" applyAlignment="1">
      <alignment horizontal="right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206" fontId="0" fillId="0" borderId="0" xfId="0" applyNumberFormat="1" applyFont="1"/>
    <xf numFmtId="0" fontId="11" fillId="0" borderId="4" xfId="0" applyFont="1" applyBorder="1" applyAlignment="1">
      <alignment vertical="center"/>
    </xf>
    <xf numFmtId="203" fontId="11" fillId="0" borderId="5" xfId="0" applyNumberFormat="1" applyFont="1" applyFill="1" applyBorder="1" applyAlignment="1">
      <alignment vertical="center" wrapText="1"/>
    </xf>
    <xf numFmtId="201" fontId="11" fillId="0" borderId="5" xfId="0" applyNumberFormat="1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center" vertical="center" wrapText="1"/>
    </xf>
    <xf numFmtId="203" fontId="0" fillId="0" borderId="0" xfId="0" applyNumberFormat="1" applyFont="1"/>
    <xf numFmtId="203" fontId="11" fillId="0" borderId="5" xfId="0" applyNumberFormat="1" applyFont="1" applyFill="1" applyBorder="1" applyAlignment="1">
      <alignment horizontal="center" vertical="center" wrapText="1"/>
    </xf>
    <xf numFmtId="201" fontId="11" fillId="0" borderId="5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 wrapText="1"/>
    </xf>
    <xf numFmtId="206" fontId="11" fillId="0" borderId="5" xfId="0" applyNumberFormat="1" applyFont="1" applyBorder="1" applyAlignment="1">
      <alignment horizontal="right" vertical="center" wrapText="1"/>
    </xf>
    <xf numFmtId="200" fontId="11" fillId="0" borderId="5" xfId="0" applyNumberFormat="1" applyFont="1" applyBorder="1" applyAlignment="1">
      <alignment horizontal="right" vertical="center" wrapText="1"/>
    </xf>
    <xf numFmtId="202" fontId="11" fillId="0" borderId="5" xfId="0" applyNumberFormat="1" applyFont="1" applyFill="1" applyBorder="1" applyAlignment="1">
      <alignment horizontal="right" vertical="center" wrapText="1"/>
    </xf>
    <xf numFmtId="201" fontId="11" fillId="0" borderId="0" xfId="0" applyNumberFormat="1" applyFont="1" applyFill="1" applyAlignment="1">
      <alignment horizontal="right" vertical="center" wrapText="1"/>
    </xf>
    <xf numFmtId="201" fontId="11" fillId="0" borderId="0" xfId="0" applyNumberFormat="1" applyFont="1" applyFill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8" fillId="0" borderId="33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2" fillId="0" borderId="4" xfId="0" applyFont="1" applyFill="1" applyBorder="1" applyAlignment="1">
      <alignment vertical="center" wrapText="1"/>
    </xf>
    <xf numFmtId="202" fontId="11" fillId="0" borderId="34" xfId="0" applyNumberFormat="1" applyFont="1" applyFill="1" applyBorder="1" applyAlignment="1">
      <alignment horizontal="right" vertical="center" wrapText="1"/>
    </xf>
    <xf numFmtId="200" fontId="11" fillId="0" borderId="4" xfId="0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203" fontId="11" fillId="0" borderId="35" xfId="0" applyNumberFormat="1" applyFont="1" applyFill="1" applyBorder="1" applyAlignment="1">
      <alignment vertical="center" wrapText="1"/>
    </xf>
    <xf numFmtId="201" fontId="11" fillId="0" borderId="0" xfId="148" applyNumberFormat="1" applyFont="1" applyFill="1" applyBorder="1" applyAlignment="1">
      <alignment horizontal="right" vertical="center" wrapText="1"/>
    </xf>
    <xf numFmtId="203" fontId="11" fillId="0" borderId="35" xfId="0" applyNumberFormat="1" applyFont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201" fontId="11" fillId="0" borderId="4" xfId="0" applyNumberFormat="1" applyFont="1" applyFill="1" applyBorder="1" applyAlignment="1">
      <alignment horizontal="right" vertical="center" wrapText="1"/>
    </xf>
    <xf numFmtId="201" fontId="11" fillId="0" borderId="5" xfId="0" applyNumberFormat="1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201" fontId="11" fillId="0" borderId="6" xfId="0" applyNumberFormat="1" applyFont="1" applyFill="1" applyBorder="1" applyAlignment="1">
      <alignment horizontal="right" vertical="center" wrapText="1"/>
    </xf>
    <xf numFmtId="203" fontId="11" fillId="0" borderId="36" xfId="0" applyNumberFormat="1" applyFont="1" applyBorder="1" applyAlignment="1">
      <alignment vertical="center" wrapText="1"/>
    </xf>
    <xf numFmtId="201" fontId="11" fillId="0" borderId="9" xfId="0" applyNumberFormat="1" applyFont="1" applyFill="1" applyBorder="1" applyAlignment="1">
      <alignment horizontal="right" vertical="center" wrapText="1"/>
    </xf>
    <xf numFmtId="0" fontId="11" fillId="0" borderId="10" xfId="0" applyFont="1" applyFill="1" applyBorder="1" applyAlignment="1">
      <alignment horizontal="center" vertical="center"/>
    </xf>
    <xf numFmtId="0" fontId="4" fillId="0" borderId="0" xfId="0" applyFont="1" applyFill="1"/>
    <xf numFmtId="0" fontId="0" fillId="0" borderId="0" xfId="0" applyFont="1" applyFill="1"/>
    <xf numFmtId="206" fontId="0" fillId="0" borderId="0" xfId="0" applyNumberFormat="1" applyFont="1" applyFill="1"/>
    <xf numFmtId="0" fontId="0" fillId="0" borderId="0" xfId="0" applyFont="1" applyFill="1" applyAlignment="1">
      <alignment wrapText="1"/>
    </xf>
    <xf numFmtId="201" fontId="0" fillId="0" borderId="0" xfId="0" applyNumberFormat="1" applyFont="1" applyFill="1"/>
    <xf numFmtId="201" fontId="10" fillId="0" borderId="0" xfId="0" applyNumberFormat="1" applyFont="1" applyFill="1" applyBorder="1" applyAlignment="1">
      <alignment horizontal="center" vertical="center"/>
    </xf>
    <xf numFmtId="0" fontId="3" fillId="0" borderId="0" xfId="243" applyFont="1" applyFill="1" applyBorder="1" applyAlignment="1">
      <alignment horizontal="center" vertical="center"/>
    </xf>
    <xf numFmtId="201" fontId="3" fillId="0" borderId="0" xfId="243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20" fillId="0" borderId="1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201" fontId="20" fillId="0" borderId="15" xfId="0" applyNumberFormat="1" applyFont="1" applyBorder="1" applyAlignment="1">
      <alignment horizontal="center" vertical="center"/>
    </xf>
    <xf numFmtId="0" fontId="21" fillId="0" borderId="0" xfId="243" applyFont="1" applyFill="1" applyBorder="1" applyAlignment="1">
      <alignment vertical="center" wrapText="1"/>
    </xf>
    <xf numFmtId="0" fontId="22" fillId="0" borderId="6" xfId="243" applyFont="1" applyFill="1" applyBorder="1" applyAlignment="1">
      <alignment horizontal="right" wrapText="1"/>
    </xf>
    <xf numFmtId="201" fontId="22" fillId="0" borderId="5" xfId="243" applyNumberFormat="1" applyFont="1" applyFill="1" applyBorder="1" applyAlignment="1">
      <alignment horizontal="right" wrapText="1"/>
    </xf>
    <xf numFmtId="0" fontId="22" fillId="0" borderId="6" xfId="243" applyFont="1" applyFill="1" applyBorder="1" applyAlignment="1">
      <alignment wrapText="1"/>
    </xf>
    <xf numFmtId="0" fontId="22" fillId="0" borderId="0" xfId="243" applyFont="1" applyFill="1" applyBorder="1" applyAlignment="1">
      <alignment vertical="center"/>
    </xf>
    <xf numFmtId="203" fontId="22" fillId="0" borderId="37" xfId="0" applyNumberFormat="1" applyFont="1" applyFill="1" applyBorder="1" applyAlignment="1">
      <alignment wrapText="1"/>
    </xf>
    <xf numFmtId="201" fontId="22" fillId="0" borderId="37" xfId="0" applyNumberFormat="1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243" applyFont="1" applyFill="1" applyBorder="1" applyAlignment="1">
      <alignment vertical="center" wrapText="1"/>
    </xf>
    <xf numFmtId="0" fontId="22" fillId="0" borderId="0" xfId="243" applyFont="1" applyFill="1" applyBorder="1" applyAlignment="1">
      <alignment horizontal="left" vertical="center" wrapText="1"/>
    </xf>
    <xf numFmtId="203" fontId="22" fillId="0" borderId="5" xfId="243" applyNumberFormat="1" applyFont="1" applyFill="1" applyBorder="1" applyAlignment="1">
      <alignment wrapText="1"/>
    </xf>
    <xf numFmtId="201" fontId="22" fillId="0" borderId="0" xfId="243" applyNumberFormat="1" applyFont="1" applyFill="1" applyAlignment="1">
      <alignment horizontal="right" wrapText="1"/>
    </xf>
    <xf numFmtId="0" fontId="22" fillId="0" borderId="6" xfId="243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horizontal="center" vertical="center" wrapText="1"/>
    </xf>
    <xf numFmtId="0" fontId="22" fillId="0" borderId="0" xfId="256" applyFont="1" applyFill="1" applyBorder="1" applyAlignment="1">
      <alignment horizontal="center" vertical="center" wrapText="1"/>
    </xf>
    <xf numFmtId="203" fontId="0" fillId="0" borderId="0" xfId="0" applyNumberFormat="1" applyFont="1" applyFill="1"/>
    <xf numFmtId="203" fontId="22" fillId="0" borderId="37" xfId="0" applyNumberFormat="1" applyFont="1" applyFill="1" applyBorder="1" applyAlignment="1">
      <alignment horizontal="right" vertical="center" wrapText="1"/>
    </xf>
    <xf numFmtId="201" fontId="22" fillId="0" borderId="37" xfId="0" applyNumberFormat="1" applyFont="1" applyFill="1" applyBorder="1" applyAlignment="1">
      <alignment horizontal="center" vertical="center" wrapText="1"/>
    </xf>
    <xf numFmtId="0" fontId="22" fillId="0" borderId="1" xfId="243" applyFont="1" applyFill="1" applyBorder="1" applyAlignment="1">
      <alignment vertical="center" wrapText="1"/>
    </xf>
    <xf numFmtId="203" fontId="22" fillId="0" borderId="38" xfId="0" applyNumberFormat="1" applyFont="1" applyFill="1" applyBorder="1" applyAlignment="1">
      <alignment wrapText="1"/>
    </xf>
    <xf numFmtId="201" fontId="22" fillId="0" borderId="38" xfId="0" applyNumberFormat="1" applyFont="1" applyFill="1" applyBorder="1" applyAlignment="1">
      <alignment horizontal="right" vertical="center" wrapText="1"/>
    </xf>
    <xf numFmtId="0" fontId="22" fillId="0" borderId="39" xfId="256" applyFont="1" applyFill="1" applyBorder="1" applyAlignment="1">
      <alignment horizontal="center" vertical="center" wrapText="1"/>
    </xf>
    <xf numFmtId="0" fontId="22" fillId="0" borderId="0" xfId="0" applyFont="1" applyFill="1"/>
    <xf numFmtId="203" fontId="22" fillId="0" borderId="0" xfId="0" applyNumberFormat="1" applyFont="1" applyFill="1"/>
    <xf numFmtId="201" fontId="22" fillId="0" borderId="0" xfId="0" applyNumberFormat="1" applyFont="1" applyFill="1"/>
    <xf numFmtId="200" fontId="0" fillId="0" borderId="0" xfId="0" applyNumberFormat="1" applyFont="1" applyFill="1"/>
    <xf numFmtId="0" fontId="11" fillId="0" borderId="0" xfId="0" applyFont="1" applyBorder="1" applyAlignment="1">
      <alignment horizontal="right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11" fillId="0" borderId="6" xfId="0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horizontal="right" vertical="center" wrapText="1"/>
    </xf>
    <xf numFmtId="201" fontId="11" fillId="0" borderId="0" xfId="256" applyNumberFormat="1" applyFont="1" applyFill="1" applyAlignment="1">
      <alignment horizontal="right" vertical="center" wrapText="1"/>
    </xf>
    <xf numFmtId="0" fontId="11" fillId="0" borderId="6" xfId="0" applyNumberFormat="1" applyFont="1" applyFill="1" applyBorder="1" applyAlignment="1">
      <alignment horizontal="center" vertical="center"/>
    </xf>
    <xf numFmtId="0" fontId="11" fillId="0" borderId="6" xfId="256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203" fontId="11" fillId="0" borderId="9" xfId="0" applyNumberFormat="1" applyFont="1" applyBorder="1" applyAlignment="1">
      <alignment vertical="center" wrapText="1"/>
    </xf>
    <xf numFmtId="201" fontId="11" fillId="0" borderId="1" xfId="256" applyNumberFormat="1" applyFont="1" applyFill="1" applyBorder="1" applyAlignment="1">
      <alignment horizontal="right" vertical="center" wrapText="1"/>
    </xf>
    <xf numFmtId="0" fontId="11" fillId="0" borderId="10" xfId="256" applyFont="1" applyFill="1" applyBorder="1" applyAlignment="1">
      <alignment horizontal="center" vertical="center"/>
    </xf>
    <xf numFmtId="203" fontId="11" fillId="0" borderId="0" xfId="0" applyNumberFormat="1" applyFont="1" applyAlignment="1">
      <alignment vertical="center"/>
    </xf>
    <xf numFmtId="0" fontId="4" fillId="0" borderId="0" xfId="0" applyFont="1" applyFill="1" applyBorder="1"/>
    <xf numFmtId="0" fontId="13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200" fontId="0" fillId="0" borderId="0" xfId="0" applyNumberFormat="1" applyFont="1"/>
    <xf numFmtId="0" fontId="12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203" fontId="11" fillId="0" borderId="5" xfId="0" applyNumberFormat="1" applyFont="1" applyFill="1" applyBorder="1" applyAlignment="1">
      <alignment horizontal="right" vertical="center" wrapText="1"/>
    </xf>
    <xf numFmtId="0" fontId="4" fillId="0" borderId="33" xfId="0" applyFont="1" applyBorder="1" applyAlignment="1">
      <alignment vertical="center"/>
    </xf>
    <xf numFmtId="0" fontId="4" fillId="0" borderId="0" xfId="0" applyFont="1" applyBorder="1"/>
    <xf numFmtId="0" fontId="13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1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4" xfId="0" applyFont="1" applyBorder="1" applyAlignment="1">
      <alignment vertical="center" wrapText="1"/>
    </xf>
    <xf numFmtId="206" fontId="22" fillId="0" borderId="5" xfId="0" applyNumberFormat="1" applyFont="1" applyBorder="1" applyAlignment="1">
      <alignment horizontal="right" vertical="center" wrapText="1"/>
    </xf>
    <xf numFmtId="200" fontId="22" fillId="0" borderId="5" xfId="0" applyNumberFormat="1" applyFont="1" applyBorder="1" applyAlignment="1">
      <alignment horizontal="right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4" xfId="0" applyFont="1" applyBorder="1" applyAlignment="1">
      <alignment vertical="center"/>
    </xf>
    <xf numFmtId="203" fontId="22" fillId="0" borderId="5" xfId="0" applyNumberFormat="1" applyFont="1" applyFill="1" applyBorder="1" applyAlignment="1">
      <alignment horizontal="right" vertical="center" wrapText="1"/>
    </xf>
    <xf numFmtId="201" fontId="22" fillId="0" borderId="5" xfId="0" applyNumberFormat="1" applyFont="1" applyFill="1" applyBorder="1" applyAlignment="1">
      <alignment horizontal="right" vertical="center" wrapText="1"/>
    </xf>
    <xf numFmtId="0" fontId="22" fillId="0" borderId="6" xfId="0" applyNumberFormat="1" applyFont="1" applyFill="1" applyBorder="1" applyAlignment="1">
      <alignment horizontal="center" vertical="center"/>
    </xf>
    <xf numFmtId="0" fontId="22" fillId="0" borderId="4" xfId="0" applyFont="1" applyBorder="1" applyAlignment="1">
      <alignment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4" xfId="0" applyFont="1" applyFill="1" applyBorder="1" applyAlignment="1">
      <alignment vertical="center" wrapText="1"/>
    </xf>
    <xf numFmtId="0" fontId="22" fillId="0" borderId="8" xfId="0" applyFont="1" applyFill="1" applyBorder="1" applyAlignment="1">
      <alignment vertical="center" wrapText="1"/>
    </xf>
    <xf numFmtId="0" fontId="12" fillId="0" borderId="14" xfId="0" applyFont="1" applyFill="1" applyBorder="1" applyAlignment="1">
      <alignment horizontal="center" vertical="center"/>
    </xf>
    <xf numFmtId="206" fontId="11" fillId="0" borderId="5" xfId="0" applyNumberFormat="1" applyFont="1" applyFill="1" applyBorder="1" applyAlignment="1">
      <alignment horizontal="right" vertical="center"/>
    </xf>
    <xf numFmtId="201" fontId="11" fillId="0" borderId="5" xfId="0" applyNumberFormat="1" applyFont="1" applyFill="1" applyBorder="1" applyAlignment="1">
      <alignment horizontal="right" vertical="center"/>
    </xf>
    <xf numFmtId="205" fontId="11" fillId="0" borderId="5" xfId="0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wrapText="1"/>
    </xf>
    <xf numFmtId="0" fontId="11" fillId="0" borderId="5" xfId="0" applyFont="1" applyFill="1" applyBorder="1" applyAlignment="1">
      <alignment wrapText="1"/>
    </xf>
    <xf numFmtId="0" fontId="11" fillId="0" borderId="6" xfId="0" applyFont="1" applyFill="1" applyBorder="1"/>
    <xf numFmtId="203" fontId="11" fillId="0" borderId="9" xfId="0" applyNumberFormat="1" applyFont="1" applyFill="1" applyBorder="1" applyAlignment="1">
      <alignment horizontal="right" vertical="center" wrapText="1"/>
    </xf>
    <xf numFmtId="0" fontId="23" fillId="0" borderId="0" xfId="0" applyFont="1"/>
    <xf numFmtId="200" fontId="0" fillId="0" borderId="0" xfId="0" applyNumberFormat="1"/>
    <xf numFmtId="0" fontId="11" fillId="0" borderId="6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203" fontId="11" fillId="0" borderId="0" xfId="0" applyNumberFormat="1" applyFont="1" applyBorder="1" applyAlignment="1">
      <alignment vertical="center" wrapText="1"/>
    </xf>
    <xf numFmtId="0" fontId="4" fillId="0" borderId="33" xfId="0" applyFont="1" applyFill="1" applyBorder="1" applyAlignment="1"/>
    <xf numFmtId="206" fontId="11" fillId="0" borderId="5" xfId="0" applyNumberFormat="1" applyFont="1" applyFill="1" applyBorder="1" applyAlignment="1">
      <alignment horizontal="right" vertical="center" wrapText="1"/>
    </xf>
    <xf numFmtId="200" fontId="11" fillId="0" borderId="5" xfId="0" applyNumberFormat="1" applyFont="1" applyFill="1" applyBorder="1" applyAlignment="1">
      <alignment horizontal="right" vertical="center" wrapText="1"/>
    </xf>
    <xf numFmtId="203" fontId="11" fillId="0" borderId="0" xfId="0" applyNumberFormat="1" applyFont="1" applyFill="1" applyAlignment="1">
      <alignment vertical="center" wrapText="1"/>
    </xf>
    <xf numFmtId="207" fontId="11" fillId="0" borderId="5" xfId="0" applyNumberFormat="1" applyFont="1" applyFill="1" applyBorder="1" applyAlignment="1">
      <alignment horizontal="right" vertical="center" wrapText="1"/>
    </xf>
    <xf numFmtId="202" fontId="11" fillId="0" borderId="6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/>
    </xf>
    <xf numFmtId="203" fontId="11" fillId="0" borderId="1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right" vertical="center"/>
    </xf>
    <xf numFmtId="0" fontId="12" fillId="0" borderId="40" xfId="0" applyFont="1" applyFill="1" applyBorder="1" applyAlignment="1">
      <alignment horizontal="center" vertical="center"/>
    </xf>
    <xf numFmtId="0" fontId="12" fillId="0" borderId="15" xfId="253" applyFont="1" applyFill="1" applyBorder="1" applyAlignment="1">
      <alignment horizontal="center" vertical="center"/>
    </xf>
    <xf numFmtId="49" fontId="12" fillId="0" borderId="15" xfId="258" applyNumberFormat="1" applyFont="1" applyFill="1" applyBorder="1" applyAlignment="1">
      <alignment horizontal="center" vertical="center" wrapText="1"/>
    </xf>
    <xf numFmtId="0" fontId="12" fillId="0" borderId="0" xfId="231" applyFont="1" applyBorder="1" applyAlignment="1">
      <alignment vertical="center" wrapText="1"/>
    </xf>
    <xf numFmtId="0" fontId="11" fillId="0" borderId="21" xfId="231" applyFont="1" applyBorder="1"/>
    <xf numFmtId="0" fontId="12" fillId="0" borderId="6" xfId="231" applyFont="1" applyBorder="1" applyAlignment="1">
      <alignment vertical="center" wrapText="1"/>
    </xf>
    <xf numFmtId="0" fontId="11" fillId="0" borderId="6" xfId="231" applyFont="1" applyBorder="1"/>
    <xf numFmtId="0" fontId="11" fillId="0" borderId="0" xfId="231" applyFont="1" applyBorder="1" applyAlignment="1">
      <alignment vertical="center"/>
    </xf>
    <xf numFmtId="203" fontId="11" fillId="0" borderId="21" xfId="231" applyNumberFormat="1" applyFont="1" applyBorder="1" applyAlignment="1">
      <alignment vertical="center" wrapText="1"/>
    </xf>
    <xf numFmtId="201" fontId="11" fillId="0" borderId="6" xfId="231" applyNumberFormat="1" applyFont="1" applyBorder="1" applyAlignment="1">
      <alignment horizontal="right" vertical="center" wrapText="1"/>
    </xf>
    <xf numFmtId="0" fontId="11" fillId="0" borderId="0" xfId="231" applyFont="1" applyBorder="1" applyAlignment="1">
      <alignment vertical="center" wrapText="1"/>
    </xf>
    <xf numFmtId="0" fontId="11" fillId="0" borderId="0" xfId="231" applyFont="1" applyBorder="1" applyAlignment="1">
      <alignment horizontal="left" vertical="center" wrapText="1"/>
    </xf>
    <xf numFmtId="0" fontId="11" fillId="0" borderId="0" xfId="231" applyFont="1" applyFill="1" applyBorder="1" applyAlignment="1">
      <alignment vertical="center" wrapText="1"/>
    </xf>
    <xf numFmtId="0" fontId="12" fillId="0" borderId="0" xfId="231" applyFont="1" applyBorder="1" applyAlignment="1">
      <alignment vertical="center"/>
    </xf>
    <xf numFmtId="0" fontId="11" fillId="0" borderId="1" xfId="231" applyFont="1" applyFill="1" applyBorder="1" applyAlignment="1">
      <alignment vertical="center" wrapText="1"/>
    </xf>
    <xf numFmtId="203" fontId="11" fillId="0" borderId="23" xfId="231" applyNumberFormat="1" applyFont="1" applyBorder="1" applyAlignment="1">
      <alignment vertical="center" wrapText="1"/>
    </xf>
    <xf numFmtId="201" fontId="11" fillId="0" borderId="10" xfId="231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12" fillId="0" borderId="0" xfId="0" applyFont="1" applyFill="1" applyBorder="1" applyAlignment="1">
      <alignment vertical="center"/>
    </xf>
    <xf numFmtId="203" fontId="11" fillId="0" borderId="20" xfId="0" applyNumberFormat="1" applyFont="1" applyFill="1" applyBorder="1" applyAlignment="1">
      <alignment vertical="center" wrapText="1"/>
    </xf>
    <xf numFmtId="201" fontId="11" fillId="0" borderId="4" xfId="0" applyNumberFormat="1" applyFont="1" applyFill="1" applyBorder="1" applyAlignment="1">
      <alignment vertical="center" wrapText="1"/>
    </xf>
    <xf numFmtId="0" fontId="11" fillId="0" borderId="0" xfId="185" applyFont="1" applyFill="1" applyBorder="1" applyAlignment="1">
      <alignment horizontal="center" vertical="center"/>
    </xf>
    <xf numFmtId="0" fontId="11" fillId="0" borderId="6" xfId="185" applyFont="1" applyFill="1" applyBorder="1" applyAlignment="1">
      <alignment horizontal="center" vertical="center"/>
    </xf>
    <xf numFmtId="203" fontId="11" fillId="0" borderId="21" xfId="0" applyNumberFormat="1" applyFont="1" applyFill="1" applyBorder="1" applyAlignment="1">
      <alignment vertical="center" wrapText="1"/>
    </xf>
    <xf numFmtId="203" fontId="11" fillId="0" borderId="41" xfId="0" applyNumberFormat="1" applyFont="1" applyFill="1" applyBorder="1" applyAlignment="1">
      <alignment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200" fontId="0" fillId="0" borderId="0" xfId="0" applyNumberFormat="1" applyAlignment="1">
      <alignment vertical="center"/>
    </xf>
    <xf numFmtId="206" fontId="11" fillId="0" borderId="20" xfId="0" applyNumberFormat="1" applyFont="1" applyFill="1" applyBorder="1" applyAlignment="1">
      <alignment horizontal="right" vertical="center"/>
    </xf>
    <xf numFmtId="201" fontId="11" fillId="0" borderId="4" xfId="0" applyNumberFormat="1" applyFont="1" applyFill="1" applyBorder="1" applyAlignment="1">
      <alignment horizontal="right" vertical="center"/>
    </xf>
    <xf numFmtId="201" fontId="11" fillId="0" borderId="0" xfId="0" applyNumberFormat="1" applyFont="1" applyFill="1" applyAlignment="1">
      <alignment vertical="center" wrapText="1"/>
    </xf>
    <xf numFmtId="206" fontId="11" fillId="0" borderId="6" xfId="186" applyNumberFormat="1" applyFont="1" applyFill="1" applyBorder="1" applyAlignment="1">
      <alignment horizontal="right" vertical="center" wrapText="1"/>
    </xf>
    <xf numFmtId="201" fontId="11" fillId="0" borderId="5" xfId="186" applyNumberFormat="1" applyFont="1" applyFill="1" applyBorder="1" applyAlignment="1">
      <alignment horizontal="right" vertical="center" wrapText="1"/>
    </xf>
    <xf numFmtId="203" fontId="11" fillId="0" borderId="9" xfId="0" applyNumberFormat="1" applyFont="1" applyFill="1" applyBorder="1" applyAlignment="1">
      <alignment vertical="center" wrapText="1"/>
    </xf>
    <xf numFmtId="201" fontId="11" fillId="0" borderId="9" xfId="0" applyNumberFormat="1" applyFont="1" applyFill="1" applyBorder="1" applyAlignment="1">
      <alignment vertical="center" wrapText="1"/>
    </xf>
    <xf numFmtId="0" fontId="11" fillId="0" borderId="10" xfId="185" applyFont="1" applyFill="1" applyBorder="1" applyAlignment="1">
      <alignment horizontal="center" vertical="center"/>
    </xf>
    <xf numFmtId="201" fontId="12" fillId="0" borderId="0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vertical="center" wrapText="1"/>
    </xf>
    <xf numFmtId="0" fontId="11" fillId="0" borderId="3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200" fontId="11" fillId="0" borderId="46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200" fontId="11" fillId="0" borderId="6" xfId="0" applyNumberFormat="1" applyFont="1" applyBorder="1" applyAlignment="1">
      <alignment horizontal="right" vertical="center" wrapText="1"/>
    </xf>
    <xf numFmtId="0" fontId="0" fillId="0" borderId="0" xfId="0" applyFont="1" applyBorder="1" applyAlignment="1">
      <alignment vertical="center"/>
    </xf>
    <xf numFmtId="200" fontId="0" fillId="0" borderId="0" xfId="0" applyNumberFormat="1" applyFont="1" applyBorder="1"/>
    <xf numFmtId="0" fontId="11" fillId="0" borderId="8" xfId="0" applyFont="1" applyBorder="1" applyAlignment="1">
      <alignment horizontal="left" vertical="center" wrapText="1"/>
    </xf>
    <xf numFmtId="200" fontId="11" fillId="0" borderId="7" xfId="0" applyNumberFormat="1" applyFont="1" applyBorder="1" applyAlignment="1">
      <alignment horizontal="right" vertical="center" wrapText="1"/>
    </xf>
    <xf numFmtId="200" fontId="11" fillId="0" borderId="13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left" vertical="center"/>
    </xf>
    <xf numFmtId="0" fontId="0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 vertical="center"/>
    </xf>
    <xf numFmtId="0" fontId="12" fillId="0" borderId="14" xfId="255" applyFont="1" applyFill="1" applyBorder="1" applyAlignment="1">
      <alignment horizontal="center" vertical="center"/>
    </xf>
    <xf numFmtId="203" fontId="12" fillId="0" borderId="15" xfId="255" applyNumberFormat="1" applyFont="1" applyBorder="1" applyAlignment="1">
      <alignment horizontal="center" vertical="center"/>
    </xf>
    <xf numFmtId="201" fontId="12" fillId="0" borderId="16" xfId="255" applyNumberFormat="1" applyFont="1" applyBorder="1" applyAlignment="1">
      <alignment horizontal="center" vertical="center"/>
    </xf>
    <xf numFmtId="0" fontId="12" fillId="0" borderId="4" xfId="255" applyFont="1" applyFill="1" applyBorder="1" applyAlignment="1">
      <alignment horizontal="left" vertical="center" wrapText="1"/>
    </xf>
    <xf numFmtId="203" fontId="12" fillId="0" borderId="5" xfId="255" applyNumberFormat="1" applyFont="1" applyFill="1" applyBorder="1" applyAlignment="1">
      <alignment horizontal="right" vertical="center" wrapText="1"/>
    </xf>
    <xf numFmtId="201" fontId="12" fillId="0" borderId="6" xfId="255" applyNumberFormat="1" applyFont="1" applyBorder="1" applyAlignment="1">
      <alignment horizontal="right" vertical="center" wrapText="1"/>
    </xf>
    <xf numFmtId="0" fontId="11" fillId="0" borderId="4" xfId="255" applyFont="1" applyFill="1" applyBorder="1" applyAlignment="1">
      <alignment horizontal="left" vertical="center" wrapText="1"/>
    </xf>
    <xf numFmtId="203" fontId="11" fillId="0" borderId="5" xfId="255" applyNumberFormat="1" applyFont="1" applyFill="1" applyBorder="1" applyAlignment="1" applyProtection="1">
      <alignment horizontal="right" vertical="center" wrapText="1"/>
    </xf>
    <xf numFmtId="201" fontId="11" fillId="0" borderId="6" xfId="255" applyNumberFormat="1" applyFont="1" applyBorder="1" applyAlignment="1">
      <alignment horizontal="right" vertical="center" wrapText="1"/>
    </xf>
    <xf numFmtId="203" fontId="12" fillId="0" borderId="5" xfId="255" applyNumberFormat="1" applyFont="1" applyBorder="1" applyAlignment="1" applyProtection="1">
      <alignment horizontal="right" vertical="center" wrapText="1"/>
    </xf>
    <xf numFmtId="203" fontId="11" fillId="0" borderId="5" xfId="255" applyNumberFormat="1" applyFont="1" applyBorder="1" applyAlignment="1" applyProtection="1">
      <alignment horizontal="right" vertical="center" wrapText="1"/>
    </xf>
    <xf numFmtId="0" fontId="11" fillId="0" borderId="8" xfId="255" applyFont="1" applyFill="1" applyBorder="1" applyAlignment="1">
      <alignment horizontal="left" vertical="center" wrapText="1"/>
    </xf>
    <xf numFmtId="203" fontId="11" fillId="0" borderId="9" xfId="255" applyNumberFormat="1" applyFont="1" applyBorder="1" applyAlignment="1" applyProtection="1">
      <alignment horizontal="right" vertical="center" wrapText="1"/>
    </xf>
    <xf numFmtId="201" fontId="11" fillId="0" borderId="10" xfId="255" applyNumberFormat="1" applyFont="1" applyBorder="1" applyAlignment="1">
      <alignment horizontal="right" vertical="center" wrapText="1"/>
    </xf>
    <xf numFmtId="203" fontId="18" fillId="0" borderId="33" xfId="0" applyNumberFormat="1" applyFont="1" applyBorder="1" applyAlignment="1">
      <alignment horizontal="left" vertical="center"/>
    </xf>
    <xf numFmtId="201" fontId="18" fillId="0" borderId="33" xfId="0" applyNumberFormat="1" applyFont="1" applyBorder="1" applyAlignment="1">
      <alignment horizontal="left" vertical="center"/>
    </xf>
    <xf numFmtId="0" fontId="24" fillId="0" borderId="33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3" fillId="0" borderId="47" xfId="0" applyFont="1" applyBorder="1" applyAlignment="1">
      <alignment vertical="center" wrapText="1"/>
    </xf>
    <xf numFmtId="0" fontId="23" fillId="0" borderId="4" xfId="0" applyFont="1" applyBorder="1" applyAlignment="1">
      <alignment horizontal="center" vertical="center" wrapText="1"/>
    </xf>
    <xf numFmtId="203" fontId="23" fillId="0" borderId="0" xfId="0" applyNumberFormat="1" applyFont="1" applyAlignment="1">
      <alignment horizontal="right" vertical="center" wrapText="1"/>
    </xf>
    <xf numFmtId="201" fontId="23" fillId="0" borderId="46" xfId="0" applyNumberFormat="1" applyFont="1" applyBorder="1" applyAlignment="1">
      <alignment horizontal="right" vertical="center" wrapText="1"/>
    </xf>
    <xf numFmtId="0" fontId="23" fillId="0" borderId="4" xfId="0" applyFont="1" applyBorder="1" applyAlignment="1">
      <alignment vertical="center" wrapText="1"/>
    </xf>
    <xf numFmtId="201" fontId="23" fillId="0" borderId="6" xfId="0" applyNumberFormat="1" applyFont="1" applyBorder="1" applyAlignment="1">
      <alignment horizontal="right" vertical="center" wrapText="1"/>
    </xf>
    <xf numFmtId="201" fontId="23" fillId="0" borderId="6" xfId="254" applyNumberFormat="1" applyFont="1" applyFill="1" applyBorder="1" applyAlignment="1" applyProtection="1">
      <alignment horizontal="right" vertical="center" wrapText="1"/>
    </xf>
    <xf numFmtId="0" fontId="23" fillId="0" borderId="4" xfId="0" applyNumberFormat="1" applyFont="1" applyBorder="1" applyAlignment="1">
      <alignment horizontal="left" vertical="center" wrapText="1"/>
    </xf>
    <xf numFmtId="0" fontId="23" fillId="0" borderId="4" xfId="0" applyNumberFormat="1" applyFont="1" applyBorder="1" applyAlignment="1">
      <alignment horizontal="center" vertical="center"/>
    </xf>
    <xf numFmtId="0" fontId="23" fillId="0" borderId="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4" xfId="0" applyNumberFormat="1" applyFont="1" applyFill="1" applyBorder="1" applyAlignment="1">
      <alignment vertical="center"/>
    </xf>
    <xf numFmtId="202" fontId="23" fillId="0" borderId="5" xfId="148" applyNumberFormat="1" applyFont="1" applyFill="1" applyBorder="1" applyAlignment="1">
      <alignment horizontal="right" vertical="center" wrapText="1"/>
    </xf>
    <xf numFmtId="205" fontId="23" fillId="0" borderId="5" xfId="148" applyNumberFormat="1" applyFont="1" applyFill="1" applyBorder="1" applyAlignment="1">
      <alignment horizontal="right" vertical="center" wrapText="1"/>
    </xf>
    <xf numFmtId="0" fontId="23" fillId="0" borderId="8" xfId="0" applyFont="1" applyBorder="1" applyAlignment="1">
      <alignment vertical="center" wrapText="1"/>
    </xf>
    <xf numFmtId="0" fontId="23" fillId="0" borderId="9" xfId="0" applyFont="1" applyBorder="1" applyAlignment="1">
      <alignment horizontal="center" vertical="center" wrapText="1"/>
    </xf>
    <xf numFmtId="202" fontId="23" fillId="0" borderId="9" xfId="148" applyNumberFormat="1" applyFont="1" applyFill="1" applyBorder="1" applyAlignment="1">
      <alignment horizontal="right" vertical="center" wrapText="1"/>
    </xf>
    <xf numFmtId="201" fontId="23" fillId="0" borderId="10" xfId="254" applyNumberFormat="1" applyFont="1" applyFill="1" applyBorder="1" applyAlignment="1" applyProtection="1">
      <alignment horizontal="right" vertical="center" wrapText="1"/>
    </xf>
    <xf numFmtId="0" fontId="4" fillId="0" borderId="33" xfId="0" applyFont="1" applyBorder="1" applyAlignment="1">
      <alignment horizontal="left"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/>
    <xf numFmtId="0" fontId="0" fillId="0" borderId="0" xfId="0" applyFont="1" applyAlignment="1"/>
    <xf numFmtId="0" fontId="23" fillId="0" borderId="0" xfId="0" applyFont="1" applyAlignment="1">
      <alignment horizontal="center" vertical="center"/>
    </xf>
    <xf numFmtId="206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40" xfId="0" applyFont="1" applyBorder="1" applyAlignment="1">
      <alignment horizontal="center" vertical="center"/>
    </xf>
    <xf numFmtId="206" fontId="24" fillId="0" borderId="15" xfId="0" applyNumberFormat="1" applyFont="1" applyBorder="1" applyAlignment="1">
      <alignment horizontal="center" vertical="center" wrapText="1"/>
    </xf>
    <xf numFmtId="189" fontId="24" fillId="0" borderId="47" xfId="148" applyFont="1" applyFill="1" applyBorder="1" applyAlignment="1">
      <alignment horizontal="left" vertical="center"/>
    </xf>
    <xf numFmtId="203" fontId="24" fillId="0" borderId="0" xfId="0" applyNumberFormat="1" applyFont="1" applyAlignment="1">
      <alignment vertical="center" wrapText="1"/>
    </xf>
    <xf numFmtId="201" fontId="24" fillId="0" borderId="6" xfId="0" applyNumberFormat="1" applyFont="1" applyBorder="1" applyAlignment="1">
      <alignment vertical="center" wrapText="1"/>
    </xf>
    <xf numFmtId="189" fontId="23" fillId="0" borderId="4" xfId="148" applyFont="1" applyFill="1" applyBorder="1" applyAlignment="1">
      <alignment vertical="center"/>
    </xf>
    <xf numFmtId="203" fontId="23" fillId="0" borderId="0" xfId="0" applyNumberFormat="1" applyFont="1" applyAlignment="1">
      <alignment vertical="center" wrapText="1"/>
    </xf>
    <xf numFmtId="201" fontId="23" fillId="0" borderId="6" xfId="0" applyNumberFormat="1" applyFont="1" applyBorder="1" applyAlignment="1">
      <alignment vertical="center" wrapText="1"/>
    </xf>
    <xf numFmtId="189" fontId="23" fillId="0" borderId="4" xfId="148" applyFont="1" applyFill="1" applyBorder="1" applyAlignment="1">
      <alignment horizontal="left" vertical="center"/>
    </xf>
    <xf numFmtId="189" fontId="24" fillId="0" borderId="4" xfId="148" applyFont="1" applyFill="1" applyBorder="1" applyAlignment="1">
      <alignment horizontal="left" vertical="center"/>
    </xf>
    <xf numFmtId="205" fontId="23" fillId="0" borderId="8" xfId="148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vertical="top"/>
    </xf>
    <xf numFmtId="206" fontId="0" fillId="0" borderId="0" xfId="0" applyNumberFormat="1" applyFont="1" applyAlignment="1"/>
    <xf numFmtId="0" fontId="23" fillId="0" borderId="4" xfId="0" applyFont="1" applyFill="1" applyBorder="1" applyAlignment="1">
      <alignment vertical="center" wrapText="1"/>
    </xf>
    <xf numFmtId="203" fontId="23" fillId="0" borderId="35" xfId="0" applyNumberFormat="1" applyFont="1" applyBorder="1" applyAlignment="1">
      <alignment vertical="center" wrapText="1"/>
    </xf>
    <xf numFmtId="201" fontId="23" fillId="0" borderId="0" xfId="0" applyNumberFormat="1" applyFont="1" applyFill="1" applyAlignment="1">
      <alignment horizontal="right" vertical="center" wrapText="1"/>
    </xf>
    <xf numFmtId="201" fontId="23" fillId="0" borderId="0" xfId="0" applyNumberFormat="1" applyFont="1" applyFill="1" applyBorder="1" applyAlignment="1">
      <alignment horizontal="right" vertical="center" wrapText="1"/>
    </xf>
    <xf numFmtId="0" fontId="23" fillId="0" borderId="4" xfId="0" applyFont="1" applyFill="1" applyBorder="1" applyAlignment="1">
      <alignment horizontal="left" vertical="center" wrapText="1"/>
    </xf>
    <xf numFmtId="201" fontId="23" fillId="0" borderId="1" xfId="0" applyNumberFormat="1" applyFont="1" applyFill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0" fontId="24" fillId="0" borderId="40" xfId="253" applyFont="1" applyBorder="1" applyAlignment="1">
      <alignment horizontal="center" vertical="center"/>
    </xf>
    <xf numFmtId="0" fontId="24" fillId="0" borderId="16" xfId="253" applyFont="1" applyBorder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203" fontId="24" fillId="0" borderId="20" xfId="0" applyNumberFormat="1" applyFont="1" applyBorder="1" applyAlignment="1">
      <alignment vertical="center" wrapText="1"/>
    </xf>
    <xf numFmtId="201" fontId="24" fillId="0" borderId="21" xfId="0" applyNumberFormat="1" applyFont="1" applyFill="1" applyBorder="1" applyAlignment="1">
      <alignment horizontal="right" vertical="center" wrapText="1"/>
    </xf>
    <xf numFmtId="0" fontId="23" fillId="0" borderId="0" xfId="0" applyFont="1" applyBorder="1" applyAlignment="1">
      <alignment vertical="center" wrapText="1"/>
    </xf>
    <xf numFmtId="203" fontId="23" fillId="0" borderId="20" xfId="0" applyNumberFormat="1" applyFont="1" applyBorder="1" applyAlignment="1">
      <alignment vertical="center" wrapText="1"/>
    </xf>
    <xf numFmtId="201" fontId="23" fillId="0" borderId="21" xfId="0" applyNumberFormat="1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left" vertical="center"/>
    </xf>
    <xf numFmtId="189" fontId="23" fillId="0" borderId="0" xfId="148" applyFont="1" applyFill="1" applyBorder="1" applyAlignment="1">
      <alignment vertical="center"/>
    </xf>
    <xf numFmtId="189" fontId="23" fillId="0" borderId="0" xfId="148" applyFont="1" applyFill="1" applyBorder="1" applyAlignment="1">
      <alignment horizontal="left" vertical="center"/>
    </xf>
    <xf numFmtId="189" fontId="23" fillId="0" borderId="1" xfId="148" applyFont="1" applyFill="1" applyBorder="1" applyAlignment="1">
      <alignment horizontal="left" vertical="center"/>
    </xf>
    <xf numFmtId="203" fontId="23" fillId="0" borderId="22" xfId="0" applyNumberFormat="1" applyFont="1" applyBorder="1" applyAlignment="1">
      <alignment vertical="center" wrapText="1"/>
    </xf>
    <xf numFmtId="201" fontId="23" fillId="0" borderId="23" xfId="0" applyNumberFormat="1" applyFont="1" applyFill="1" applyBorder="1" applyAlignment="1">
      <alignment horizontal="right" vertical="center" wrapText="1"/>
    </xf>
    <xf numFmtId="0" fontId="13" fillId="0" borderId="0" xfId="253" applyFont="1" applyFill="1">
      <alignment vertical="center"/>
    </xf>
    <xf numFmtId="0" fontId="0" fillId="0" borderId="0" xfId="253" applyFont="1" applyFill="1">
      <alignment vertical="center"/>
    </xf>
    <xf numFmtId="0" fontId="0" fillId="0" borderId="0" xfId="253" applyFont="1" applyFill="1" applyAlignment="1">
      <alignment horizontal="right" vertical="center"/>
    </xf>
    <xf numFmtId="0" fontId="10" fillId="0" borderId="4" xfId="253" applyFont="1" applyFill="1" applyBorder="1" applyAlignment="1">
      <alignment horizontal="center" vertical="center"/>
    </xf>
    <xf numFmtId="0" fontId="10" fillId="0" borderId="0" xfId="253" applyFont="1" applyFill="1" applyBorder="1" applyAlignment="1">
      <alignment horizontal="center" vertical="center"/>
    </xf>
    <xf numFmtId="0" fontId="24" fillId="0" borderId="40" xfId="253" applyFont="1" applyFill="1" applyBorder="1" applyAlignment="1">
      <alignment horizontal="center" vertical="center"/>
    </xf>
    <xf numFmtId="0" fontId="24" fillId="0" borderId="15" xfId="253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3" fillId="0" borderId="0" xfId="253" applyFont="1" applyFill="1" applyBorder="1" applyAlignment="1">
      <alignment horizontal="left" vertical="center" wrapText="1"/>
    </xf>
    <xf numFmtId="0" fontId="23" fillId="0" borderId="27" xfId="253" applyFont="1" applyFill="1" applyBorder="1" applyAlignment="1">
      <alignment horizontal="center" vertical="center" wrapText="1"/>
    </xf>
    <xf numFmtId="206" fontId="23" fillId="0" borderId="27" xfId="253" applyNumberFormat="1" applyFont="1" applyFill="1" applyBorder="1" applyAlignment="1">
      <alignment horizontal="right" vertical="center" wrapText="1"/>
    </xf>
    <xf numFmtId="201" fontId="23" fillId="0" borderId="46" xfId="0" applyNumberFormat="1" applyFont="1" applyFill="1" applyBorder="1" applyAlignment="1">
      <alignment horizontal="right" vertical="center" wrapText="1"/>
    </xf>
    <xf numFmtId="202" fontId="13" fillId="0" borderId="0" xfId="253" applyNumberFormat="1" applyFont="1" applyFill="1">
      <alignment vertical="center"/>
    </xf>
    <xf numFmtId="205" fontId="13" fillId="0" borderId="0" xfId="253" applyNumberFormat="1" applyFont="1" applyFill="1">
      <alignment vertical="center"/>
    </xf>
    <xf numFmtId="0" fontId="23" fillId="0" borderId="5" xfId="253" applyFont="1" applyFill="1" applyBorder="1" applyAlignment="1">
      <alignment horizontal="center" vertical="center" wrapText="1"/>
    </xf>
    <xf numFmtId="206" fontId="23" fillId="0" borderId="5" xfId="253" applyNumberFormat="1" applyFont="1" applyFill="1" applyBorder="1" applyAlignment="1">
      <alignment horizontal="right" vertical="center" wrapText="1"/>
    </xf>
    <xf numFmtId="201" fontId="23" fillId="0" borderId="6" xfId="0" applyNumberFormat="1" applyFont="1" applyFill="1" applyBorder="1" applyAlignment="1">
      <alignment horizontal="right" vertical="center" wrapText="1"/>
    </xf>
    <xf numFmtId="206" fontId="13" fillId="0" borderId="0" xfId="253" applyNumberFormat="1" applyFont="1" applyFill="1">
      <alignment vertical="center"/>
    </xf>
    <xf numFmtId="205" fontId="0" fillId="0" borderId="0" xfId="253" applyNumberFormat="1" applyFont="1" applyFill="1">
      <alignment vertical="center"/>
    </xf>
    <xf numFmtId="203" fontId="0" fillId="0" borderId="0" xfId="253" applyNumberFormat="1" applyFont="1" applyFill="1">
      <alignment vertical="center"/>
    </xf>
    <xf numFmtId="0" fontId="23" fillId="0" borderId="0" xfId="253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208" fontId="13" fillId="0" borderId="0" xfId="3" applyNumberFormat="1" applyFont="1" applyFill="1" applyBorder="1" applyAlignment="1" applyProtection="1">
      <alignment vertical="center"/>
    </xf>
    <xf numFmtId="0" fontId="23" fillId="0" borderId="0" xfId="253" applyFont="1" applyFill="1" applyBorder="1" applyAlignment="1">
      <alignment vertical="center"/>
    </xf>
    <xf numFmtId="0" fontId="23" fillId="0" borderId="5" xfId="253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right" vertical="center" wrapText="1"/>
    </xf>
    <xf numFmtId="202" fontId="0" fillId="0" borderId="0" xfId="253" applyNumberFormat="1" applyFont="1" applyFill="1">
      <alignment vertical="center"/>
    </xf>
    <xf numFmtId="203" fontId="23" fillId="0" borderId="5" xfId="0" applyNumberFormat="1" applyFont="1" applyFill="1" applyBorder="1" applyAlignment="1">
      <alignment horizontal="right" vertical="center" wrapText="1"/>
    </xf>
    <xf numFmtId="0" fontId="23" fillId="0" borderId="8" xfId="253" applyFont="1" applyFill="1" applyBorder="1" applyAlignment="1">
      <alignment vertical="center"/>
    </xf>
    <xf numFmtId="0" fontId="23" fillId="0" borderId="9" xfId="253" applyFont="1" applyFill="1" applyBorder="1" applyAlignment="1">
      <alignment horizontal="center" vertical="center" wrapText="1"/>
    </xf>
    <xf numFmtId="206" fontId="23" fillId="0" borderId="9" xfId="253" applyNumberFormat="1" applyFont="1" applyFill="1" applyBorder="1" applyAlignment="1">
      <alignment horizontal="right" vertical="center" wrapText="1"/>
    </xf>
    <xf numFmtId="201" fontId="23" fillId="0" borderId="10" xfId="0" applyNumberFormat="1" applyFont="1" applyFill="1" applyBorder="1" applyAlignment="1">
      <alignment horizontal="right" vertical="center" wrapText="1"/>
    </xf>
    <xf numFmtId="0" fontId="0" fillId="0" borderId="0" xfId="253" applyFont="1" applyAlignment="1">
      <alignment vertical="center"/>
    </xf>
    <xf numFmtId="0" fontId="0" fillId="0" borderId="0" xfId="253" applyFont="1" applyAlignment="1">
      <alignment horizontal="right" vertical="center"/>
    </xf>
    <xf numFmtId="0" fontId="10" fillId="0" borderId="0" xfId="253" applyFont="1" applyAlignment="1">
      <alignment horizontal="center" vertical="center"/>
    </xf>
    <xf numFmtId="0" fontId="10" fillId="0" borderId="0" xfId="253" applyFont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202" fontId="23" fillId="0" borderId="27" xfId="0" applyNumberFormat="1" applyFont="1" applyBorder="1" applyAlignment="1">
      <alignment vertical="center"/>
    </xf>
    <xf numFmtId="201" fontId="23" fillId="0" borderId="0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1" applyNumberFormat="1" applyFont="1" applyBorder="1" applyAlignment="1">
      <alignment vertical="center" wrapText="1"/>
    </xf>
    <xf numFmtId="201" fontId="23" fillId="0" borderId="0" xfId="0" applyNumberFormat="1" applyFont="1" applyBorder="1" applyAlignment="1">
      <alignment vertical="center" wrapText="1"/>
    </xf>
    <xf numFmtId="0" fontId="23" fillId="0" borderId="6" xfId="0" applyFont="1" applyFill="1" applyBorder="1" applyAlignment="1">
      <alignment horizontal="center" vertical="center" wrapText="1"/>
    </xf>
    <xf numFmtId="43" fontId="23" fillId="0" borderId="5" xfId="1" applyFont="1" applyBorder="1" applyAlignment="1">
      <alignment vertical="center" wrapText="1"/>
    </xf>
    <xf numFmtId="0" fontId="23" fillId="0" borderId="4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center" vertical="center"/>
    </xf>
    <xf numFmtId="202" fontId="23" fillId="0" borderId="5" xfId="0" applyNumberFormat="1" applyFont="1" applyBorder="1" applyAlignment="1">
      <alignment vertical="center" wrapText="1"/>
    </xf>
    <xf numFmtId="0" fontId="26" fillId="0" borderId="0" xfId="0" applyFont="1" applyFill="1" applyBorder="1" applyAlignment="1">
      <alignment horizontal="right" wrapText="1"/>
    </xf>
    <xf numFmtId="2" fontId="23" fillId="0" borderId="5" xfId="0" applyNumberFormat="1" applyFont="1" applyBorder="1" applyAlignment="1">
      <alignment vertical="center" wrapText="1"/>
    </xf>
    <xf numFmtId="199" fontId="23" fillId="0" borderId="6" xfId="0" applyNumberFormat="1" applyFont="1" applyBorder="1" applyAlignment="1">
      <alignment vertical="center" wrapText="1"/>
    </xf>
    <xf numFmtId="205" fontId="26" fillId="0" borderId="0" xfId="0" applyNumberFormat="1" applyFont="1" applyFill="1" applyBorder="1" applyAlignment="1">
      <alignment horizontal="right" wrapText="1"/>
    </xf>
    <xf numFmtId="0" fontId="23" fillId="0" borderId="5" xfId="0" applyFont="1" applyBorder="1" applyAlignment="1">
      <alignment vertical="center" wrapText="1"/>
    </xf>
    <xf numFmtId="0" fontId="26" fillId="0" borderId="0" xfId="0" applyFont="1" applyFill="1" applyBorder="1" applyAlignment="1">
      <alignment wrapText="1"/>
    </xf>
    <xf numFmtId="205" fontId="23" fillId="0" borderId="5" xfId="0" applyNumberFormat="1" applyFont="1" applyFill="1" applyBorder="1" applyAlignment="1">
      <alignment vertical="center" wrapText="1"/>
    </xf>
    <xf numFmtId="201" fontId="23" fillId="0" borderId="0" xfId="0" applyNumberFormat="1" applyFont="1" applyFill="1" applyBorder="1" applyAlignment="1">
      <alignment vertical="center" wrapText="1"/>
    </xf>
    <xf numFmtId="203" fontId="23" fillId="0" borderId="5" xfId="0" applyNumberFormat="1" applyFont="1" applyBorder="1" applyAlignment="1">
      <alignment vertical="center" wrapText="1"/>
    </xf>
    <xf numFmtId="203" fontId="23" fillId="0" borderId="5" xfId="1" applyNumberFormat="1" applyFont="1" applyBorder="1" applyAlignment="1">
      <alignment vertical="center" wrapText="1"/>
    </xf>
    <xf numFmtId="0" fontId="23" fillId="0" borderId="10" xfId="0" applyFont="1" applyBorder="1" applyAlignment="1">
      <alignment horizontal="center" vertical="center" wrapText="1"/>
    </xf>
    <xf numFmtId="203" fontId="23" fillId="0" borderId="9" xfId="1" applyNumberFormat="1" applyFont="1" applyBorder="1" applyAlignment="1">
      <alignment vertical="center" wrapText="1"/>
    </xf>
    <xf numFmtId="201" fontId="23" fillId="0" borderId="1" xfId="0" applyNumberFormat="1" applyFont="1" applyBorder="1" applyAlignment="1">
      <alignment vertical="center" wrapText="1"/>
    </xf>
    <xf numFmtId="0" fontId="13" fillId="0" borderId="0" xfId="253" applyFont="1">
      <alignment vertical="center"/>
    </xf>
    <xf numFmtId="0" fontId="0" fillId="0" borderId="0" xfId="253" applyFont="1">
      <alignment vertical="center"/>
    </xf>
    <xf numFmtId="0" fontId="10" fillId="0" borderId="4" xfId="253" applyFont="1" applyBorder="1" applyAlignment="1">
      <alignment horizontal="center" vertical="center"/>
    </xf>
    <xf numFmtId="0" fontId="12" fillId="0" borderId="1" xfId="253" applyFont="1" applyBorder="1" applyAlignment="1">
      <alignment horizontal="center" vertical="center"/>
    </xf>
    <xf numFmtId="0" fontId="12" fillId="0" borderId="14" xfId="253" applyFont="1" applyBorder="1" applyAlignment="1">
      <alignment horizontal="center" vertical="center"/>
    </xf>
    <xf numFmtId="0" fontId="12" fillId="0" borderId="40" xfId="253" applyFont="1" applyBorder="1" applyAlignment="1">
      <alignment horizontal="center" vertical="center"/>
    </xf>
    <xf numFmtId="0" fontId="11" fillId="0" borderId="0" xfId="253" applyFont="1" applyBorder="1" applyAlignment="1">
      <alignment horizontal="left" vertical="center" wrapText="1"/>
    </xf>
    <xf numFmtId="203" fontId="11" fillId="0" borderId="6" xfId="0" applyNumberFormat="1" applyFont="1" applyFill="1" applyBorder="1" applyAlignment="1">
      <alignment horizontal="right" vertical="center" wrapText="1"/>
    </xf>
    <xf numFmtId="0" fontId="11" fillId="0" borderId="0" xfId="253" applyFont="1" applyBorder="1" applyAlignment="1">
      <alignment vertical="center" wrapText="1"/>
    </xf>
    <xf numFmtId="0" fontId="11" fillId="0" borderId="0" xfId="253" applyFont="1" applyBorder="1" applyAlignment="1">
      <alignment vertical="center"/>
    </xf>
    <xf numFmtId="203" fontId="11" fillId="0" borderId="13" xfId="0" applyNumberFormat="1" applyFont="1" applyFill="1" applyBorder="1" applyAlignment="1">
      <alignment horizontal="right" vertical="center" wrapText="1"/>
    </xf>
    <xf numFmtId="201" fontId="11" fillId="0" borderId="10" xfId="0" applyNumberFormat="1" applyFont="1" applyFill="1" applyBorder="1" applyAlignment="1">
      <alignment horizontal="right" vertical="center" wrapText="1"/>
    </xf>
    <xf numFmtId="0" fontId="18" fillId="0" borderId="33" xfId="253" applyFont="1" applyBorder="1" applyAlignment="1">
      <alignment horizontal="left" vertical="center" wrapText="1"/>
    </xf>
    <xf numFmtId="0" fontId="18" fillId="0" borderId="0" xfId="253" applyFont="1" applyBorder="1" applyAlignment="1">
      <alignment horizontal="left" vertical="center" wrapText="1"/>
    </xf>
    <xf numFmtId="0" fontId="0" fillId="0" borderId="0" xfId="253" applyFont="1" applyFill="1" applyAlignment="1">
      <alignment vertical="center"/>
    </xf>
    <xf numFmtId="0" fontId="10" fillId="0" borderId="6" xfId="253" applyFont="1" applyBorder="1" applyAlignment="1">
      <alignment horizontal="center" vertical="center"/>
    </xf>
    <xf numFmtId="0" fontId="24" fillId="0" borderId="14" xfId="253" applyFont="1" applyBorder="1" applyAlignment="1">
      <alignment horizontal="center" vertical="center"/>
    </xf>
    <xf numFmtId="49" fontId="24" fillId="0" borderId="16" xfId="258" applyNumberFormat="1" applyFont="1" applyBorder="1" applyAlignment="1">
      <alignment horizontal="center" vertical="center" wrapText="1"/>
    </xf>
    <xf numFmtId="0" fontId="23" fillId="0" borderId="4" xfId="253" applyFont="1" applyFill="1" applyBorder="1" applyAlignment="1">
      <alignment vertical="center" wrapText="1"/>
    </xf>
    <xf numFmtId="0" fontId="23" fillId="0" borderId="4" xfId="253" applyFont="1" applyBorder="1" applyAlignment="1">
      <alignment horizontal="center" vertical="center" wrapText="1"/>
    </xf>
    <xf numFmtId="203" fontId="23" fillId="0" borderId="35" xfId="253" applyNumberFormat="1" applyFont="1" applyBorder="1" applyAlignment="1">
      <alignment vertical="center" wrapText="1"/>
    </xf>
    <xf numFmtId="201" fontId="23" fillId="0" borderId="20" xfId="253" applyNumberFormat="1" applyFont="1" applyFill="1" applyBorder="1" applyAlignment="1">
      <alignment vertical="center" wrapText="1"/>
    </xf>
    <xf numFmtId="203" fontId="23" fillId="0" borderId="20" xfId="253" applyNumberFormat="1" applyFont="1" applyBorder="1" applyAlignment="1">
      <alignment vertical="center" wrapText="1"/>
    </xf>
    <xf numFmtId="201" fontId="23" fillId="0" borderId="21" xfId="254" applyNumberFormat="1" applyFont="1" applyFill="1" applyBorder="1" applyAlignment="1" applyProtection="1">
      <alignment horizontal="right" vertical="center" wrapText="1"/>
    </xf>
    <xf numFmtId="0" fontId="23" fillId="0" borderId="4" xfId="253" applyFont="1" applyBorder="1" applyAlignment="1">
      <alignment vertical="center" wrapText="1"/>
    </xf>
    <xf numFmtId="0" fontId="23" fillId="0" borderId="0" xfId="253" applyFont="1" applyBorder="1" applyAlignment="1">
      <alignment vertical="center" wrapText="1"/>
    </xf>
    <xf numFmtId="0" fontId="23" fillId="0" borderId="5" xfId="253" applyFont="1" applyBorder="1" applyAlignment="1">
      <alignment horizontal="center" vertical="center" wrapText="1"/>
    </xf>
    <xf numFmtId="0" fontId="23" fillId="0" borderId="4" xfId="253" applyFont="1" applyBorder="1" applyAlignment="1">
      <alignment horizontal="left" vertical="center" wrapText="1"/>
    </xf>
    <xf numFmtId="205" fontId="23" fillId="0" borderId="35" xfId="253" applyNumberFormat="1" applyFont="1" applyBorder="1" applyAlignment="1">
      <alignment vertical="center" wrapText="1"/>
    </xf>
    <xf numFmtId="205" fontId="23" fillId="0" borderId="20" xfId="253" applyNumberFormat="1" applyFont="1" applyBorder="1" applyAlignment="1">
      <alignment vertical="center" wrapText="1"/>
    </xf>
    <xf numFmtId="203" fontId="0" fillId="0" borderId="0" xfId="253" applyNumberFormat="1" applyFont="1" applyFill="1" applyAlignment="1">
      <alignment horizontal="left" vertical="center"/>
    </xf>
    <xf numFmtId="0" fontId="23" fillId="0" borderId="8" xfId="253" applyFont="1" applyBorder="1" applyAlignment="1">
      <alignment vertical="center" wrapText="1"/>
    </xf>
    <xf numFmtId="0" fontId="23" fillId="0" borderId="8" xfId="253" applyFont="1" applyBorder="1" applyAlignment="1">
      <alignment horizontal="center" vertical="center" wrapText="1"/>
    </xf>
    <xf numFmtId="203" fontId="23" fillId="0" borderId="48" xfId="253" applyNumberFormat="1" applyFont="1" applyBorder="1" applyAlignment="1">
      <alignment vertical="center" wrapText="1"/>
    </xf>
    <xf numFmtId="201" fontId="23" fillId="0" borderId="49" xfId="253" applyNumberFormat="1" applyFont="1" applyFill="1" applyBorder="1" applyAlignment="1">
      <alignment vertical="center" wrapText="1"/>
    </xf>
    <xf numFmtId="203" fontId="23" fillId="0" borderId="49" xfId="253" applyNumberFormat="1" applyFont="1" applyBorder="1" applyAlignment="1">
      <alignment vertical="center" wrapText="1"/>
    </xf>
    <xf numFmtId="201" fontId="23" fillId="0" borderId="41" xfId="254" applyNumberFormat="1" applyFont="1" applyFill="1" applyBorder="1" applyAlignment="1" applyProtection="1">
      <alignment horizontal="right" vertical="center" wrapText="1"/>
    </xf>
    <xf numFmtId="203" fontId="0" fillId="0" borderId="0" xfId="253" applyNumberFormat="1" applyFont="1">
      <alignment vertical="center"/>
    </xf>
    <xf numFmtId="0" fontId="23" fillId="0" borderId="4" xfId="253" applyFont="1" applyFill="1" applyBorder="1" applyAlignment="1">
      <alignment horizontal="center" vertical="center" wrapText="1"/>
    </xf>
    <xf numFmtId="201" fontId="23" fillId="0" borderId="20" xfId="253" applyNumberFormat="1" applyFont="1" applyBorder="1" applyAlignment="1">
      <alignment vertical="center" wrapText="1"/>
    </xf>
    <xf numFmtId="201" fontId="23" fillId="0" borderId="20" xfId="253" applyNumberFormat="1" applyFont="1" applyBorder="1" applyAlignment="1">
      <alignment horizontal="right" vertical="center" wrapText="1"/>
    </xf>
    <xf numFmtId="203" fontId="0" fillId="0" borderId="0" xfId="253" applyNumberFormat="1" applyFont="1" applyAlignment="1">
      <alignment horizontal="left" vertical="center"/>
    </xf>
    <xf numFmtId="0" fontId="23" fillId="0" borderId="50" xfId="253" applyFont="1" applyFill="1" applyBorder="1" applyAlignment="1">
      <alignment horizontal="center" vertical="center" wrapText="1"/>
    </xf>
    <xf numFmtId="201" fontId="23" fillId="0" borderId="49" xfId="253" applyNumberFormat="1" applyFont="1" applyBorder="1" applyAlignment="1">
      <alignment vertical="center" wrapText="1"/>
    </xf>
    <xf numFmtId="203" fontId="23" fillId="0" borderId="5" xfId="253" applyNumberFormat="1" applyFont="1" applyBorder="1" applyAlignment="1">
      <alignment vertical="center" wrapText="1"/>
    </xf>
    <xf numFmtId="201" fontId="23" fillId="0" borderId="5" xfId="253" applyNumberFormat="1" applyFont="1" applyFill="1" applyBorder="1" applyAlignment="1">
      <alignment vertical="center" wrapText="1"/>
    </xf>
    <xf numFmtId="201" fontId="23" fillId="0" borderId="5" xfId="253" applyNumberFormat="1" applyFont="1" applyFill="1" applyBorder="1" applyAlignment="1">
      <alignment horizontal="right" vertical="center" wrapText="1"/>
    </xf>
    <xf numFmtId="205" fontId="23" fillId="0" borderId="5" xfId="253" applyNumberFormat="1" applyFont="1" applyFill="1" applyBorder="1" applyAlignment="1">
      <alignment horizontal="right" vertical="center" wrapText="1"/>
    </xf>
    <xf numFmtId="0" fontId="23" fillId="0" borderId="0" xfId="253" applyFont="1" applyFill="1">
      <alignment vertical="center"/>
    </xf>
    <xf numFmtId="201" fontId="23" fillId="0" borderId="6" xfId="253" applyNumberFormat="1" applyFont="1" applyFill="1" applyBorder="1" applyAlignment="1">
      <alignment vertical="center" wrapText="1"/>
    </xf>
    <xf numFmtId="203" fontId="23" fillId="0" borderId="0" xfId="253" applyNumberFormat="1" applyFont="1" applyAlignment="1">
      <alignment vertical="center" wrapText="1"/>
    </xf>
    <xf numFmtId="0" fontId="23" fillId="0" borderId="8" xfId="253" applyFont="1" applyFill="1" applyBorder="1" applyAlignment="1">
      <alignment horizontal="left" vertical="center" wrapText="1"/>
    </xf>
    <xf numFmtId="0" fontId="23" fillId="0" borderId="8" xfId="253" applyFont="1" applyFill="1" applyBorder="1" applyAlignment="1">
      <alignment horizontal="center" vertical="center" wrapText="1"/>
    </xf>
    <xf numFmtId="205" fontId="23" fillId="0" borderId="9" xfId="253" applyNumberFormat="1" applyFont="1" applyFill="1" applyBorder="1" applyAlignment="1">
      <alignment horizontal="right" vertical="center" wrapText="1"/>
    </xf>
    <xf numFmtId="201" fontId="23" fillId="0" borderId="9" xfId="253" applyNumberFormat="1" applyFont="1" applyFill="1" applyBorder="1" applyAlignment="1">
      <alignment horizontal="right" vertical="center" wrapText="1"/>
    </xf>
    <xf numFmtId="201" fontId="23" fillId="0" borderId="10" xfId="253" applyNumberFormat="1" applyFont="1" applyFill="1" applyBorder="1" applyAlignment="1">
      <alignment vertical="center" wrapText="1"/>
    </xf>
    <xf numFmtId="0" fontId="24" fillId="0" borderId="1" xfId="253" applyFont="1" applyBorder="1" applyAlignment="1">
      <alignment horizontal="center" vertical="center"/>
    </xf>
    <xf numFmtId="0" fontId="23" fillId="0" borderId="1" xfId="253" applyFont="1" applyBorder="1" applyAlignment="1">
      <alignment horizontal="right" vertical="center"/>
    </xf>
    <xf numFmtId="0" fontId="23" fillId="0" borderId="1" xfId="0" applyFont="1" applyBorder="1" applyAlignment="1">
      <alignment horizontal="right" vertical="center"/>
    </xf>
    <xf numFmtId="0" fontId="24" fillId="0" borderId="2" xfId="253" applyFont="1" applyBorder="1" applyAlignment="1">
      <alignment horizontal="center" vertical="center"/>
    </xf>
    <xf numFmtId="0" fontId="23" fillId="0" borderId="47" xfId="253" applyFont="1" applyBorder="1" applyAlignment="1">
      <alignment vertical="center" wrapText="1"/>
    </xf>
    <xf numFmtId="203" fontId="23" fillId="0" borderId="21" xfId="253" applyNumberFormat="1" applyFont="1" applyBorder="1" applyAlignment="1">
      <alignment vertical="center" wrapText="1"/>
    </xf>
    <xf numFmtId="205" fontId="0" fillId="0" borderId="0" xfId="253" applyNumberFormat="1" applyFont="1">
      <alignment vertical="center"/>
    </xf>
    <xf numFmtId="201" fontId="23" fillId="0" borderId="20" xfId="253" applyNumberFormat="1" applyFont="1" applyFill="1" applyBorder="1" applyAlignment="1">
      <alignment horizontal="right" vertical="center" wrapText="1"/>
    </xf>
    <xf numFmtId="203" fontId="23" fillId="0" borderId="41" xfId="253" applyNumberFormat="1" applyFont="1" applyBorder="1" applyAlignment="1">
      <alignment vertical="center" wrapText="1"/>
    </xf>
    <xf numFmtId="0" fontId="24" fillId="0" borderId="1" xfId="253" applyFont="1" applyFill="1" applyBorder="1" applyAlignment="1">
      <alignment horizontal="center" vertical="center"/>
    </xf>
    <xf numFmtId="0" fontId="23" fillId="0" borderId="1" xfId="253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right" vertical="center"/>
    </xf>
    <xf numFmtId="0" fontId="24" fillId="0" borderId="2" xfId="253" applyFont="1" applyFill="1" applyBorder="1" applyAlignment="1">
      <alignment horizontal="center" vertical="center"/>
    </xf>
    <xf numFmtId="0" fontId="24" fillId="0" borderId="42" xfId="253" applyFont="1" applyFill="1" applyBorder="1" applyAlignment="1">
      <alignment horizontal="center" vertical="center"/>
    </xf>
    <xf numFmtId="49" fontId="24" fillId="0" borderId="44" xfId="258" applyNumberFormat="1" applyFont="1" applyFill="1" applyBorder="1" applyAlignment="1">
      <alignment horizontal="center" vertical="center" wrapText="1"/>
    </xf>
    <xf numFmtId="0" fontId="24" fillId="0" borderId="43" xfId="0" applyFont="1" applyFill="1" applyBorder="1" applyAlignment="1">
      <alignment horizontal="center" vertical="center"/>
    </xf>
    <xf numFmtId="0" fontId="23" fillId="0" borderId="47" xfId="253" applyFont="1" applyFill="1" applyBorder="1" applyAlignment="1">
      <alignment vertical="center" wrapText="1"/>
    </xf>
    <xf numFmtId="203" fontId="23" fillId="0" borderId="51" xfId="0" applyNumberFormat="1" applyFont="1" applyBorder="1" applyAlignment="1">
      <alignment vertical="center" wrapText="1"/>
    </xf>
    <xf numFmtId="201" fontId="23" fillId="0" borderId="52" xfId="253" applyNumberFormat="1" applyFont="1" applyFill="1" applyBorder="1" applyAlignment="1">
      <alignment vertical="center" wrapText="1"/>
    </xf>
    <xf numFmtId="203" fontId="23" fillId="0" borderId="52" xfId="0" applyNumberFormat="1" applyFont="1" applyBorder="1" applyAlignment="1">
      <alignment vertical="center" wrapText="1"/>
    </xf>
    <xf numFmtId="201" fontId="23" fillId="0" borderId="53" xfId="254" applyNumberFormat="1" applyFont="1" applyFill="1" applyBorder="1" applyAlignment="1" applyProtection="1">
      <alignment horizontal="right" vertical="center" wrapText="1"/>
    </xf>
    <xf numFmtId="0" fontId="23" fillId="0" borderId="4" xfId="253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3" fillId="0" borderId="8" xfId="253" applyFont="1" applyFill="1" applyBorder="1" applyAlignment="1">
      <alignment vertical="center" wrapText="1"/>
    </xf>
    <xf numFmtId="203" fontId="23" fillId="0" borderId="54" xfId="0" applyNumberFormat="1" applyFont="1" applyBorder="1" applyAlignment="1">
      <alignment vertical="center" wrapText="1"/>
    </xf>
    <xf numFmtId="201" fontId="23" fillId="0" borderId="22" xfId="253" applyNumberFormat="1" applyFont="1" applyFill="1" applyBorder="1" applyAlignment="1">
      <alignment vertical="center" wrapText="1"/>
    </xf>
    <xf numFmtId="201" fontId="23" fillId="0" borderId="23" xfId="254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Alignment="1">
      <alignment horizontal="center"/>
    </xf>
    <xf numFmtId="0" fontId="24" fillId="0" borderId="14" xfId="0" applyFont="1" applyFill="1" applyBorder="1" applyAlignment="1">
      <alignment horizontal="center" vertical="center"/>
    </xf>
    <xf numFmtId="205" fontId="24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3" fillId="0" borderId="5" xfId="0" applyFont="1" applyFill="1" applyBorder="1" applyAlignment="1">
      <alignment horizontal="center" vertical="center"/>
    </xf>
    <xf numFmtId="205" fontId="23" fillId="0" borderId="5" xfId="0" applyNumberFormat="1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vertical="center"/>
    </xf>
    <xf numFmtId="201" fontId="23" fillId="0" borderId="5" xfId="0" applyNumberFormat="1" applyFont="1" applyFill="1" applyBorder="1" applyAlignment="1">
      <alignment horizontal="right" vertical="center" wrapText="1"/>
    </xf>
    <xf numFmtId="0" fontId="23" fillId="0" borderId="8" xfId="0" applyFont="1" applyFill="1" applyBorder="1" applyAlignment="1">
      <alignment vertical="center"/>
    </xf>
    <xf numFmtId="0" fontId="23" fillId="0" borderId="9" xfId="0" applyFont="1" applyFill="1" applyBorder="1" applyAlignment="1">
      <alignment horizontal="center" vertical="center"/>
    </xf>
    <xf numFmtId="201" fontId="23" fillId="0" borderId="9" xfId="0" applyNumberFormat="1" applyFont="1" applyFill="1" applyBorder="1" applyAlignment="1">
      <alignment horizontal="right" vertical="center" wrapText="1"/>
    </xf>
    <xf numFmtId="0" fontId="10" fillId="0" borderId="6" xfId="253" applyFont="1" applyFill="1" applyBorder="1" applyAlignment="1">
      <alignment horizontal="center" vertical="center"/>
    </xf>
    <xf numFmtId="0" fontId="24" fillId="0" borderId="14" xfId="253" applyFont="1" applyFill="1" applyBorder="1" applyAlignment="1">
      <alignment horizontal="center" vertical="center"/>
    </xf>
    <xf numFmtId="49" fontId="24" fillId="0" borderId="16" xfId="258" applyNumberFormat="1" applyFont="1" applyFill="1" applyBorder="1" applyAlignment="1">
      <alignment horizontal="center" vertical="center" wrapText="1"/>
    </xf>
    <xf numFmtId="203" fontId="23" fillId="0" borderId="27" xfId="0" applyNumberFormat="1" applyFont="1" applyBorder="1" applyAlignment="1">
      <alignment vertical="center" wrapText="1"/>
    </xf>
    <xf numFmtId="201" fontId="23" fillId="0" borderId="27" xfId="253" applyNumberFormat="1" applyFont="1" applyFill="1" applyBorder="1" applyAlignment="1">
      <alignment vertical="center" wrapText="1"/>
    </xf>
    <xf numFmtId="0" fontId="23" fillId="0" borderId="1" xfId="253" applyFont="1" applyFill="1" applyBorder="1" applyAlignment="1">
      <alignment vertical="center" wrapText="1"/>
    </xf>
    <xf numFmtId="203" fontId="23" fillId="0" borderId="9" xfId="0" applyNumberFormat="1" applyFont="1" applyBorder="1" applyAlignment="1">
      <alignment vertical="center" wrapText="1"/>
    </xf>
    <xf numFmtId="201" fontId="23" fillId="0" borderId="9" xfId="253" applyNumberFormat="1" applyFont="1" applyFill="1" applyBorder="1" applyAlignment="1">
      <alignment vertical="center" wrapText="1"/>
    </xf>
    <xf numFmtId="0" fontId="11" fillId="0" borderId="1" xfId="253" applyFont="1" applyBorder="1" applyAlignment="1">
      <alignment horizontal="right" vertical="center"/>
    </xf>
    <xf numFmtId="49" fontId="12" fillId="0" borderId="16" xfId="258" applyNumberFormat="1" applyFont="1" applyBorder="1" applyAlignment="1">
      <alignment horizontal="center" vertical="center" wrapText="1"/>
    </xf>
    <xf numFmtId="203" fontId="11" fillId="0" borderId="20" xfId="253" applyNumberFormat="1" applyFont="1" applyBorder="1" applyAlignment="1">
      <alignment vertical="center" wrapText="1"/>
    </xf>
    <xf numFmtId="201" fontId="11" fillId="0" borderId="20" xfId="253" applyNumberFormat="1" applyFont="1" applyFill="1" applyBorder="1" applyAlignment="1">
      <alignment vertical="center" wrapText="1"/>
    </xf>
    <xf numFmtId="203" fontId="11" fillId="0" borderId="21" xfId="253" applyNumberFormat="1" applyFont="1" applyBorder="1" applyAlignment="1">
      <alignment vertical="center" wrapText="1"/>
    </xf>
    <xf numFmtId="201" fontId="11" fillId="0" borderId="6" xfId="254" applyNumberFormat="1" applyFont="1" applyFill="1" applyBorder="1" applyAlignment="1" applyProtection="1">
      <alignment horizontal="right" vertical="center" wrapText="1"/>
    </xf>
    <xf numFmtId="201" fontId="11" fillId="0" borderId="20" xfId="253" applyNumberFormat="1" applyFont="1" applyFill="1" applyBorder="1" applyAlignment="1">
      <alignment horizontal="right" vertical="center" wrapText="1"/>
    </xf>
    <xf numFmtId="0" fontId="11" fillId="0" borderId="3" xfId="253" applyFont="1" applyBorder="1" applyAlignment="1">
      <alignment vertical="center" wrapText="1"/>
    </xf>
    <xf numFmtId="203" fontId="11" fillId="0" borderId="55" xfId="253" applyNumberFormat="1" applyFont="1" applyBorder="1" applyAlignment="1">
      <alignment vertical="center" wrapText="1"/>
    </xf>
    <xf numFmtId="201" fontId="11" fillId="0" borderId="55" xfId="253" applyNumberFormat="1" applyFont="1" applyFill="1" applyBorder="1" applyAlignment="1">
      <alignment vertical="center" wrapText="1"/>
    </xf>
    <xf numFmtId="203" fontId="11" fillId="0" borderId="56" xfId="253" applyNumberFormat="1" applyFont="1" applyBorder="1" applyAlignment="1">
      <alignment vertical="center" wrapText="1"/>
    </xf>
    <xf numFmtId="201" fontId="11" fillId="0" borderId="13" xfId="254" applyNumberFormat="1" applyFont="1" applyFill="1" applyBorder="1" applyAlignment="1" applyProtection="1">
      <alignment horizontal="right" vertical="center" wrapText="1"/>
    </xf>
    <xf numFmtId="0" fontId="11" fillId="0" borderId="17" xfId="253" applyFont="1" applyBorder="1" applyAlignment="1">
      <alignment vertical="center" wrapText="1"/>
    </xf>
    <xf numFmtId="203" fontId="11" fillId="0" borderId="57" xfId="253" applyNumberFormat="1" applyFont="1" applyBorder="1" applyAlignment="1">
      <alignment vertical="center" wrapText="1"/>
    </xf>
    <xf numFmtId="201" fontId="11" fillId="0" borderId="19" xfId="254" applyNumberFormat="1" applyFont="1" applyFill="1" applyBorder="1" applyAlignment="1" applyProtection="1">
      <alignment horizontal="right" vertical="center" wrapText="1"/>
    </xf>
    <xf numFmtId="0" fontId="11" fillId="0" borderId="2" xfId="253" applyFont="1" applyBorder="1" applyAlignment="1">
      <alignment horizontal="center" vertical="center"/>
    </xf>
    <xf numFmtId="0" fontId="11" fillId="0" borderId="13" xfId="253" applyNumberFormat="1" applyFont="1" applyFill="1" applyBorder="1" applyAlignment="1">
      <alignment horizontal="center" vertical="center" wrapText="1"/>
    </xf>
    <xf numFmtId="0" fontId="11" fillId="0" borderId="2" xfId="253" applyNumberFormat="1" applyFont="1" applyFill="1" applyBorder="1" applyAlignment="1">
      <alignment horizontal="center" vertical="center" wrapText="1"/>
    </xf>
    <xf numFmtId="0" fontId="11" fillId="0" borderId="5" xfId="258" applyNumberFormat="1" applyFont="1" applyFill="1" applyBorder="1" applyAlignment="1">
      <alignment horizontal="center" vertical="center" wrapText="1"/>
    </xf>
    <xf numFmtId="0" fontId="11" fillId="0" borderId="6" xfId="258" applyNumberFormat="1" applyFont="1" applyFill="1" applyBorder="1" applyAlignment="1">
      <alignment horizontal="center" vertical="center" wrapText="1"/>
    </xf>
    <xf numFmtId="0" fontId="11" fillId="0" borderId="58" xfId="253" applyFont="1" applyBorder="1" applyAlignment="1">
      <alignment vertical="center" wrapText="1"/>
    </xf>
    <xf numFmtId="203" fontId="11" fillId="0" borderId="59" xfId="253" applyNumberFormat="1" applyFont="1" applyFill="1" applyBorder="1" applyAlignment="1">
      <alignment horizontal="right" vertical="center" wrapText="1"/>
    </xf>
    <xf numFmtId="203" fontId="11" fillId="0" borderId="58" xfId="253" applyNumberFormat="1" applyFont="1" applyFill="1" applyBorder="1" applyAlignment="1">
      <alignment horizontal="right" vertical="center" wrapText="1"/>
    </xf>
    <xf numFmtId="200" fontId="11" fillId="0" borderId="60" xfId="148" applyNumberFormat="1" applyFont="1" applyFill="1" applyBorder="1" applyAlignment="1">
      <alignment horizontal="right" vertical="center" wrapText="1"/>
    </xf>
    <xf numFmtId="201" fontId="11" fillId="0" borderId="59" xfId="254" applyNumberFormat="1" applyFont="1" applyFill="1" applyBorder="1" applyAlignment="1" applyProtection="1">
      <alignment horizontal="right" vertical="center" wrapText="1"/>
    </xf>
    <xf numFmtId="0" fontId="18" fillId="0" borderId="0" xfId="253" applyFont="1" applyBorder="1" applyAlignment="1">
      <alignment horizontal="left" vertical="center"/>
    </xf>
    <xf numFmtId="0" fontId="0" fillId="0" borderId="0" xfId="259" applyFont="1" applyFill="1">
      <alignment vertical="center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201" fontId="24" fillId="0" borderId="16" xfId="0" applyNumberFormat="1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justify" vertical="center" wrapText="1"/>
    </xf>
    <xf numFmtId="0" fontId="23" fillId="0" borderId="4" xfId="0" applyFont="1" applyFill="1" applyBorder="1" applyAlignment="1">
      <alignment horizontal="center" vertical="center" wrapText="1"/>
    </xf>
    <xf numFmtId="206" fontId="23" fillId="0" borderId="5" xfId="148" applyNumberFormat="1" applyFont="1" applyFill="1" applyBorder="1" applyAlignment="1">
      <alignment horizontal="right" vertical="center" wrapText="1"/>
    </xf>
    <xf numFmtId="201" fontId="23" fillId="0" borderId="0" xfId="254" applyNumberFormat="1" applyFont="1" applyFill="1" applyBorder="1" applyAlignment="1" applyProtection="1">
      <alignment horizontal="right" vertical="center" wrapText="1"/>
    </xf>
    <xf numFmtId="203" fontId="23" fillId="0" borderId="4" xfId="259" applyNumberFormat="1" applyFont="1" applyFill="1" applyBorder="1" applyAlignment="1">
      <alignment horizontal="right" vertical="center" wrapText="1"/>
    </xf>
    <xf numFmtId="203" fontId="23" fillId="0" borderId="5" xfId="148" applyNumberFormat="1" applyFont="1" applyFill="1" applyBorder="1" applyAlignment="1">
      <alignment horizontal="right" vertical="center" wrapText="1"/>
    </xf>
    <xf numFmtId="0" fontId="23" fillId="0" borderId="8" xfId="0" applyFont="1" applyFill="1" applyBorder="1" applyAlignment="1">
      <alignment horizontal="justify" vertical="center" wrapText="1"/>
    </xf>
    <xf numFmtId="0" fontId="23" fillId="0" borderId="9" xfId="0" applyFont="1" applyFill="1" applyBorder="1" applyAlignment="1">
      <alignment horizontal="center" vertical="center" wrapText="1"/>
    </xf>
    <xf numFmtId="203" fontId="23" fillId="0" borderId="9" xfId="148" applyNumberFormat="1" applyFont="1" applyFill="1" applyBorder="1" applyAlignment="1">
      <alignment horizontal="right" vertical="center" wrapText="1"/>
    </xf>
    <xf numFmtId="201" fontId="23" fillId="0" borderId="1" xfId="254" applyNumberFormat="1" applyFont="1" applyFill="1" applyBorder="1" applyAlignment="1" applyProtection="1">
      <alignment horizontal="right" vertical="center" wrapText="1"/>
    </xf>
    <xf numFmtId="0" fontId="4" fillId="0" borderId="0" xfId="0" applyFont="1" applyFill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203" fontId="11" fillId="0" borderId="27" xfId="189" applyNumberFormat="1" applyFont="1" applyFill="1" applyBorder="1" applyAlignment="1" applyProtection="1">
      <alignment horizontal="right" vertical="center" wrapText="1"/>
      <protection hidden="1"/>
    </xf>
    <xf numFmtId="201" fontId="11" fillId="0" borderId="46" xfId="190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191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192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193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194" applyNumberFormat="1" applyFont="1" applyFill="1" applyBorder="1" applyAlignment="1" applyProtection="1">
      <alignment horizontal="right" vertical="center" wrapText="1"/>
      <protection hidden="1"/>
    </xf>
    <xf numFmtId="203" fontId="11" fillId="0" borderId="6" xfId="195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196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197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198" applyNumberFormat="1" applyFont="1" applyFill="1" applyBorder="1" applyAlignment="1" applyProtection="1">
      <alignment horizontal="right" vertical="center" wrapText="1"/>
      <protection hidden="1"/>
    </xf>
    <xf numFmtId="209" fontId="0" fillId="0" borderId="0" xfId="0" applyNumberFormat="1"/>
    <xf numFmtId="203" fontId="11" fillId="0" borderId="5" xfId="199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200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201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202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203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204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205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206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207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208" applyNumberFormat="1" applyFont="1" applyFill="1" applyBorder="1" applyAlignment="1" applyProtection="1">
      <alignment horizontal="right" vertical="center" wrapText="1"/>
      <protection hidden="1"/>
    </xf>
    <xf numFmtId="0" fontId="11" fillId="0" borderId="4" xfId="0" applyNumberFormat="1" applyFont="1" applyFill="1" applyBorder="1" applyAlignment="1">
      <alignment vertical="center"/>
    </xf>
    <xf numFmtId="203" fontId="11" fillId="0" borderId="5" xfId="210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211" applyNumberFormat="1" applyFont="1" applyFill="1" applyBorder="1" applyAlignment="1" applyProtection="1">
      <alignment horizontal="right" vertical="center" wrapText="1"/>
      <protection hidden="1"/>
    </xf>
    <xf numFmtId="0" fontId="11" fillId="0" borderId="4" xfId="0" applyFont="1" applyFill="1" applyBorder="1" applyAlignment="1">
      <alignment horizontal="left" vertical="center"/>
    </xf>
    <xf numFmtId="203" fontId="11" fillId="0" borderId="5" xfId="212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213" applyNumberFormat="1" applyFont="1" applyFill="1" applyBorder="1" applyAlignment="1" applyProtection="1">
      <alignment horizontal="right" vertical="center" wrapText="1"/>
      <protection hidden="1"/>
    </xf>
    <xf numFmtId="203" fontId="11" fillId="0" borderId="5" xfId="214" applyNumberFormat="1" applyFont="1" applyFill="1" applyBorder="1" applyAlignment="1" applyProtection="1">
      <alignment horizontal="right" vertical="center" wrapText="1"/>
      <protection hidden="1"/>
    </xf>
    <xf numFmtId="201" fontId="11" fillId="0" borderId="6" xfId="215" applyNumberFormat="1" applyFont="1" applyFill="1" applyBorder="1" applyAlignment="1" applyProtection="1">
      <alignment horizontal="right" vertical="center" wrapText="1"/>
      <protection hidden="1"/>
    </xf>
    <xf numFmtId="0" fontId="11" fillId="0" borderId="61" xfId="0" applyFont="1" applyFill="1" applyBorder="1" applyAlignment="1">
      <alignment vertical="center"/>
    </xf>
    <xf numFmtId="206" fontId="11" fillId="0" borderId="59" xfId="148" applyNumberFormat="1" applyFont="1" applyFill="1" applyBorder="1" applyAlignment="1">
      <alignment horizontal="center" vertical="center"/>
    </xf>
    <xf numFmtId="206" fontId="11" fillId="0" borderId="61" xfId="148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57" fontId="24" fillId="0" borderId="16" xfId="0" applyNumberFormat="1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justify" vertical="center" wrapText="1"/>
    </xf>
    <xf numFmtId="203" fontId="23" fillId="0" borderId="6" xfId="0" applyNumberFormat="1" applyFont="1" applyFill="1" applyBorder="1" applyAlignment="1">
      <alignment horizontal="right" vertical="center" wrapText="1"/>
    </xf>
    <xf numFmtId="203" fontId="23" fillId="0" borderId="6" xfId="0" applyNumberFormat="1" applyFont="1" applyBorder="1" applyAlignment="1">
      <alignment horizontal="right" vertical="center" wrapText="1"/>
    </xf>
    <xf numFmtId="0" fontId="23" fillId="0" borderId="6" xfId="0" applyFont="1" applyFill="1" applyBorder="1" applyAlignment="1">
      <alignment horizontal="justify" vertical="center" wrapText="1"/>
    </xf>
    <xf numFmtId="206" fontId="23" fillId="0" borderId="6" xfId="0" applyNumberFormat="1" applyFont="1" applyFill="1" applyBorder="1" applyAlignment="1">
      <alignment horizontal="right" vertical="center" wrapText="1"/>
    </xf>
    <xf numFmtId="205" fontId="23" fillId="0" borderId="6" xfId="0" applyNumberFormat="1" applyFont="1" applyFill="1" applyBorder="1" applyAlignment="1">
      <alignment horizontal="right" vertical="center" wrapText="1"/>
    </xf>
    <xf numFmtId="202" fontId="23" fillId="0" borderId="6" xfId="0" applyNumberFormat="1" applyFont="1" applyFill="1" applyBorder="1" applyAlignment="1">
      <alignment horizontal="right" vertical="center" wrapText="1"/>
    </xf>
    <xf numFmtId="203" fontId="23" fillId="0" borderId="5" xfId="0" applyNumberFormat="1" applyFont="1" applyBorder="1" applyAlignment="1">
      <alignment horizontal="right" vertical="center" wrapText="1"/>
    </xf>
    <xf numFmtId="201" fontId="23" fillId="0" borderId="0" xfId="252" applyNumberFormat="1" applyFont="1" applyFill="1" applyBorder="1" applyAlignment="1">
      <alignment horizontal="right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57" fontId="24" fillId="0" borderId="13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203" fontId="23" fillId="0" borderId="6" xfId="0" applyNumberFormat="1" applyFont="1" applyFill="1" applyBorder="1" applyAlignment="1">
      <alignment horizontal="center" vertical="center" wrapText="1"/>
    </xf>
    <xf numFmtId="201" fontId="23" fillId="0" borderId="6" xfId="0" applyNumberFormat="1" applyFont="1" applyFill="1" applyBorder="1" applyAlignment="1">
      <alignment horizontal="center" vertical="center" wrapText="1"/>
    </xf>
    <xf numFmtId="201" fontId="23" fillId="0" borderId="6" xfId="0" applyNumberFormat="1" applyFont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right" vertical="center" wrapText="1"/>
    </xf>
    <xf numFmtId="0" fontId="23" fillId="0" borderId="6" xfId="0" applyFont="1" applyBorder="1" applyAlignment="1">
      <alignment horizontal="right" vertical="center" wrapText="1"/>
    </xf>
  </cellXfs>
  <cellStyles count="30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0202" xfId="49"/>
    <cellStyle name="_Book1_1" xfId="50"/>
    <cellStyle name="_Book1_2" xfId="51"/>
    <cellStyle name="_Book1_3" xfId="52"/>
    <cellStyle name="_计财部审批要件" xfId="53"/>
    <cellStyle name="20% - Accent1" xfId="54"/>
    <cellStyle name="20% - Accent2" xfId="55"/>
    <cellStyle name="20% - Accent3" xfId="56"/>
    <cellStyle name="20% - Accent4" xfId="57"/>
    <cellStyle name="20% - Accent5" xfId="58"/>
    <cellStyle name="20% - Accent6" xfId="59"/>
    <cellStyle name="20% - 强调文字颜色 1 2" xfId="60"/>
    <cellStyle name="20% - 强调文字颜色 2 2" xfId="61"/>
    <cellStyle name="20% - 强调文字颜色 3 2" xfId="62"/>
    <cellStyle name="20% - 强调文字颜色 4 2" xfId="63"/>
    <cellStyle name="20% - 强调文字颜色 5 2" xfId="64"/>
    <cellStyle name="20% - 强调文字颜色 6 2" xfId="65"/>
    <cellStyle name="40% - Accent1" xfId="66"/>
    <cellStyle name="40% - Accent2" xfId="67"/>
    <cellStyle name="40% - Accent3" xfId="68"/>
    <cellStyle name="40% - Accent6" xfId="69"/>
    <cellStyle name="40% - 强调文字颜色 1 2" xfId="70"/>
    <cellStyle name="40% - 强调文字颜色 2 2" xfId="71"/>
    <cellStyle name="40% - 强调文字颜色 3 2" xfId="72"/>
    <cellStyle name="40% - 强调文字颜色 6 2" xfId="73"/>
    <cellStyle name="60% - Accent1" xfId="74"/>
    <cellStyle name="60% - Accent2" xfId="75"/>
    <cellStyle name="60% - Accent3" xfId="76"/>
    <cellStyle name="60% - Accent4" xfId="77"/>
    <cellStyle name="60% - Accent5" xfId="78"/>
    <cellStyle name="60% - Accent6" xfId="79"/>
    <cellStyle name="60% - 强调文字颜色 1 2" xfId="80"/>
    <cellStyle name="60% - 强调文字颜色 2 2" xfId="81"/>
    <cellStyle name="60% - 强调文字颜色 3 2" xfId="82"/>
    <cellStyle name="60% - 强调文字颜色 4 2" xfId="83"/>
    <cellStyle name="60% - 强调文字颜色 5 2" xfId="84"/>
    <cellStyle name="60% - 强调文字颜色 6 2" xfId="85"/>
    <cellStyle name="6mal" xfId="86"/>
    <cellStyle name="Accent1" xfId="87"/>
    <cellStyle name="Accent1 - 20%" xfId="88"/>
    <cellStyle name="Accent1 - 60%" xfId="89"/>
    <cellStyle name="Accent1_公安安全支出补充表5.14" xfId="90"/>
    <cellStyle name="Accent2" xfId="91"/>
    <cellStyle name="Accent2 - 20%" xfId="92"/>
    <cellStyle name="Accent2 - 40%" xfId="93"/>
    <cellStyle name="Accent2 - 60%" xfId="94"/>
    <cellStyle name="Accent2_公安安全支出补充表5.14" xfId="95"/>
    <cellStyle name="Accent3 - 40%" xfId="96"/>
    <cellStyle name="Accent3 - 60%" xfId="97"/>
    <cellStyle name="Accent3_公安安全支出补充表5.14" xfId="98"/>
    <cellStyle name="Accent5" xfId="99"/>
    <cellStyle name="Accent5 - 20%" xfId="100"/>
    <cellStyle name="Accent6" xfId="101"/>
    <cellStyle name="Accent6 - 40%" xfId="102"/>
    <cellStyle name="Accent6 - 60%" xfId="103"/>
    <cellStyle name="Accent6_公安安全支出补充表5.14" xfId="104"/>
    <cellStyle name="args.style" xfId="105"/>
    <cellStyle name="Bad" xfId="106"/>
    <cellStyle name="Calc Currency (0)" xfId="107"/>
    <cellStyle name="Calculation" xfId="108"/>
    <cellStyle name="Check Cell" xfId="109"/>
    <cellStyle name="ColLevel_0" xfId="110"/>
    <cellStyle name="Comma [0]" xfId="111"/>
    <cellStyle name="comma zerodec" xfId="112"/>
    <cellStyle name="Comma_!!!GO" xfId="113"/>
    <cellStyle name="Currency [0]" xfId="114"/>
    <cellStyle name="Currency_!!!GO" xfId="115"/>
    <cellStyle name="Currency1" xfId="116"/>
    <cellStyle name="Date" xfId="117"/>
    <cellStyle name="Dollar (zero dec)" xfId="118"/>
    <cellStyle name="Explanatory Text" xfId="119"/>
    <cellStyle name="Fixed" xfId="120"/>
    <cellStyle name="Good" xfId="121"/>
    <cellStyle name="Grey" xfId="122"/>
    <cellStyle name="Header1" xfId="123"/>
    <cellStyle name="Header2" xfId="124"/>
    <cellStyle name="Heading 1" xfId="125"/>
    <cellStyle name="Heading 2" xfId="126"/>
    <cellStyle name="Heading 3" xfId="127"/>
    <cellStyle name="Heading 4" xfId="128"/>
    <cellStyle name="HEADING1" xfId="129"/>
    <cellStyle name="HEADING2" xfId="130"/>
    <cellStyle name="Input" xfId="131"/>
    <cellStyle name="Input [yellow]" xfId="132"/>
    <cellStyle name="Input Cells" xfId="133"/>
    <cellStyle name="Linked Cell" xfId="134"/>
    <cellStyle name="Linked Cells" xfId="135"/>
    <cellStyle name="Millares [0]_96 Risk" xfId="136"/>
    <cellStyle name="Millares_96 Risk" xfId="137"/>
    <cellStyle name="Milliers [0]_!!!GO" xfId="138"/>
    <cellStyle name="Milliers_!!!GO" xfId="139"/>
    <cellStyle name="Moneda [0]_96 Risk" xfId="140"/>
    <cellStyle name="Moneda_96 Risk" xfId="141"/>
    <cellStyle name="Mon閠aire [0]_!!!GO" xfId="142"/>
    <cellStyle name="Neutral" xfId="143"/>
    <cellStyle name="New Times Roman" xfId="144"/>
    <cellStyle name="no dec" xfId="145"/>
    <cellStyle name="Norma,_laroux_4_营业在建 (2)_E21" xfId="146"/>
    <cellStyle name="Normal - Style1" xfId="147"/>
    <cellStyle name="Normal_3H8" xfId="148"/>
    <cellStyle name="Note" xfId="149"/>
    <cellStyle name="Output" xfId="150"/>
    <cellStyle name="per.style" xfId="151"/>
    <cellStyle name="Percent [2]" xfId="152"/>
    <cellStyle name="Pourcentage_pldt" xfId="153"/>
    <cellStyle name="PSChar" xfId="154"/>
    <cellStyle name="PSDate" xfId="155"/>
    <cellStyle name="PSDec" xfId="156"/>
    <cellStyle name="PSHeading" xfId="157"/>
    <cellStyle name="PSInt" xfId="158"/>
    <cellStyle name="PSSpacer" xfId="159"/>
    <cellStyle name="RowLevel_0" xfId="160"/>
    <cellStyle name="sstot" xfId="161"/>
    <cellStyle name="Standard_AREAS" xfId="162"/>
    <cellStyle name="Title" xfId="163"/>
    <cellStyle name="Total" xfId="164"/>
    <cellStyle name="Warning Text" xfId="165"/>
    <cellStyle name="百分比 2" xfId="166"/>
    <cellStyle name="捠壿 [0.00]_Region Orders (2)" xfId="167"/>
    <cellStyle name="捠壿_Region Orders (2)" xfId="168"/>
    <cellStyle name="编号" xfId="169"/>
    <cellStyle name="标题 1 2" xfId="170"/>
    <cellStyle name="标题 2 2" xfId="171"/>
    <cellStyle name="标题 3 2" xfId="172"/>
    <cellStyle name="标题 4 2" xfId="173"/>
    <cellStyle name="标题1" xfId="174"/>
    <cellStyle name="表标题" xfId="175"/>
    <cellStyle name="部门" xfId="176"/>
    <cellStyle name="差 2" xfId="177"/>
    <cellStyle name="差_00省级(打印)" xfId="178"/>
    <cellStyle name="差_03昭通" xfId="179"/>
    <cellStyle name="差_0605石屏县" xfId="180"/>
    <cellStyle name="差_530623_2006年县级财政报表附表" xfId="181"/>
    <cellStyle name="差_530629_2006年县级财政报表附表" xfId="182"/>
    <cellStyle name="差_5334_2006年迪庆县级财政报表附表" xfId="183"/>
    <cellStyle name="差_Book1" xfId="184"/>
    <cellStyle name="常规 17" xfId="185"/>
    <cellStyle name="常规 17 2" xfId="186"/>
    <cellStyle name="常规 19" xfId="187"/>
    <cellStyle name="常规 2" xfId="188"/>
    <cellStyle name="常规 20" xfId="189"/>
    <cellStyle name="常规 21" xfId="190"/>
    <cellStyle name="常规 22" xfId="191"/>
    <cellStyle name="常规 23" xfId="192"/>
    <cellStyle name="常规 24" xfId="193"/>
    <cellStyle name="常规 25" xfId="194"/>
    <cellStyle name="常规 26" xfId="195"/>
    <cellStyle name="常规 27" xfId="196"/>
    <cellStyle name="常规 28" xfId="197"/>
    <cellStyle name="常规 29" xfId="198"/>
    <cellStyle name="常规 30" xfId="199"/>
    <cellStyle name="常规 31" xfId="200"/>
    <cellStyle name="常规 32" xfId="201"/>
    <cellStyle name="常规 33" xfId="202"/>
    <cellStyle name="常规 34" xfId="203"/>
    <cellStyle name="常规 35" xfId="204"/>
    <cellStyle name="常规 36" xfId="205"/>
    <cellStyle name="常规 37" xfId="206"/>
    <cellStyle name="常规 38" xfId="207"/>
    <cellStyle name="常规 39" xfId="208"/>
    <cellStyle name="常规 4" xfId="209"/>
    <cellStyle name="常规 40" xfId="210"/>
    <cellStyle name="常规 41" xfId="211"/>
    <cellStyle name="常规 42" xfId="212"/>
    <cellStyle name="常规 43" xfId="213"/>
    <cellStyle name="常规 44" xfId="214"/>
    <cellStyle name="常规 45" xfId="215"/>
    <cellStyle name="常规 46" xfId="216"/>
    <cellStyle name="常规 47" xfId="217"/>
    <cellStyle name="常规 48" xfId="218"/>
    <cellStyle name="常规 49" xfId="219"/>
    <cellStyle name="常规 51" xfId="220"/>
    <cellStyle name="常规 52" xfId="221"/>
    <cellStyle name="常规 54" xfId="222"/>
    <cellStyle name="常规 55" xfId="223"/>
    <cellStyle name="常规 56" xfId="224"/>
    <cellStyle name="常规 57" xfId="225"/>
    <cellStyle name="常规 58" xfId="226"/>
    <cellStyle name="常规 59" xfId="227"/>
    <cellStyle name="常规 60" xfId="228"/>
    <cellStyle name="常规 61" xfId="229"/>
    <cellStyle name="常规 62" xfId="230"/>
    <cellStyle name="常规 65" xfId="231"/>
    <cellStyle name="常规 66" xfId="232"/>
    <cellStyle name="常规 67" xfId="233"/>
    <cellStyle name="常规 68" xfId="234"/>
    <cellStyle name="常规 69" xfId="235"/>
    <cellStyle name="常规 70" xfId="236"/>
    <cellStyle name="常规 71" xfId="237"/>
    <cellStyle name="常规 72" xfId="238"/>
    <cellStyle name="常规 73" xfId="239"/>
    <cellStyle name="常规 74" xfId="240"/>
    <cellStyle name="常规 75" xfId="241"/>
    <cellStyle name="常规 76" xfId="242"/>
    <cellStyle name="常规 78" xfId="243"/>
    <cellStyle name="常规 79" xfId="244"/>
    <cellStyle name="常规 80" xfId="245"/>
    <cellStyle name="常规 89" xfId="246"/>
    <cellStyle name="常规 90" xfId="247"/>
    <cellStyle name="常规 91" xfId="248"/>
    <cellStyle name="常规 92" xfId="249"/>
    <cellStyle name="常规 93" xfId="250"/>
    <cellStyle name="常规 94" xfId="251"/>
    <cellStyle name="常规_2001-2002年报表制度" xfId="252"/>
    <cellStyle name="常规_2010年2月投资月报" xfId="253"/>
    <cellStyle name="常规_2011年全省各市主要指标排位" xfId="254"/>
    <cellStyle name="常规_Sheet1" xfId="255"/>
    <cellStyle name="常规_册子——贸易(2016年9月)" xfId="256"/>
    <cellStyle name="常规_分市5" xfId="257"/>
    <cellStyle name="常规_农业产值" xfId="258"/>
    <cellStyle name="常规_农业生产情况" xfId="259"/>
    <cellStyle name="分级显示行_1_13区汇总" xfId="260"/>
    <cellStyle name="分级显示列_1_Book1" xfId="261"/>
    <cellStyle name="好 2" xfId="262"/>
    <cellStyle name="好_00省级(打印)" xfId="263"/>
    <cellStyle name="好_03昭通" xfId="264"/>
    <cellStyle name="好_0605石屏县" xfId="265"/>
    <cellStyle name="好_530623_2006年县级财政报表附表" xfId="266"/>
    <cellStyle name="好_530629_2006年县级财政报表附表" xfId="267"/>
    <cellStyle name="好_5334_2006年迪庆县级财政报表附表" xfId="268"/>
    <cellStyle name="好_Book1" xfId="269"/>
    <cellStyle name="后继超链接" xfId="270"/>
    <cellStyle name="汇总 10" xfId="271"/>
    <cellStyle name="汇总 2" xfId="272"/>
    <cellStyle name="计算 2" xfId="273"/>
    <cellStyle name="检查单元格 2" xfId="274"/>
    <cellStyle name="解释性文本 2" xfId="275"/>
    <cellStyle name="借出原因" xfId="276"/>
    <cellStyle name="警告文本 2" xfId="277"/>
    <cellStyle name="链接单元格 2" xfId="278"/>
    <cellStyle name="霓付 [0]_ +Foil &amp; -FOIL &amp; PAPER" xfId="279"/>
    <cellStyle name="霓付_ +Foil &amp; -FOIL &amp; PAPER" xfId="280"/>
    <cellStyle name="烹拳 [0]_ +Foil &amp; -FOIL &amp; PAPER" xfId="281"/>
    <cellStyle name="烹拳_ +Foil &amp; -FOIL &amp; PAPER" xfId="282"/>
    <cellStyle name="千位分隔 3" xfId="283"/>
    <cellStyle name="千位分隔[0] 2" xfId="284"/>
    <cellStyle name="钎霖_4岿角利" xfId="285"/>
    <cellStyle name="强调 1" xfId="286"/>
    <cellStyle name="强调 2" xfId="287"/>
    <cellStyle name="强调 3" xfId="288"/>
    <cellStyle name="强调文字颜色 1 2" xfId="289"/>
    <cellStyle name="强调文字颜色 2 2" xfId="290"/>
    <cellStyle name="强调文字颜色 3 2" xfId="291"/>
    <cellStyle name="强调文字颜色 6 2" xfId="292"/>
    <cellStyle name="日期" xfId="293"/>
    <cellStyle name="商品名称" xfId="294"/>
    <cellStyle name="适中 2" xfId="295"/>
    <cellStyle name="输出 2" xfId="296"/>
    <cellStyle name="输入 2" xfId="297"/>
    <cellStyle name="数量" xfId="298"/>
    <cellStyle name="数字" xfId="299"/>
    <cellStyle name="未定义" xfId="300"/>
    <cellStyle name="小数" xfId="301"/>
    <cellStyle name="样式 1" xfId="302"/>
    <cellStyle name="昗弨_Pacific Region P&amp;L" xfId="303"/>
    <cellStyle name="표준_0N-HANDLING " xfId="30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6" Type="http://schemas.openxmlformats.org/officeDocument/2006/relationships/styles" Target="styles.xml"/><Relationship Id="rId85" Type="http://schemas.openxmlformats.org/officeDocument/2006/relationships/sharedStrings" Target="sharedStrings.xml"/><Relationship Id="rId84" Type="http://schemas.openxmlformats.org/officeDocument/2006/relationships/theme" Target="theme/theme1.xml"/><Relationship Id="rId83" Type="http://schemas.openxmlformats.org/officeDocument/2006/relationships/externalLink" Target="externalLinks/externalLink27.xml"/><Relationship Id="rId82" Type="http://schemas.openxmlformats.org/officeDocument/2006/relationships/externalLink" Target="externalLinks/externalLink26.xml"/><Relationship Id="rId81" Type="http://schemas.openxmlformats.org/officeDocument/2006/relationships/externalLink" Target="externalLinks/externalLink25.xml"/><Relationship Id="rId80" Type="http://schemas.openxmlformats.org/officeDocument/2006/relationships/externalLink" Target="externalLinks/externalLink24.xml"/><Relationship Id="rId8" Type="http://schemas.openxmlformats.org/officeDocument/2006/relationships/worksheet" Target="worksheets/sheet8.xml"/><Relationship Id="rId79" Type="http://schemas.openxmlformats.org/officeDocument/2006/relationships/externalLink" Target="externalLinks/externalLink23.xml"/><Relationship Id="rId78" Type="http://schemas.openxmlformats.org/officeDocument/2006/relationships/externalLink" Target="externalLinks/externalLink22.xml"/><Relationship Id="rId77" Type="http://schemas.openxmlformats.org/officeDocument/2006/relationships/externalLink" Target="externalLinks/externalLink21.xml"/><Relationship Id="rId76" Type="http://schemas.openxmlformats.org/officeDocument/2006/relationships/externalLink" Target="externalLinks/externalLink20.xml"/><Relationship Id="rId75" Type="http://schemas.openxmlformats.org/officeDocument/2006/relationships/externalLink" Target="externalLinks/externalLink19.xml"/><Relationship Id="rId74" Type="http://schemas.openxmlformats.org/officeDocument/2006/relationships/externalLink" Target="externalLinks/externalLink18.xml"/><Relationship Id="rId73" Type="http://schemas.openxmlformats.org/officeDocument/2006/relationships/externalLink" Target="externalLinks/externalLink17.xml"/><Relationship Id="rId72" Type="http://schemas.openxmlformats.org/officeDocument/2006/relationships/externalLink" Target="externalLinks/externalLink16.xml"/><Relationship Id="rId71" Type="http://schemas.openxmlformats.org/officeDocument/2006/relationships/externalLink" Target="externalLinks/externalLink15.xml"/><Relationship Id="rId70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69" Type="http://schemas.openxmlformats.org/officeDocument/2006/relationships/externalLink" Target="externalLinks/externalLink13.xml"/><Relationship Id="rId68" Type="http://schemas.openxmlformats.org/officeDocument/2006/relationships/externalLink" Target="externalLinks/externalLink12.xml"/><Relationship Id="rId67" Type="http://schemas.openxmlformats.org/officeDocument/2006/relationships/externalLink" Target="externalLinks/externalLink11.xml"/><Relationship Id="rId66" Type="http://schemas.openxmlformats.org/officeDocument/2006/relationships/externalLink" Target="externalLinks/externalLink10.xml"/><Relationship Id="rId65" Type="http://schemas.openxmlformats.org/officeDocument/2006/relationships/externalLink" Target="externalLinks/externalLink9.xml"/><Relationship Id="rId64" Type="http://schemas.openxmlformats.org/officeDocument/2006/relationships/externalLink" Target="externalLinks/externalLink8.xml"/><Relationship Id="rId63" Type="http://schemas.openxmlformats.org/officeDocument/2006/relationships/externalLink" Target="externalLinks/externalLink7.xml"/><Relationship Id="rId62" Type="http://schemas.openxmlformats.org/officeDocument/2006/relationships/externalLink" Target="externalLinks/externalLink6.xml"/><Relationship Id="rId61" Type="http://schemas.openxmlformats.org/officeDocument/2006/relationships/externalLink" Target="externalLinks/externalLink5.xml"/><Relationship Id="rId60" Type="http://schemas.openxmlformats.org/officeDocument/2006/relationships/externalLink" Target="externalLinks/externalLink4.xml"/><Relationship Id="rId6" Type="http://schemas.openxmlformats.org/officeDocument/2006/relationships/worksheet" Target="worksheets/sheet6.xml"/><Relationship Id="rId59" Type="http://schemas.openxmlformats.org/officeDocument/2006/relationships/externalLink" Target="externalLinks/externalLink3.xml"/><Relationship Id="rId58" Type="http://schemas.openxmlformats.org/officeDocument/2006/relationships/externalLink" Target="externalLinks/externalLink2.xml"/><Relationship Id="rId57" Type="http://schemas.openxmlformats.org/officeDocument/2006/relationships/externalLink" Target="externalLinks/externalLink1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56.0.160.17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892;&#19994;&#20154;&#21475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56.0.160.17\DOCUME~1\zq\LOCALS~1\Temp\&#36130;&#25919;&#20379;&#20859;&#20154;&#21592;&#20449;&#24687;&#34920;\&#25945;&#32946;\&#27896;&#27700;&#22235;&#20013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4635;&#20154;&#2147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dministrator\&#26700;&#38754;\1106&#26399;&#19987;&#19994;&#31185;&#30446;&#25253;&#21517;&#20449;&#24687;\&#24066;&#20116;&#20013;1106&#26399;&#20013;&#32423;&#22521;&#35757;&#25253;&#21517;&#34920;16&#2608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56.0.160.17\DOCUME~1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农业人口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总人口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"/>
      <sheetName val="00000ppy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"/>
      <sheetName val="13 铁路配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4"/>
  <sheetViews>
    <sheetView zoomScale="80" zoomScaleNormal="80" workbookViewId="0">
      <selection activeCell="A1" sqref="A1:E24"/>
    </sheetView>
  </sheetViews>
  <sheetFormatPr defaultColWidth="9" defaultRowHeight="14.25"/>
  <cols>
    <col min="1" max="1" width="32.375" style="562" customWidth="1"/>
    <col min="2" max="2" width="12" style="562" customWidth="1"/>
    <col min="3" max="3" width="10.625" style="562" customWidth="1"/>
    <col min="4" max="4" width="12.125" style="527" customWidth="1"/>
    <col min="5" max="5" width="10.625" style="562" customWidth="1"/>
    <col min="6" max="6" width="9" style="562"/>
    <col min="7" max="7" width="10.5" style="562" customWidth="1"/>
    <col min="8" max="8" width="9.75" style="562" customWidth="1"/>
    <col min="9" max="9" width="11.75" style="562" customWidth="1"/>
    <col min="10" max="16384" width="9" style="562"/>
  </cols>
  <sheetData>
    <row r="1" ht="28.5" customHeight="1" spans="1:9">
      <c r="A1" s="530" t="s">
        <v>150</v>
      </c>
      <c r="B1" s="530"/>
      <c r="C1" s="530"/>
      <c r="D1" s="530"/>
      <c r="E1" s="530"/>
    </row>
    <row r="2" ht="20" customHeight="1" spans="1:9">
      <c r="A2" s="617"/>
      <c r="B2" s="617"/>
      <c r="C2" s="617"/>
      <c r="D2" s="618" t="s">
        <v>37</v>
      </c>
      <c r="E2" s="619"/>
    </row>
    <row r="3" ht="35.25" customHeight="1" spans="1:9">
      <c r="A3" s="620" t="s">
        <v>38</v>
      </c>
      <c r="B3" s="577" t="s">
        <v>77</v>
      </c>
      <c r="C3" s="578" t="s">
        <v>78</v>
      </c>
      <c r="D3" s="433" t="s">
        <v>79</v>
      </c>
      <c r="E3" s="578" t="s">
        <v>78</v>
      </c>
      <c r="G3" s="598"/>
      <c r="I3" s="598"/>
    </row>
    <row r="4" ht="24.95" customHeight="1" spans="1:9">
      <c r="A4" s="621" t="s">
        <v>151</v>
      </c>
      <c r="B4" s="581">
        <v>0.0888</v>
      </c>
      <c r="C4" s="582">
        <v>-44.1</v>
      </c>
      <c r="D4" s="622">
        <v>0.1709</v>
      </c>
      <c r="E4" s="441">
        <v>-50.4</v>
      </c>
      <c r="G4" s="598"/>
      <c r="I4" s="598"/>
    </row>
    <row r="5" ht="24.95" customHeight="1" spans="1:9">
      <c r="A5" s="585" t="s">
        <v>152</v>
      </c>
      <c r="B5" s="581">
        <v>21.1838</v>
      </c>
      <c r="C5" s="582">
        <v>5.5</v>
      </c>
      <c r="D5" s="622">
        <v>43.8841</v>
      </c>
      <c r="E5" s="441">
        <v>0.2</v>
      </c>
      <c r="G5" s="598"/>
      <c r="I5" s="598"/>
    </row>
    <row r="6" ht="24.95" customHeight="1" spans="1:9">
      <c r="A6" s="585" t="s">
        <v>153</v>
      </c>
      <c r="B6" s="581">
        <v>3.5977</v>
      </c>
      <c r="C6" s="582">
        <v>32.2</v>
      </c>
      <c r="D6" s="622">
        <v>8.8475</v>
      </c>
      <c r="E6" s="441">
        <v>42.7</v>
      </c>
      <c r="G6" s="598"/>
      <c r="I6" s="598"/>
    </row>
    <row r="7" ht="24.95" customHeight="1" spans="1:9">
      <c r="A7" s="585" t="s">
        <v>154</v>
      </c>
      <c r="B7" s="581">
        <v>1.2227</v>
      </c>
      <c r="C7" s="582">
        <v>33.8</v>
      </c>
      <c r="D7" s="622">
        <v>3.541</v>
      </c>
      <c r="E7" s="441">
        <v>25.8</v>
      </c>
      <c r="G7" s="598"/>
      <c r="I7" s="598"/>
    </row>
    <row r="8" ht="24.95" customHeight="1" spans="1:9">
      <c r="A8" s="585" t="s">
        <v>155</v>
      </c>
      <c r="B8" s="581">
        <v>1.0545</v>
      </c>
      <c r="C8" s="582">
        <v>-3.3</v>
      </c>
      <c r="D8" s="622">
        <v>2.486</v>
      </c>
      <c r="E8" s="441">
        <v>-2.7</v>
      </c>
      <c r="G8" s="598"/>
      <c r="I8" s="598"/>
    </row>
    <row r="9" ht="24.95" customHeight="1" spans="1:9">
      <c r="A9" s="585" t="s">
        <v>156</v>
      </c>
      <c r="B9" s="581">
        <v>6.0275</v>
      </c>
      <c r="C9" s="582">
        <v>-1.8</v>
      </c>
      <c r="D9" s="622">
        <v>17.9431</v>
      </c>
      <c r="E9" s="441">
        <v>17.7</v>
      </c>
      <c r="G9" s="623"/>
      <c r="I9" s="598"/>
    </row>
    <row r="10" ht="24.95" customHeight="1" spans="1:9">
      <c r="A10" s="585" t="s">
        <v>157</v>
      </c>
      <c r="B10" s="581">
        <v>28.3137</v>
      </c>
      <c r="C10" s="582">
        <v>-3.9</v>
      </c>
      <c r="D10" s="622">
        <v>55.4396</v>
      </c>
      <c r="E10" s="441">
        <v>-5.3</v>
      </c>
      <c r="G10" s="598"/>
      <c r="I10" s="598"/>
    </row>
    <row r="11" ht="24.95" customHeight="1" spans="1:9">
      <c r="A11" s="585" t="s">
        <v>158</v>
      </c>
      <c r="B11" s="581">
        <v>0.1782</v>
      </c>
      <c r="C11" s="582">
        <v>52.1</v>
      </c>
      <c r="D11" s="622">
        <v>0.3747</v>
      </c>
      <c r="E11" s="441">
        <v>-37.8</v>
      </c>
      <c r="G11" s="598"/>
      <c r="I11" s="598"/>
    </row>
    <row r="12" ht="24.95" customHeight="1" spans="1:9">
      <c r="A12" s="585" t="s">
        <v>159</v>
      </c>
      <c r="B12" s="581">
        <v>2.6564</v>
      </c>
      <c r="C12" s="582">
        <v>20.8</v>
      </c>
      <c r="D12" s="622">
        <v>5.4763</v>
      </c>
      <c r="E12" s="441">
        <v>7.4</v>
      </c>
      <c r="G12" s="598"/>
      <c r="I12" s="598"/>
    </row>
    <row r="13" ht="24.95" customHeight="1" spans="1:9">
      <c r="A13" s="585" t="s">
        <v>160</v>
      </c>
      <c r="B13" s="581">
        <v>0.2364</v>
      </c>
      <c r="C13" s="582">
        <v>-3.4</v>
      </c>
      <c r="D13" s="622">
        <v>0.5991</v>
      </c>
      <c r="E13" s="441">
        <v>-9.1</v>
      </c>
      <c r="G13" s="598"/>
      <c r="I13" s="598"/>
    </row>
    <row r="14" ht="24.95" customHeight="1" spans="1:9">
      <c r="A14" s="588" t="s">
        <v>161</v>
      </c>
      <c r="B14" s="581">
        <v>0.8068</v>
      </c>
      <c r="C14" s="624">
        <v>-63.2</v>
      </c>
      <c r="D14" s="622">
        <v>1.4999</v>
      </c>
      <c r="E14" s="441">
        <v>-65.9</v>
      </c>
      <c r="G14" s="598"/>
      <c r="I14" s="598"/>
    </row>
    <row r="15" ht="24.95" customHeight="1" spans="1:9">
      <c r="A15" s="588" t="s">
        <v>162</v>
      </c>
      <c r="B15" s="581">
        <v>0.5595</v>
      </c>
      <c r="C15" s="624">
        <v>2.9</v>
      </c>
      <c r="D15" s="622">
        <v>1.1691</v>
      </c>
      <c r="E15" s="441">
        <v>3.7</v>
      </c>
      <c r="G15" s="598"/>
      <c r="I15" s="598"/>
    </row>
    <row r="16" ht="24.95" customHeight="1" spans="1:9">
      <c r="A16" s="585" t="s">
        <v>163</v>
      </c>
      <c r="B16" s="581">
        <v>0.2027</v>
      </c>
      <c r="C16" s="582">
        <v>26.1</v>
      </c>
      <c r="D16" s="622">
        <v>0.415</v>
      </c>
      <c r="E16" s="441">
        <v>-5.7</v>
      </c>
      <c r="G16" s="598"/>
      <c r="I16" s="598"/>
    </row>
    <row r="17" ht="24.95" customHeight="1" spans="1:9">
      <c r="A17" s="585" t="s">
        <v>164</v>
      </c>
      <c r="B17" s="581">
        <v>9.049</v>
      </c>
      <c r="C17" s="582">
        <v>23.4</v>
      </c>
      <c r="D17" s="622">
        <v>19.8669</v>
      </c>
      <c r="E17" s="441">
        <v>14.6</v>
      </c>
      <c r="F17" s="164"/>
      <c r="G17" s="602"/>
      <c r="I17" s="598"/>
    </row>
    <row r="18" ht="24.95" customHeight="1" spans="1:9">
      <c r="A18" s="585" t="s">
        <v>165</v>
      </c>
      <c r="B18" s="581">
        <v>0.2878</v>
      </c>
      <c r="C18" s="582">
        <v>-36.2</v>
      </c>
      <c r="D18" s="622">
        <v>0.572</v>
      </c>
      <c r="E18" s="441">
        <v>-35.1</v>
      </c>
      <c r="F18" s="164"/>
      <c r="G18" s="598"/>
      <c r="I18" s="598"/>
    </row>
    <row r="19" ht="24.95" customHeight="1" spans="1:9">
      <c r="A19" s="585" t="s">
        <v>166</v>
      </c>
      <c r="B19" s="581">
        <v>0.0145</v>
      </c>
      <c r="C19" s="582">
        <v>-59.1</v>
      </c>
      <c r="D19" s="622">
        <v>0.0528</v>
      </c>
      <c r="E19" s="441">
        <v>-28.1</v>
      </c>
      <c r="F19" s="164"/>
      <c r="G19" s="598"/>
      <c r="I19" s="598"/>
    </row>
    <row r="20" ht="24.95" customHeight="1" spans="1:9">
      <c r="A20" s="585" t="s">
        <v>167</v>
      </c>
      <c r="B20" s="581">
        <v>1.1472</v>
      </c>
      <c r="C20" s="582">
        <v>-8.1</v>
      </c>
      <c r="D20" s="622">
        <v>2.4397</v>
      </c>
      <c r="E20" s="441">
        <v>-4.8</v>
      </c>
      <c r="G20" s="598"/>
      <c r="I20" s="598"/>
    </row>
    <row r="21" ht="24.95" customHeight="1" spans="1:9">
      <c r="A21" s="585" t="s">
        <v>168</v>
      </c>
      <c r="B21" s="581">
        <v>0.1418</v>
      </c>
      <c r="C21" s="582">
        <v>-25.7</v>
      </c>
      <c r="D21" s="622">
        <v>0.2809</v>
      </c>
      <c r="E21" s="441">
        <v>-29.6</v>
      </c>
      <c r="G21" s="598"/>
      <c r="I21" s="598"/>
    </row>
    <row r="22" ht="24.95" customHeight="1" spans="1:9">
      <c r="A22" s="585" t="s">
        <v>169</v>
      </c>
      <c r="B22" s="581">
        <v>9.2718</v>
      </c>
      <c r="C22" s="582">
        <v>4.1</v>
      </c>
      <c r="D22" s="622">
        <v>20.5804</v>
      </c>
      <c r="E22" s="441">
        <v>2.3</v>
      </c>
      <c r="G22" s="598"/>
      <c r="I22" s="598"/>
    </row>
    <row r="23" ht="24.95" customHeight="1" spans="1:9">
      <c r="A23" s="585" t="s">
        <v>170</v>
      </c>
      <c r="B23" s="581">
        <v>0.527</v>
      </c>
      <c r="C23" s="582">
        <v>26.6</v>
      </c>
      <c r="D23" s="622">
        <v>1.0754</v>
      </c>
      <c r="E23" s="441">
        <v>25.6</v>
      </c>
      <c r="G23" s="598"/>
      <c r="I23" s="598"/>
    </row>
    <row r="24" ht="24.95" customHeight="1" spans="1:9">
      <c r="A24" s="592" t="s">
        <v>171</v>
      </c>
      <c r="B24" s="594">
        <v>0.5999</v>
      </c>
      <c r="C24" s="595">
        <v>10.2</v>
      </c>
      <c r="D24" s="625">
        <v>1.2109</v>
      </c>
      <c r="E24" s="452">
        <v>10.6</v>
      </c>
      <c r="G24" s="598"/>
      <c r="I24" s="598"/>
    </row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J21"/>
  <sheetViews>
    <sheetView zoomScale="80" zoomScaleNormal="80" workbookViewId="0">
      <selection activeCell="L33" sqref="L33"/>
    </sheetView>
  </sheetViews>
  <sheetFormatPr defaultColWidth="9" defaultRowHeight="14.25"/>
  <cols>
    <col min="1" max="1" width="25" style="495" customWidth="1"/>
    <col min="2" max="2" width="10.625" style="495" customWidth="1"/>
    <col min="3" max="3" width="12" style="495" customWidth="1"/>
    <col min="4" max="4" width="10.625" style="495" customWidth="1"/>
    <col min="5" max="5" width="12.125" style="575" customWidth="1"/>
    <col min="6" max="6" width="10.625" style="495" customWidth="1"/>
    <col min="7" max="7" width="9" style="495"/>
    <col min="8" max="8" width="10.5" style="495" customWidth="1"/>
    <col min="9" max="9" width="9.75" style="495" customWidth="1"/>
    <col min="10" max="10" width="11.75" style="495" customWidth="1"/>
    <col min="11" max="16384" width="9" style="495"/>
  </cols>
  <sheetData>
    <row r="1" ht="28.5" customHeight="1" spans="1:10">
      <c r="A1" s="563" t="s">
        <v>172</v>
      </c>
      <c r="B1" s="530"/>
      <c r="C1" s="530"/>
      <c r="D1" s="530"/>
      <c r="E1" s="576"/>
      <c r="F1" s="576"/>
    </row>
    <row r="2" ht="35.25" customHeight="1" spans="1:10">
      <c r="A2" s="577" t="s">
        <v>38</v>
      </c>
      <c r="B2" s="577" t="s">
        <v>104</v>
      </c>
      <c r="C2" s="577" t="s">
        <v>77</v>
      </c>
      <c r="D2" s="578" t="s">
        <v>78</v>
      </c>
      <c r="E2" s="433" t="s">
        <v>79</v>
      </c>
      <c r="F2" s="578" t="s">
        <v>78</v>
      </c>
      <c r="H2" s="513"/>
      <c r="J2" s="513"/>
    </row>
    <row r="3" ht="26.1" customHeight="1" spans="1:10">
      <c r="A3" s="514" t="s">
        <v>173</v>
      </c>
      <c r="B3" s="508" t="s">
        <v>66</v>
      </c>
      <c r="C3" s="605">
        <v>0.196</v>
      </c>
      <c r="D3" s="606">
        <v>429.7</v>
      </c>
      <c r="E3" s="605">
        <v>0.196</v>
      </c>
      <c r="F3" s="441">
        <v>75</v>
      </c>
      <c r="H3" s="513"/>
      <c r="J3" s="513"/>
    </row>
    <row r="4" ht="26.1" customHeight="1" spans="1:10">
      <c r="A4" s="514" t="s">
        <v>174</v>
      </c>
      <c r="B4" s="508" t="s">
        <v>66</v>
      </c>
      <c r="C4" s="605">
        <v>16.7428</v>
      </c>
      <c r="D4" s="606">
        <v>14.8</v>
      </c>
      <c r="E4" s="605">
        <v>38.9636</v>
      </c>
      <c r="F4" s="441">
        <v>23</v>
      </c>
      <c r="H4" s="513"/>
      <c r="J4" s="513"/>
    </row>
    <row r="5" ht="26.1" customHeight="1" spans="1:10">
      <c r="A5" s="514" t="s">
        <v>175</v>
      </c>
      <c r="B5" s="508" t="s">
        <v>66</v>
      </c>
      <c r="C5" s="605">
        <v>3.4739</v>
      </c>
      <c r="D5" s="606">
        <v>95.6</v>
      </c>
      <c r="E5" s="605">
        <v>8.3388</v>
      </c>
      <c r="F5" s="441">
        <v>67.4</v>
      </c>
      <c r="H5" s="513"/>
      <c r="J5" s="513"/>
    </row>
    <row r="6" ht="26.1" customHeight="1" spans="1:10">
      <c r="A6" s="514" t="s">
        <v>176</v>
      </c>
      <c r="B6" s="508" t="s">
        <v>66</v>
      </c>
      <c r="C6" s="605">
        <v>0.3003</v>
      </c>
      <c r="D6" s="606">
        <v>-19.3</v>
      </c>
      <c r="E6" s="605">
        <v>0.9321</v>
      </c>
      <c r="F6" s="441">
        <v>-14.3</v>
      </c>
      <c r="H6" s="513"/>
      <c r="J6" s="513"/>
    </row>
    <row r="7" ht="26.1" customHeight="1" spans="1:10">
      <c r="A7" s="514" t="s">
        <v>177</v>
      </c>
      <c r="B7" s="508" t="s">
        <v>66</v>
      </c>
      <c r="C7" s="605">
        <v>1.2157</v>
      </c>
      <c r="D7" s="606">
        <v>-13</v>
      </c>
      <c r="E7" s="605">
        <v>2.4809</v>
      </c>
      <c r="F7" s="441">
        <v>-7.2</v>
      </c>
      <c r="H7" s="513"/>
      <c r="J7" s="513"/>
    </row>
    <row r="8" ht="26.1" customHeight="1" spans="1:10">
      <c r="A8" s="502" t="s">
        <v>178</v>
      </c>
      <c r="B8" s="508" t="s">
        <v>66</v>
      </c>
      <c r="C8" s="605">
        <v>18.3952</v>
      </c>
      <c r="D8" s="607">
        <v>-10.1</v>
      </c>
      <c r="E8" s="605">
        <v>43.2441</v>
      </c>
      <c r="F8" s="441">
        <v>-1.4</v>
      </c>
      <c r="H8" s="513"/>
      <c r="J8" s="513"/>
    </row>
    <row r="9" ht="26.1" customHeight="1" spans="1:10">
      <c r="A9" s="514" t="s">
        <v>179</v>
      </c>
      <c r="B9" s="508" t="s">
        <v>66</v>
      </c>
      <c r="C9" s="605">
        <v>0.4257</v>
      </c>
      <c r="D9" s="606">
        <v>-26.1</v>
      </c>
      <c r="E9" s="605">
        <v>0.9861</v>
      </c>
      <c r="F9" s="441">
        <v>-40</v>
      </c>
      <c r="G9" s="515"/>
      <c r="H9" s="591"/>
      <c r="J9" s="513"/>
    </row>
    <row r="10" ht="26.1" customHeight="1" spans="1:10">
      <c r="A10" s="514" t="s">
        <v>180</v>
      </c>
      <c r="B10" s="508" t="s">
        <v>181</v>
      </c>
      <c r="C10" s="608">
        <v>10653</v>
      </c>
      <c r="D10" s="606">
        <v>17.6</v>
      </c>
      <c r="E10" s="447">
        <v>18573</v>
      </c>
      <c r="F10" s="441">
        <v>63</v>
      </c>
      <c r="H10" s="513"/>
      <c r="J10" s="513"/>
    </row>
    <row r="11" ht="26.1" customHeight="1" spans="1:10">
      <c r="A11" s="514" t="s">
        <v>182</v>
      </c>
      <c r="B11" s="508" t="s">
        <v>181</v>
      </c>
      <c r="C11" s="608">
        <v>10328</v>
      </c>
      <c r="D11" s="606">
        <v>4.3</v>
      </c>
      <c r="E11" s="447">
        <v>29670</v>
      </c>
      <c r="F11" s="441">
        <v>7.1</v>
      </c>
      <c r="H11" s="513"/>
      <c r="J11" s="513"/>
    </row>
    <row r="12" ht="26.1" customHeight="1" spans="1:10">
      <c r="A12" s="514" t="s">
        <v>183</v>
      </c>
      <c r="B12" s="508" t="s">
        <v>181</v>
      </c>
      <c r="C12" s="608">
        <v>1918</v>
      </c>
      <c r="D12" s="606">
        <v>-30.4</v>
      </c>
      <c r="E12" s="447">
        <v>4250</v>
      </c>
      <c r="F12" s="441">
        <v>-25</v>
      </c>
      <c r="H12" s="513"/>
      <c r="J12" s="513"/>
    </row>
    <row r="13" ht="29.1" customHeight="1" spans="1:10">
      <c r="A13" s="514" t="s">
        <v>184</v>
      </c>
      <c r="B13" s="508" t="s">
        <v>181</v>
      </c>
      <c r="C13" s="608">
        <v>8001</v>
      </c>
      <c r="D13" s="606">
        <v>19.3</v>
      </c>
      <c r="E13" s="447">
        <v>22618</v>
      </c>
      <c r="F13" s="441">
        <v>18.7</v>
      </c>
    </row>
    <row r="14" ht="24.95" customHeight="1" spans="1:10">
      <c r="A14" s="609" t="s">
        <v>185</v>
      </c>
      <c r="B14" s="508" t="s">
        <v>66</v>
      </c>
      <c r="C14" s="605">
        <v>0.1101</v>
      </c>
      <c r="D14" s="606">
        <v>29</v>
      </c>
      <c r="E14" s="605">
        <v>0.1771</v>
      </c>
      <c r="F14" s="610">
        <v>0.2</v>
      </c>
    </row>
    <row r="15" ht="24.95" customHeight="1" spans="1:10">
      <c r="A15" s="609" t="s">
        <v>186</v>
      </c>
      <c r="B15" s="508" t="s">
        <v>66</v>
      </c>
      <c r="C15" s="605">
        <v>2.513</v>
      </c>
      <c r="D15" s="606">
        <v>-9.5</v>
      </c>
      <c r="E15" s="605">
        <v>6.4435</v>
      </c>
      <c r="F15" s="610">
        <v>-4</v>
      </c>
    </row>
    <row r="16" ht="24.95" customHeight="1" spans="1:10">
      <c r="A16" s="502" t="s">
        <v>187</v>
      </c>
      <c r="B16" s="508" t="s">
        <v>66</v>
      </c>
      <c r="C16" s="605">
        <v>0.6741</v>
      </c>
      <c r="D16" s="607">
        <v>-14.3</v>
      </c>
      <c r="E16" s="605">
        <v>2.7785</v>
      </c>
      <c r="F16" s="610">
        <v>5.5</v>
      </c>
    </row>
    <row r="17" ht="24.95" customHeight="1" spans="1:6">
      <c r="A17" s="502" t="s">
        <v>188</v>
      </c>
      <c r="B17" s="508" t="s">
        <v>189</v>
      </c>
      <c r="C17" s="611">
        <v>3.7502</v>
      </c>
      <c r="D17" s="607">
        <v>-35.9</v>
      </c>
      <c r="E17" s="611">
        <v>23.5002</v>
      </c>
      <c r="F17" s="610">
        <v>-2</v>
      </c>
    </row>
    <row r="18" ht="24.95" customHeight="1" spans="1:6">
      <c r="A18" s="502" t="s">
        <v>190</v>
      </c>
      <c r="B18" s="508" t="s">
        <v>66</v>
      </c>
      <c r="C18" s="605">
        <v>0.0793</v>
      </c>
      <c r="D18" s="607">
        <v>15.4</v>
      </c>
      <c r="E18" s="605">
        <v>0.1951</v>
      </c>
      <c r="F18" s="610">
        <v>14.2</v>
      </c>
    </row>
    <row r="19" ht="24.95" customHeight="1" spans="1:6">
      <c r="A19" s="502" t="s">
        <v>191</v>
      </c>
      <c r="B19" s="508" t="s">
        <v>192</v>
      </c>
      <c r="C19" s="608">
        <v>2228</v>
      </c>
      <c r="D19" s="607">
        <v>20.3</v>
      </c>
      <c r="E19" s="447">
        <v>5309</v>
      </c>
      <c r="F19" s="610">
        <v>24.7</v>
      </c>
    </row>
    <row r="20" ht="24.95" customHeight="1" spans="1:6">
      <c r="A20" s="612" t="s">
        <v>193</v>
      </c>
      <c r="B20" s="613" t="s">
        <v>194</v>
      </c>
      <c r="C20" s="614">
        <v>34</v>
      </c>
      <c r="D20" s="615">
        <v>3.3</v>
      </c>
      <c r="E20" s="451">
        <v>72</v>
      </c>
      <c r="F20" s="616">
        <v>9.4</v>
      </c>
    </row>
    <row r="21" spans="1:6">
      <c r="A21" s="562"/>
      <c r="B21" s="562"/>
      <c r="C21" s="562"/>
      <c r="D21" s="562"/>
      <c r="E21" s="527"/>
      <c r="F21" s="562"/>
    </row>
  </sheetData>
  <mergeCells count="1">
    <mergeCell ref="A1:F1"/>
  </mergeCells>
  <pageMargins left="0.75" right="0.75" top="1" bottom="1" header="0.5" footer="0.5"/>
  <pageSetup paperSize="9" orientation="portrait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J22"/>
  <sheetViews>
    <sheetView zoomScale="80" zoomScaleNormal="80" workbookViewId="0">
      <selection activeCell="N31" sqref="N31"/>
    </sheetView>
  </sheetViews>
  <sheetFormatPr defaultColWidth="9" defaultRowHeight="14.25"/>
  <cols>
    <col min="1" max="1" width="25" style="562" customWidth="1"/>
    <col min="2" max="2" width="10.625" style="562" customWidth="1"/>
    <col min="3" max="3" width="12" style="562" customWidth="1"/>
    <col min="4" max="4" width="10.625" style="562" customWidth="1"/>
    <col min="5" max="5" width="12.125" style="527" customWidth="1"/>
    <col min="6" max="6" width="10.625" style="562" customWidth="1"/>
    <col min="7" max="7" width="9" style="562"/>
    <col min="8" max="8" width="10.5" style="562" customWidth="1"/>
    <col min="9" max="9" width="9.75" style="562" customWidth="1"/>
    <col min="10" max="10" width="11.75" style="562" customWidth="1"/>
    <col min="11" max="16384" width="9" style="562"/>
  </cols>
  <sheetData>
    <row r="1" ht="28.5" customHeight="1" spans="1:10">
      <c r="A1" s="563" t="s">
        <v>195</v>
      </c>
      <c r="B1" s="530"/>
      <c r="C1" s="530"/>
      <c r="D1" s="530"/>
      <c r="E1" s="576"/>
      <c r="F1" s="576"/>
    </row>
    <row r="2" ht="35.25" customHeight="1" spans="1:10">
      <c r="A2" s="577" t="s">
        <v>38</v>
      </c>
      <c r="B2" s="577" t="s">
        <v>104</v>
      </c>
      <c r="C2" s="577" t="s">
        <v>77</v>
      </c>
      <c r="D2" s="578" t="s">
        <v>78</v>
      </c>
      <c r="E2" s="433" t="s">
        <v>79</v>
      </c>
      <c r="F2" s="578" t="s">
        <v>78</v>
      </c>
      <c r="H2" s="598"/>
      <c r="J2" s="598"/>
    </row>
    <row r="3" ht="24.95" customHeight="1" spans="1:10">
      <c r="A3" s="579" t="s">
        <v>196</v>
      </c>
      <c r="B3" s="599" t="s">
        <v>66</v>
      </c>
      <c r="C3" s="581">
        <v>4.4083</v>
      </c>
      <c r="D3" s="582">
        <v>15.3</v>
      </c>
      <c r="E3" s="583">
        <v>6.5016</v>
      </c>
      <c r="F3" s="584">
        <v>16.7</v>
      </c>
      <c r="H3" s="598"/>
      <c r="J3" s="598"/>
    </row>
    <row r="4" ht="24.95" customHeight="1" spans="1:10">
      <c r="A4" s="579" t="s">
        <v>197</v>
      </c>
      <c r="B4" s="599" t="s">
        <v>198</v>
      </c>
      <c r="C4" s="581">
        <v>5.1634</v>
      </c>
      <c r="D4" s="582">
        <v>35.9</v>
      </c>
      <c r="E4" s="583">
        <v>14.4552</v>
      </c>
      <c r="F4" s="584">
        <v>57.2</v>
      </c>
      <c r="H4" s="598"/>
      <c r="J4" s="598"/>
    </row>
    <row r="5" ht="24.95" customHeight="1" spans="1:10">
      <c r="A5" s="585" t="s">
        <v>199</v>
      </c>
      <c r="B5" s="580" t="s">
        <v>194</v>
      </c>
      <c r="C5" s="581">
        <v>15.2994</v>
      </c>
      <c r="D5" s="600">
        <v>-12.4</v>
      </c>
      <c r="E5" s="583">
        <v>41.7459</v>
      </c>
      <c r="F5" s="584">
        <v>-1.6</v>
      </c>
      <c r="H5" s="598"/>
      <c r="J5" s="598"/>
    </row>
    <row r="6" ht="24.95" customHeight="1" spans="1:10">
      <c r="A6" s="585" t="s">
        <v>200</v>
      </c>
      <c r="B6" s="599" t="s">
        <v>66</v>
      </c>
      <c r="C6" s="581">
        <v>4.5288</v>
      </c>
      <c r="D6" s="600">
        <v>2</v>
      </c>
      <c r="E6" s="583">
        <v>8.7404</v>
      </c>
      <c r="F6" s="584">
        <v>4.4</v>
      </c>
      <c r="H6" s="598"/>
      <c r="J6" s="598"/>
    </row>
    <row r="7" ht="24.95" customHeight="1" spans="1:10">
      <c r="A7" s="585" t="s">
        <v>201</v>
      </c>
      <c r="B7" s="599" t="s">
        <v>66</v>
      </c>
      <c r="C7" s="581">
        <v>17.5</v>
      </c>
      <c r="D7" s="600">
        <v>19.6</v>
      </c>
      <c r="E7" s="583">
        <v>26.0699</v>
      </c>
      <c r="F7" s="584">
        <v>22.8</v>
      </c>
      <c r="H7" s="598"/>
      <c r="J7" s="598"/>
    </row>
    <row r="8" ht="24.95" customHeight="1" spans="1:10">
      <c r="A8" s="585" t="s">
        <v>202</v>
      </c>
      <c r="B8" s="599" t="s">
        <v>66</v>
      </c>
      <c r="C8" s="581">
        <v>38.2383</v>
      </c>
      <c r="D8" s="600">
        <v>6.2</v>
      </c>
      <c r="E8" s="583">
        <v>82.5505</v>
      </c>
      <c r="F8" s="584">
        <v>4.9</v>
      </c>
      <c r="H8" s="598"/>
      <c r="J8" s="598"/>
    </row>
    <row r="9" ht="24.95" customHeight="1" spans="1:10">
      <c r="A9" s="585" t="s">
        <v>203</v>
      </c>
      <c r="B9" s="599" t="s">
        <v>66</v>
      </c>
      <c r="C9" s="581">
        <v>14.6303</v>
      </c>
      <c r="D9" s="600">
        <v>7.8</v>
      </c>
      <c r="E9" s="583">
        <v>30.1121</v>
      </c>
      <c r="F9" s="584">
        <v>1</v>
      </c>
      <c r="H9" s="598"/>
      <c r="J9" s="598"/>
    </row>
    <row r="10" ht="24.95" customHeight="1" spans="1:10">
      <c r="A10" s="586" t="s">
        <v>204</v>
      </c>
      <c r="B10" s="508" t="s">
        <v>66</v>
      </c>
      <c r="C10" s="581">
        <v>16.5341</v>
      </c>
      <c r="D10" s="600">
        <v>7.8</v>
      </c>
      <c r="E10" s="583">
        <v>33.6463</v>
      </c>
      <c r="F10" s="584">
        <v>5</v>
      </c>
      <c r="H10" s="598"/>
      <c r="J10" s="598"/>
    </row>
    <row r="11" ht="24.95" customHeight="1" spans="1:10">
      <c r="A11" s="585" t="s">
        <v>205</v>
      </c>
      <c r="B11" s="599" t="s">
        <v>66</v>
      </c>
      <c r="C11" s="581">
        <v>0.8558</v>
      </c>
      <c r="D11" s="600">
        <v>1405.6</v>
      </c>
      <c r="E11" s="583">
        <v>2.0374</v>
      </c>
      <c r="F11" s="584">
        <v>720.7</v>
      </c>
      <c r="H11" s="598"/>
      <c r="J11" s="598"/>
    </row>
    <row r="12" ht="24.95" customHeight="1" spans="1:10">
      <c r="A12" s="585" t="s">
        <v>206</v>
      </c>
      <c r="B12" s="599" t="s">
        <v>66</v>
      </c>
      <c r="C12" s="581">
        <v>0.2379</v>
      </c>
      <c r="D12" s="600">
        <v>100</v>
      </c>
      <c r="E12" s="583">
        <v>0.6997</v>
      </c>
      <c r="F12" s="584">
        <v>46.1</v>
      </c>
      <c r="H12" s="598"/>
      <c r="J12" s="598"/>
    </row>
    <row r="13" ht="24.95" customHeight="1" spans="1:10">
      <c r="A13" s="585" t="s">
        <v>207</v>
      </c>
      <c r="B13" s="599" t="s">
        <v>66</v>
      </c>
      <c r="C13" s="581">
        <v>0.1777</v>
      </c>
      <c r="D13" s="600">
        <v>100</v>
      </c>
      <c r="E13" s="583">
        <v>3.5069</v>
      </c>
      <c r="F13" s="584">
        <v>180.4</v>
      </c>
      <c r="H13" s="598"/>
      <c r="J13" s="598"/>
    </row>
    <row r="14" ht="24.95" customHeight="1" spans="1:10">
      <c r="A14" s="585" t="s">
        <v>208</v>
      </c>
      <c r="B14" s="599" t="s">
        <v>66</v>
      </c>
      <c r="C14" s="581">
        <v>2.1664</v>
      </c>
      <c r="D14" s="600">
        <v>-5</v>
      </c>
      <c r="E14" s="583">
        <v>4.5727</v>
      </c>
      <c r="F14" s="584">
        <v>-7</v>
      </c>
      <c r="H14" s="598"/>
      <c r="J14" s="598"/>
    </row>
    <row r="15" ht="24.95" customHeight="1" spans="1:10">
      <c r="A15" s="588" t="s">
        <v>209</v>
      </c>
      <c r="B15" s="599" t="s">
        <v>66</v>
      </c>
      <c r="C15" s="581">
        <v>3.4433</v>
      </c>
      <c r="D15" s="601">
        <v>23.1</v>
      </c>
      <c r="E15" s="583">
        <v>6.297</v>
      </c>
      <c r="F15" s="584">
        <v>65.1</v>
      </c>
      <c r="H15" s="598"/>
      <c r="J15" s="598"/>
    </row>
    <row r="16" ht="24.95" customHeight="1" spans="1:10">
      <c r="A16" s="585" t="s">
        <v>210</v>
      </c>
      <c r="B16" s="599" t="s">
        <v>66</v>
      </c>
      <c r="C16" s="581">
        <v>0.0934</v>
      </c>
      <c r="D16" s="600">
        <v>0</v>
      </c>
      <c r="E16" s="583">
        <v>0.151</v>
      </c>
      <c r="F16" s="584">
        <v>108</v>
      </c>
      <c r="H16" s="598"/>
      <c r="J16" s="598"/>
    </row>
    <row r="17" ht="24.95" customHeight="1" spans="1:10">
      <c r="A17" s="585" t="s">
        <v>211</v>
      </c>
      <c r="B17" s="599" t="s">
        <v>66</v>
      </c>
      <c r="C17" s="581">
        <v>1.2726</v>
      </c>
      <c r="D17" s="600">
        <v>-3.5</v>
      </c>
      <c r="E17" s="583">
        <v>2.7367</v>
      </c>
      <c r="F17" s="584">
        <v>20.1</v>
      </c>
      <c r="H17" s="598"/>
      <c r="J17" s="598"/>
    </row>
    <row r="18" ht="24.95" customHeight="1" spans="1:10">
      <c r="A18" s="585" t="s">
        <v>212</v>
      </c>
      <c r="B18" s="599" t="s">
        <v>66</v>
      </c>
      <c r="C18" s="581">
        <v>1.8043</v>
      </c>
      <c r="D18" s="600">
        <v>11.2</v>
      </c>
      <c r="E18" s="583">
        <v>3.866</v>
      </c>
      <c r="F18" s="584">
        <v>36.6</v>
      </c>
      <c r="H18" s="598"/>
      <c r="J18" s="598"/>
    </row>
    <row r="19" ht="24.95" customHeight="1" spans="1:10">
      <c r="A19" s="585" t="s">
        <v>213</v>
      </c>
      <c r="B19" s="599" t="s">
        <v>66</v>
      </c>
      <c r="C19" s="581">
        <v>1.6516</v>
      </c>
      <c r="D19" s="600">
        <v>25.5</v>
      </c>
      <c r="E19" s="583">
        <v>3.2393</v>
      </c>
      <c r="F19" s="584">
        <v>1.8</v>
      </c>
      <c r="H19" s="598"/>
      <c r="J19" s="598"/>
    </row>
    <row r="20" ht="24.95" customHeight="1" spans="1:10">
      <c r="A20" s="585" t="s">
        <v>214</v>
      </c>
      <c r="B20" s="599" t="s">
        <v>66</v>
      </c>
      <c r="C20" s="581">
        <v>0.0465</v>
      </c>
      <c r="D20" s="600">
        <v>40</v>
      </c>
      <c r="E20" s="583">
        <v>0.1238</v>
      </c>
      <c r="F20" s="584">
        <v>8.5</v>
      </c>
      <c r="G20" s="164"/>
      <c r="H20" s="602"/>
      <c r="J20" s="598"/>
    </row>
    <row r="21" ht="24.95" customHeight="1" spans="1:10">
      <c r="A21" s="585" t="s">
        <v>215</v>
      </c>
      <c r="B21" s="599" t="s">
        <v>66</v>
      </c>
      <c r="C21" s="581">
        <v>0</v>
      </c>
      <c r="D21" s="600">
        <v>0</v>
      </c>
      <c r="E21" s="583">
        <v>0</v>
      </c>
      <c r="F21" s="584">
        <v>0</v>
      </c>
      <c r="G21" s="164"/>
      <c r="H21" s="598"/>
      <c r="J21" s="598"/>
    </row>
    <row r="22" ht="24.95" customHeight="1" spans="1:10">
      <c r="A22" s="592" t="s">
        <v>216</v>
      </c>
      <c r="B22" s="603" t="s">
        <v>66</v>
      </c>
      <c r="C22" s="594">
        <v>0.0448</v>
      </c>
      <c r="D22" s="604">
        <v>-7.8</v>
      </c>
      <c r="E22" s="596">
        <v>0.1008</v>
      </c>
      <c r="F22" s="597">
        <v>8.8</v>
      </c>
      <c r="G22" s="164"/>
      <c r="H22" s="598"/>
      <c r="J22" s="598"/>
    </row>
  </sheetData>
  <mergeCells count="1">
    <mergeCell ref="A1:F1"/>
  </mergeCells>
  <pageMargins left="0.75" right="0.75" top="1" bottom="1" header="0.5" footer="0.5"/>
  <pageSetup paperSize="9" scale="98" orientation="portrait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J23"/>
  <sheetViews>
    <sheetView zoomScale="80" zoomScaleNormal="80" workbookViewId="0">
      <selection activeCell="I22" sqref="I22"/>
    </sheetView>
  </sheetViews>
  <sheetFormatPr defaultColWidth="9" defaultRowHeight="14.25"/>
  <cols>
    <col min="1" max="1" width="25" style="495" customWidth="1"/>
    <col min="2" max="2" width="10.625" style="495" customWidth="1"/>
    <col min="3" max="3" width="12" style="495" customWidth="1"/>
    <col min="4" max="4" width="10.625" style="495" customWidth="1"/>
    <col min="5" max="5" width="12.125" style="575" customWidth="1"/>
    <col min="6" max="6" width="10.625" style="495" customWidth="1"/>
    <col min="7" max="7" width="9" style="495"/>
    <col min="8" max="8" width="10.5" style="495" customWidth="1"/>
    <col min="9" max="9" width="9.75" style="495" customWidth="1"/>
    <col min="10" max="10" width="11.75" style="495" customWidth="1"/>
    <col min="11" max="16384" width="9" style="495"/>
  </cols>
  <sheetData>
    <row r="1" ht="28.5" customHeight="1" spans="1:10">
      <c r="A1" s="563" t="s">
        <v>217</v>
      </c>
      <c r="B1" s="530"/>
      <c r="C1" s="530"/>
      <c r="D1" s="530"/>
      <c r="E1" s="576"/>
      <c r="F1" s="576"/>
    </row>
    <row r="2" ht="35.25" customHeight="1" spans="1:10">
      <c r="A2" s="577" t="s">
        <v>38</v>
      </c>
      <c r="B2" s="577" t="s">
        <v>104</v>
      </c>
      <c r="C2" s="577" t="s">
        <v>77</v>
      </c>
      <c r="D2" s="578" t="s">
        <v>78</v>
      </c>
      <c r="E2" s="433" t="s">
        <v>79</v>
      </c>
      <c r="F2" s="578" t="s">
        <v>78</v>
      </c>
      <c r="H2" s="513"/>
      <c r="J2" s="513"/>
    </row>
    <row r="3" ht="24.95" customHeight="1" spans="1:10">
      <c r="A3" s="579" t="s">
        <v>218</v>
      </c>
      <c r="B3" s="580" t="s">
        <v>66</v>
      </c>
      <c r="C3" s="581">
        <v>0.7917</v>
      </c>
      <c r="D3" s="582">
        <v>-8.2</v>
      </c>
      <c r="E3" s="583">
        <v>1.7744</v>
      </c>
      <c r="F3" s="584">
        <v>-17.1</v>
      </c>
      <c r="H3" s="513"/>
      <c r="J3" s="513"/>
    </row>
    <row r="4" ht="24.95" customHeight="1" spans="1:10">
      <c r="A4" s="579" t="s">
        <v>219</v>
      </c>
      <c r="B4" s="580" t="s">
        <v>66</v>
      </c>
      <c r="C4" s="581">
        <v>0.0918</v>
      </c>
      <c r="D4" s="582">
        <v>-22.7</v>
      </c>
      <c r="E4" s="583">
        <v>0.2627</v>
      </c>
      <c r="F4" s="584">
        <v>-23.2</v>
      </c>
      <c r="H4" s="513"/>
      <c r="J4" s="513"/>
    </row>
    <row r="5" ht="24.95" customHeight="1" spans="1:10">
      <c r="A5" s="585" t="s">
        <v>220</v>
      </c>
      <c r="B5" s="580" t="s">
        <v>221</v>
      </c>
      <c r="C5" s="581">
        <v>0</v>
      </c>
      <c r="D5" s="582">
        <v>0</v>
      </c>
      <c r="E5" s="583">
        <v>0</v>
      </c>
      <c r="F5" s="584">
        <v>0</v>
      </c>
      <c r="H5" s="513"/>
      <c r="J5" s="513"/>
    </row>
    <row r="6" ht="24.95" customHeight="1" spans="1:10">
      <c r="A6" s="585" t="s">
        <v>222</v>
      </c>
      <c r="B6" s="580" t="s">
        <v>66</v>
      </c>
      <c r="C6" s="581">
        <v>28.1563</v>
      </c>
      <c r="D6" s="582">
        <v>-40.6</v>
      </c>
      <c r="E6" s="583">
        <v>121.5845</v>
      </c>
      <c r="F6" s="584">
        <v>-11.5</v>
      </c>
      <c r="H6" s="513"/>
      <c r="J6" s="513"/>
    </row>
    <row r="7" ht="24.95" customHeight="1" spans="1:10">
      <c r="A7" s="585" t="s">
        <v>223</v>
      </c>
      <c r="B7" s="580" t="s">
        <v>198</v>
      </c>
      <c r="C7" s="581">
        <v>33.9821</v>
      </c>
      <c r="D7" s="582">
        <v>-32.5</v>
      </c>
      <c r="E7" s="583">
        <v>127.2819</v>
      </c>
      <c r="F7" s="584">
        <v>5.1</v>
      </c>
      <c r="H7" s="513"/>
      <c r="J7" s="513"/>
    </row>
    <row r="8" ht="24.95" customHeight="1" spans="1:10">
      <c r="A8" s="585" t="s">
        <v>224</v>
      </c>
      <c r="B8" s="580" t="s">
        <v>225</v>
      </c>
      <c r="C8" s="581">
        <v>0.4267</v>
      </c>
      <c r="D8" s="582">
        <v>49.5</v>
      </c>
      <c r="E8" s="583">
        <v>0.967</v>
      </c>
      <c r="F8" s="584">
        <v>48.7</v>
      </c>
      <c r="H8" s="513"/>
      <c r="J8" s="513"/>
    </row>
    <row r="9" ht="24.95" customHeight="1" spans="1:10">
      <c r="A9" s="585" t="s">
        <v>226</v>
      </c>
      <c r="B9" s="580" t="s">
        <v>66</v>
      </c>
      <c r="C9" s="581">
        <v>0.2298</v>
      </c>
      <c r="D9" s="582">
        <v>5.8</v>
      </c>
      <c r="E9" s="583">
        <v>0.4577</v>
      </c>
      <c r="F9" s="584">
        <v>110.6</v>
      </c>
      <c r="H9" s="513"/>
      <c r="J9" s="513"/>
    </row>
    <row r="10" ht="24.95" customHeight="1" spans="1:10">
      <c r="A10" s="586" t="s">
        <v>227</v>
      </c>
      <c r="B10" s="587" t="s">
        <v>14</v>
      </c>
      <c r="C10" s="581">
        <v>6.5428</v>
      </c>
      <c r="D10" s="582">
        <v>-3.7</v>
      </c>
      <c r="E10" s="583">
        <v>25.8298</v>
      </c>
      <c r="F10" s="584">
        <v>27</v>
      </c>
      <c r="H10" s="513"/>
      <c r="J10" s="513"/>
    </row>
    <row r="11" ht="24.95" customHeight="1" spans="1:10">
      <c r="A11" s="585" t="s">
        <v>228</v>
      </c>
      <c r="B11" s="580" t="s">
        <v>66</v>
      </c>
      <c r="C11" s="581">
        <v>64.046</v>
      </c>
      <c r="D11" s="582">
        <v>-1.9</v>
      </c>
      <c r="E11" s="583">
        <v>132.8937</v>
      </c>
      <c r="F11" s="584">
        <v>-2.9</v>
      </c>
      <c r="H11" s="513"/>
      <c r="J11" s="513"/>
    </row>
    <row r="12" ht="24.95" customHeight="1" spans="1:10">
      <c r="A12" s="585" t="s">
        <v>229</v>
      </c>
      <c r="B12" s="580" t="s">
        <v>66</v>
      </c>
      <c r="C12" s="581">
        <v>67.544</v>
      </c>
      <c r="D12" s="582">
        <v>-0.4</v>
      </c>
      <c r="E12" s="583">
        <v>141.5367</v>
      </c>
      <c r="F12" s="584">
        <v>-0.1</v>
      </c>
      <c r="H12" s="513"/>
      <c r="J12" s="513"/>
    </row>
    <row r="13" ht="24.95" customHeight="1" spans="1:10">
      <c r="A13" s="585" t="s">
        <v>230</v>
      </c>
      <c r="B13" s="580" t="s">
        <v>66</v>
      </c>
      <c r="C13" s="581">
        <v>63.828</v>
      </c>
      <c r="D13" s="582">
        <v>13.4</v>
      </c>
      <c r="E13" s="583">
        <v>136.1073</v>
      </c>
      <c r="F13" s="584">
        <v>13.2</v>
      </c>
      <c r="H13" s="513"/>
      <c r="J13" s="513"/>
    </row>
    <row r="14" ht="24.95" customHeight="1" spans="1:10">
      <c r="A14" s="585" t="s">
        <v>231</v>
      </c>
      <c r="B14" s="580" t="s">
        <v>66</v>
      </c>
      <c r="C14" s="581">
        <v>1.9986</v>
      </c>
      <c r="D14" s="582">
        <v>112.7</v>
      </c>
      <c r="E14" s="583">
        <v>3.3798</v>
      </c>
      <c r="F14" s="584">
        <v>94.2</v>
      </c>
      <c r="H14" s="513"/>
      <c r="J14" s="513"/>
    </row>
    <row r="15" ht="24.95" customHeight="1" spans="1:10">
      <c r="A15" s="585" t="s">
        <v>232</v>
      </c>
      <c r="B15" s="580" t="s">
        <v>66</v>
      </c>
      <c r="C15" s="581">
        <v>0.0525</v>
      </c>
      <c r="D15" s="582">
        <v>47.1</v>
      </c>
      <c r="E15" s="583">
        <v>0.1425</v>
      </c>
      <c r="F15" s="584">
        <v>92.8</v>
      </c>
      <c r="H15" s="513"/>
      <c r="J15" s="513"/>
    </row>
    <row r="16" ht="24.95" customHeight="1" spans="1:10">
      <c r="A16" s="588" t="s">
        <v>233</v>
      </c>
      <c r="B16" s="580" t="s">
        <v>66</v>
      </c>
      <c r="C16" s="581">
        <v>0.054</v>
      </c>
      <c r="D16" s="582">
        <v>17.4</v>
      </c>
      <c r="E16" s="583">
        <v>0.1287</v>
      </c>
      <c r="F16" s="584">
        <v>1.6</v>
      </c>
      <c r="H16" s="513"/>
      <c r="J16" s="513"/>
    </row>
    <row r="17" ht="24.95" customHeight="1" spans="1:10">
      <c r="A17" s="585" t="s">
        <v>234</v>
      </c>
      <c r="B17" s="580" t="s">
        <v>235</v>
      </c>
      <c r="C17" s="589">
        <v>15</v>
      </c>
      <c r="D17" s="582">
        <v>-94</v>
      </c>
      <c r="E17" s="590">
        <v>25</v>
      </c>
      <c r="F17" s="584">
        <v>-97.3</v>
      </c>
      <c r="H17" s="513"/>
      <c r="J17" s="513"/>
    </row>
    <row r="18" ht="24.95" customHeight="1" spans="1:10">
      <c r="A18" s="585" t="s">
        <v>236</v>
      </c>
      <c r="B18" s="580" t="s">
        <v>237</v>
      </c>
      <c r="C18" s="581">
        <v>0.1324</v>
      </c>
      <c r="D18" s="582">
        <v>-79.2</v>
      </c>
      <c r="E18" s="583">
        <v>1.4636</v>
      </c>
      <c r="F18" s="584">
        <v>-1.7</v>
      </c>
      <c r="H18" s="513"/>
      <c r="J18" s="513"/>
    </row>
    <row r="19" ht="24.95" customHeight="1" spans="1:10">
      <c r="A19" s="585" t="s">
        <v>238</v>
      </c>
      <c r="B19" s="580" t="s">
        <v>239</v>
      </c>
      <c r="C19" s="589">
        <v>634.9858</v>
      </c>
      <c r="D19" s="582">
        <v>36.2</v>
      </c>
      <c r="E19" s="590">
        <v>1320.0383</v>
      </c>
      <c r="F19" s="584">
        <v>17.8</v>
      </c>
      <c r="H19" s="513"/>
      <c r="J19" s="513"/>
    </row>
    <row r="20" ht="24.95" customHeight="1" spans="1:10">
      <c r="A20" s="585" t="s">
        <v>240</v>
      </c>
      <c r="B20" s="580" t="s">
        <v>241</v>
      </c>
      <c r="C20" s="581">
        <v>10.3215</v>
      </c>
      <c r="D20" s="582">
        <v>5.3</v>
      </c>
      <c r="E20" s="583">
        <v>30.2279</v>
      </c>
      <c r="F20" s="584">
        <v>3</v>
      </c>
      <c r="G20" s="515"/>
      <c r="H20" s="591"/>
      <c r="J20" s="513"/>
    </row>
    <row r="21" ht="24.95" customHeight="1" spans="1:10">
      <c r="A21" s="585" t="s">
        <v>242</v>
      </c>
      <c r="B21" s="580" t="s">
        <v>31</v>
      </c>
      <c r="C21" s="581">
        <v>12.5898</v>
      </c>
      <c r="D21" s="582">
        <v>-1.4</v>
      </c>
      <c r="E21" s="583">
        <v>27.8088</v>
      </c>
      <c r="F21" s="584">
        <v>-11.3</v>
      </c>
      <c r="G21" s="515"/>
      <c r="H21" s="513"/>
      <c r="J21" s="513"/>
    </row>
    <row r="22" ht="24.95" customHeight="1" spans="1:10">
      <c r="A22" s="592" t="s">
        <v>243</v>
      </c>
      <c r="B22" s="593" t="s">
        <v>31</v>
      </c>
      <c r="C22" s="594">
        <v>10.3291</v>
      </c>
      <c r="D22" s="595">
        <v>17.4</v>
      </c>
      <c r="E22" s="596">
        <v>20.7768</v>
      </c>
      <c r="F22" s="597">
        <v>19.1</v>
      </c>
      <c r="G22" s="515"/>
      <c r="H22" s="513"/>
      <c r="J22" s="513"/>
    </row>
    <row r="23" spans="1:10">
      <c r="A23" s="562"/>
      <c r="B23" s="562"/>
      <c r="C23" s="562"/>
      <c r="D23" s="562"/>
      <c r="E23" s="527"/>
      <c r="F23" s="562"/>
    </row>
  </sheetData>
  <mergeCells count="1">
    <mergeCell ref="A1:F1"/>
  </mergeCells>
  <pageMargins left="0.75" right="0.75" top="1" bottom="1" header="0.5" footer="0.5"/>
  <pageSetup paperSize="9" orientation="portrait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15"/>
  <sheetViews>
    <sheetView zoomScale="90" zoomScaleNormal="90" workbookViewId="0">
      <selection activeCell="E6" sqref="E6"/>
    </sheetView>
  </sheetViews>
  <sheetFormatPr defaultColWidth="9" defaultRowHeight="14.25" outlineLevelCol="2"/>
  <cols>
    <col min="1" max="1" width="46.25" style="562" customWidth="1"/>
    <col min="2" max="3" width="14.5" style="528" customWidth="1"/>
    <col min="4" max="16384" width="9" style="562"/>
  </cols>
  <sheetData>
    <row r="1" ht="28.5" customHeight="1" spans="1:3">
      <c r="A1" s="563" t="s">
        <v>244</v>
      </c>
      <c r="B1" s="530"/>
      <c r="C1" s="530"/>
    </row>
    <row r="2" ht="20" customHeight="1" spans="1:3">
      <c r="A2" s="564"/>
      <c r="B2" s="228" t="s">
        <v>245</v>
      </c>
      <c r="C2" s="228"/>
    </row>
    <row r="3" ht="40.5" customHeight="1" spans="1:3">
      <c r="A3" s="565" t="s">
        <v>38</v>
      </c>
      <c r="B3" s="92" t="s">
        <v>79</v>
      </c>
      <c r="C3" s="566" t="s">
        <v>5</v>
      </c>
    </row>
    <row r="4" s="561" customFormat="1" ht="30" customHeight="1" spans="1:3">
      <c r="A4" s="567" t="s">
        <v>246</v>
      </c>
      <c r="B4" s="568">
        <v>185.47</v>
      </c>
      <c r="C4" s="242">
        <v>-4</v>
      </c>
    </row>
    <row r="5" s="561" customFormat="1" ht="30" customHeight="1" spans="1:3">
      <c r="A5" s="567" t="s">
        <v>247</v>
      </c>
      <c r="B5" s="568">
        <v>7.68</v>
      </c>
      <c r="C5" s="242">
        <v>-2.4</v>
      </c>
    </row>
    <row r="6" ht="30" customHeight="1" spans="1:3">
      <c r="A6" s="567" t="s">
        <v>248</v>
      </c>
      <c r="B6" s="568">
        <v>150.85</v>
      </c>
      <c r="C6" s="242">
        <v>-2.8</v>
      </c>
    </row>
    <row r="7" ht="30" customHeight="1" spans="1:3">
      <c r="A7" s="569" t="s">
        <v>249</v>
      </c>
      <c r="B7" s="568">
        <v>26.94</v>
      </c>
      <c r="C7" s="242">
        <v>-10.7</v>
      </c>
    </row>
    <row r="8" ht="30" customHeight="1" spans="1:3">
      <c r="A8" s="569" t="s">
        <v>250</v>
      </c>
      <c r="B8" s="568">
        <v>142.15</v>
      </c>
      <c r="C8" s="242">
        <v>-5.5</v>
      </c>
    </row>
    <row r="9" ht="30" customHeight="1" spans="1:3">
      <c r="A9" s="569" t="s">
        <v>251</v>
      </c>
      <c r="B9" s="568">
        <v>12.87</v>
      </c>
      <c r="C9" s="242">
        <v>-3.3</v>
      </c>
    </row>
    <row r="10" ht="30" customHeight="1" spans="1:3">
      <c r="A10" s="569" t="s">
        <v>252</v>
      </c>
      <c r="B10" s="568">
        <v>0.64</v>
      </c>
      <c r="C10" s="242">
        <v>22.9</v>
      </c>
    </row>
    <row r="11" ht="30" customHeight="1" spans="1:3">
      <c r="A11" s="569" t="s">
        <v>253</v>
      </c>
      <c r="B11" s="568">
        <v>6.06</v>
      </c>
      <c r="C11" s="242">
        <v>-7.5</v>
      </c>
    </row>
    <row r="12" ht="30" customHeight="1" spans="1:3">
      <c r="A12" s="569" t="s">
        <v>254</v>
      </c>
      <c r="B12" s="568">
        <v>95.85</v>
      </c>
      <c r="C12" s="242">
        <v>-4.2</v>
      </c>
    </row>
    <row r="13" ht="30" customHeight="1" spans="1:3">
      <c r="A13" s="570" t="s">
        <v>255</v>
      </c>
      <c r="B13" s="568">
        <v>0.01</v>
      </c>
      <c r="C13" s="242">
        <v>46.8</v>
      </c>
    </row>
    <row r="14" ht="30" customHeight="1" spans="1:3">
      <c r="A14" s="570" t="s">
        <v>256</v>
      </c>
      <c r="B14" s="571">
        <v>26.72</v>
      </c>
      <c r="C14" s="572">
        <v>-10.8</v>
      </c>
    </row>
    <row r="15" ht="25.5" customHeight="1" spans="1:3">
      <c r="A15" s="573" t="s">
        <v>257</v>
      </c>
      <c r="B15" s="573"/>
      <c r="C15" s="574"/>
    </row>
  </sheetData>
  <mergeCells count="3">
    <mergeCell ref="A1:C1"/>
    <mergeCell ref="B2:C2"/>
    <mergeCell ref="A15:C15"/>
  </mergeCells>
  <pageMargins left="0.75" right="0.75" top="1" bottom="1" header="0.5" footer="0.5"/>
  <pageSetup paperSize="9" orientation="portrait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H16"/>
  <sheetViews>
    <sheetView zoomScale="80" zoomScaleNormal="80" workbookViewId="0">
      <selection activeCell="P27" sqref="P27"/>
    </sheetView>
  </sheetViews>
  <sheetFormatPr defaultColWidth="9" defaultRowHeight="14.25" outlineLevelCol="7"/>
  <cols>
    <col min="1" max="1" width="29.75" style="247" customWidth="1"/>
    <col min="2" max="2" width="13.375" style="247" customWidth="1"/>
    <col min="3" max="3" width="12.875" style="247" customWidth="1"/>
    <col min="4" max="4" width="13.125" style="247" customWidth="1"/>
    <col min="5" max="16384" width="9" style="247"/>
  </cols>
  <sheetData>
    <row r="1" ht="28.5" customHeight="1" spans="1:8">
      <c r="A1" s="529" t="s">
        <v>258</v>
      </c>
      <c r="B1" s="529"/>
      <c r="C1" s="529"/>
      <c r="D1" s="530"/>
      <c r="E1" s="531"/>
      <c r="F1" s="532"/>
      <c r="G1" s="532"/>
      <c r="H1" s="532"/>
    </row>
    <row r="2" ht="32.25" customHeight="1" spans="1:8">
      <c r="A2" s="460" t="s">
        <v>38</v>
      </c>
      <c r="B2" s="433" t="s">
        <v>104</v>
      </c>
      <c r="C2" s="433" t="s">
        <v>79</v>
      </c>
      <c r="D2" s="460" t="s">
        <v>259</v>
      </c>
      <c r="E2" s="533"/>
      <c r="F2" s="534"/>
      <c r="G2" s="534"/>
      <c r="H2" s="534"/>
    </row>
    <row r="3" ht="35.1" customHeight="1" spans="1:8">
      <c r="A3" s="535" t="s">
        <v>260</v>
      </c>
      <c r="B3" s="536"/>
      <c r="C3" s="537"/>
      <c r="D3" s="538"/>
      <c r="E3" s="533"/>
      <c r="F3" s="534"/>
      <c r="G3" s="534"/>
      <c r="H3" s="534"/>
    </row>
    <row r="4" ht="35.1" customHeight="1" spans="1:8">
      <c r="A4" s="539" t="s">
        <v>261</v>
      </c>
      <c r="B4" s="540" t="s">
        <v>66</v>
      </c>
      <c r="C4" s="541">
        <v>3687</v>
      </c>
      <c r="D4" s="542">
        <v>-2.33</v>
      </c>
      <c r="E4" s="533"/>
      <c r="F4" s="534"/>
      <c r="G4" s="534"/>
      <c r="H4" s="534"/>
    </row>
    <row r="5" ht="35.1" customHeight="1" spans="1:8">
      <c r="A5" s="539" t="s">
        <v>262</v>
      </c>
      <c r="B5" s="543" t="s">
        <v>263</v>
      </c>
      <c r="C5" s="544">
        <v>16.362</v>
      </c>
      <c r="D5" s="542">
        <v>26.62</v>
      </c>
      <c r="E5" s="287"/>
      <c r="F5" s="287"/>
    </row>
    <row r="6" s="287" customFormat="1" ht="35.1" customHeight="1" spans="1:8">
      <c r="A6" s="545" t="s">
        <v>264</v>
      </c>
      <c r="B6" s="546"/>
      <c r="C6" s="547"/>
      <c r="D6" s="542"/>
    </row>
    <row r="7" ht="35.1" customHeight="1" spans="1:8">
      <c r="A7" s="485" t="s">
        <v>265</v>
      </c>
      <c r="B7" s="540"/>
      <c r="C7" s="547"/>
      <c r="D7" s="542"/>
      <c r="E7" s="548"/>
      <c r="F7" s="548"/>
    </row>
    <row r="8" ht="35.1" customHeight="1" spans="1:8">
      <c r="A8" s="485" t="s">
        <v>266</v>
      </c>
      <c r="B8" s="540" t="s">
        <v>267</v>
      </c>
      <c r="C8" s="549">
        <v>0.2107</v>
      </c>
      <c r="D8" s="550">
        <v>12.73</v>
      </c>
      <c r="E8" s="551"/>
      <c r="F8" s="548"/>
    </row>
    <row r="9" ht="35.1" customHeight="1" spans="1:8">
      <c r="A9" s="485" t="s">
        <v>268</v>
      </c>
      <c r="B9" s="540" t="s">
        <v>269</v>
      </c>
      <c r="C9" s="549">
        <v>47.5463</v>
      </c>
      <c r="D9" s="550">
        <v>12.48</v>
      </c>
      <c r="E9" s="287"/>
      <c r="F9" s="548"/>
    </row>
    <row r="10" ht="35.1" customHeight="1" spans="1:8">
      <c r="A10" s="485" t="s">
        <v>270</v>
      </c>
      <c r="B10" s="540" t="s">
        <v>118</v>
      </c>
      <c r="C10" s="552">
        <v>1417</v>
      </c>
      <c r="D10" s="550">
        <v>-1.32</v>
      </c>
      <c r="E10" s="551"/>
      <c r="F10" s="548"/>
    </row>
    <row r="11" ht="35.1" customHeight="1" spans="1:8">
      <c r="A11" s="485" t="s">
        <v>271</v>
      </c>
      <c r="B11" s="540" t="s">
        <v>272</v>
      </c>
      <c r="C11" s="549">
        <v>15.7737</v>
      </c>
      <c r="D11" s="550">
        <v>-2.13</v>
      </c>
      <c r="E11" s="553"/>
      <c r="F11" s="553"/>
    </row>
    <row r="12" ht="35.1" customHeight="1" spans="1:8">
      <c r="A12" s="485" t="s">
        <v>273</v>
      </c>
      <c r="B12" s="546"/>
      <c r="C12" s="554"/>
      <c r="D12" s="555"/>
      <c r="E12" s="548"/>
      <c r="F12" s="548"/>
    </row>
    <row r="13" ht="35.1" customHeight="1" spans="1:8">
      <c r="A13" s="485" t="s">
        <v>266</v>
      </c>
      <c r="B13" s="540" t="s">
        <v>66</v>
      </c>
      <c r="C13" s="556">
        <v>790.2</v>
      </c>
      <c r="D13" s="542">
        <v>25.29</v>
      </c>
      <c r="E13" s="551"/>
      <c r="F13" s="548"/>
    </row>
    <row r="14" ht="35.1" customHeight="1" spans="1:8">
      <c r="A14" s="485" t="s">
        <v>268</v>
      </c>
      <c r="B14" s="540" t="s">
        <v>269</v>
      </c>
      <c r="C14" s="557">
        <v>34.8273</v>
      </c>
      <c r="D14" s="542">
        <v>38.99</v>
      </c>
      <c r="E14" s="548"/>
      <c r="F14" s="548"/>
    </row>
    <row r="15" ht="35.1" customHeight="1" spans="1:8">
      <c r="A15" s="485" t="s">
        <v>270</v>
      </c>
      <c r="B15" s="540" t="s">
        <v>118</v>
      </c>
      <c r="C15" s="556">
        <v>133.6</v>
      </c>
      <c r="D15" s="542">
        <v>18.99</v>
      </c>
      <c r="E15" s="551"/>
      <c r="F15" s="548"/>
    </row>
    <row r="16" ht="35.1" customHeight="1" spans="1:8">
      <c r="A16" s="449" t="s">
        <v>271</v>
      </c>
      <c r="B16" s="558" t="s">
        <v>272</v>
      </c>
      <c r="C16" s="559">
        <v>0.388232</v>
      </c>
      <c r="D16" s="560">
        <v>33.51</v>
      </c>
      <c r="E16" s="553"/>
      <c r="F16" s="553"/>
    </row>
  </sheetData>
  <mergeCells count="1">
    <mergeCell ref="A1:D1"/>
  </mergeCells>
  <printOptions horizontalCentered="1"/>
  <pageMargins left="0.75" right="0.75" top="0.979166666666667" bottom="0.979166666666667" header="0.509027777777778" footer="0.509027777777778"/>
  <pageSetup paperSize="9" orientation="portrait" blackAndWhite="1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I25"/>
  <sheetViews>
    <sheetView zoomScale="80" zoomScaleNormal="80" workbookViewId="0">
      <selection activeCell="J29" sqref="J29"/>
    </sheetView>
  </sheetViews>
  <sheetFormatPr defaultColWidth="9" defaultRowHeight="14.25"/>
  <cols>
    <col min="1" max="1" width="41.875" style="495" customWidth="1"/>
    <col min="2" max="2" width="11.875" style="495" customWidth="1"/>
    <col min="3" max="4" width="14.5" style="496" customWidth="1"/>
    <col min="5" max="5" width="12.625" style="495" customWidth="1"/>
    <col min="6" max="9" width="14.125" style="495" customWidth="1"/>
    <col min="10" max="16384" width="9" style="495"/>
  </cols>
  <sheetData>
    <row r="1" ht="28.5" customHeight="1" spans="1:9">
      <c r="A1" s="497" t="s">
        <v>274</v>
      </c>
      <c r="B1" s="498"/>
      <c r="C1" s="86"/>
      <c r="D1" s="86"/>
    </row>
    <row r="2" ht="23.1" customHeight="1" spans="1:9">
      <c r="A2" s="499" t="s">
        <v>38</v>
      </c>
      <c r="B2" s="500" t="s">
        <v>2</v>
      </c>
      <c r="C2" s="501" t="s">
        <v>79</v>
      </c>
      <c r="D2" s="499" t="s">
        <v>5</v>
      </c>
    </row>
    <row r="3" s="494" customFormat="1" ht="24.95" customHeight="1" spans="1:9">
      <c r="A3" s="502" t="s">
        <v>275</v>
      </c>
      <c r="B3" s="503" t="s">
        <v>7</v>
      </c>
      <c r="C3" s="504"/>
      <c r="D3" s="505">
        <v>16.1</v>
      </c>
      <c r="F3" s="506"/>
      <c r="G3" s="507"/>
    </row>
    <row r="4" ht="24.95" customHeight="1" spans="1:9">
      <c r="A4" s="502" t="s">
        <v>276</v>
      </c>
      <c r="B4" s="508" t="s">
        <v>7</v>
      </c>
      <c r="C4" s="509"/>
      <c r="D4" s="510">
        <v>0</v>
      </c>
      <c r="F4" s="511"/>
      <c r="G4" s="512"/>
      <c r="I4" s="513"/>
    </row>
    <row r="5" ht="24.95" customHeight="1" spans="1:9">
      <c r="A5" s="514" t="s">
        <v>277</v>
      </c>
      <c r="B5" s="508" t="s">
        <v>7</v>
      </c>
      <c r="C5" s="509"/>
      <c r="D5" s="510">
        <v>66.3</v>
      </c>
      <c r="F5" s="515"/>
      <c r="G5" s="512"/>
      <c r="I5" s="513"/>
    </row>
    <row r="6" s="247" customFormat="1" ht="24.95" customHeight="1" spans="1:9">
      <c r="A6" s="514" t="s">
        <v>278</v>
      </c>
      <c r="B6" s="508" t="s">
        <v>7</v>
      </c>
      <c r="C6" s="509"/>
      <c r="D6" s="510">
        <v>-35.8364626857778</v>
      </c>
      <c r="E6" s="516"/>
      <c r="F6" s="516"/>
      <c r="G6" s="512"/>
      <c r="I6" s="513"/>
    </row>
    <row r="7" s="494" customFormat="1" ht="24.95" customHeight="1" spans="1:9">
      <c r="A7" s="502" t="s">
        <v>279</v>
      </c>
      <c r="B7" s="508" t="s">
        <v>7</v>
      </c>
      <c r="C7" s="509"/>
      <c r="D7" s="510">
        <v>17.8</v>
      </c>
      <c r="F7" s="506"/>
      <c r="G7" s="517"/>
    </row>
    <row r="8" s="494" customFormat="1" ht="24.95" customHeight="1" spans="1:9">
      <c r="A8" s="518" t="s">
        <v>280</v>
      </c>
      <c r="B8" s="508" t="s">
        <v>7</v>
      </c>
      <c r="C8" s="509"/>
      <c r="D8" s="510">
        <v>32.1</v>
      </c>
      <c r="F8" s="511"/>
    </row>
    <row r="9" s="494" customFormat="1" ht="24.95" customHeight="1" spans="1:9">
      <c r="A9" s="518" t="s">
        <v>281</v>
      </c>
      <c r="B9" s="508" t="s">
        <v>7</v>
      </c>
      <c r="C9" s="509"/>
      <c r="D9" s="510">
        <v>129</v>
      </c>
      <c r="F9" s="511"/>
    </row>
    <row r="10" ht="24.95" customHeight="1" spans="1:9">
      <c r="A10" s="514" t="s">
        <v>282</v>
      </c>
      <c r="B10" s="508" t="s">
        <v>7</v>
      </c>
      <c r="C10" s="509"/>
      <c r="D10" s="510">
        <v>-7.6</v>
      </c>
      <c r="G10" s="513"/>
      <c r="I10" s="513"/>
    </row>
    <row r="11" ht="24.95" customHeight="1" spans="1:9">
      <c r="A11" s="514" t="s">
        <v>283</v>
      </c>
      <c r="B11" s="508" t="s">
        <v>7</v>
      </c>
      <c r="C11" s="509"/>
      <c r="D11" s="510">
        <v>13.1</v>
      </c>
      <c r="G11" s="513"/>
      <c r="I11" s="513"/>
    </row>
    <row r="12" ht="24.95" customHeight="1" spans="1:9">
      <c r="A12" s="514" t="s">
        <v>284</v>
      </c>
      <c r="B12" s="508" t="s">
        <v>7</v>
      </c>
      <c r="C12" s="509"/>
      <c r="D12" s="510">
        <v>121.091178406847</v>
      </c>
      <c r="G12" s="513"/>
      <c r="I12" s="513"/>
    </row>
    <row r="13" ht="24.95" customHeight="1" spans="1:9">
      <c r="A13" s="514" t="s">
        <v>285</v>
      </c>
      <c r="B13" s="508" t="s">
        <v>7</v>
      </c>
      <c r="C13" s="509"/>
      <c r="D13" s="510">
        <v>97.6</v>
      </c>
      <c r="G13" s="513"/>
      <c r="I13" s="513"/>
    </row>
    <row r="14" ht="24.95" customHeight="1" spans="1:9">
      <c r="A14" s="518" t="s">
        <v>286</v>
      </c>
      <c r="B14" s="508" t="s">
        <v>7</v>
      </c>
      <c r="C14" s="509"/>
      <c r="D14" s="510">
        <v>32.1</v>
      </c>
      <c r="G14" s="513"/>
      <c r="I14" s="513"/>
    </row>
    <row r="15" ht="24.95" customHeight="1" spans="1:9">
      <c r="A15" s="518" t="s">
        <v>287</v>
      </c>
      <c r="B15" s="508" t="s">
        <v>7</v>
      </c>
      <c r="C15" s="509"/>
      <c r="D15" s="510">
        <v>11.1</v>
      </c>
      <c r="G15" s="513"/>
      <c r="I15" s="513"/>
    </row>
    <row r="16" ht="24.95" customHeight="1" spans="1:9">
      <c r="A16" s="518" t="s">
        <v>288</v>
      </c>
      <c r="B16" s="519" t="s">
        <v>106</v>
      </c>
      <c r="C16" s="520">
        <v>521</v>
      </c>
      <c r="D16" s="510">
        <v>26.7</v>
      </c>
      <c r="F16" s="521"/>
      <c r="G16" s="513"/>
      <c r="I16" s="513"/>
    </row>
    <row r="17" ht="24.95" customHeight="1" spans="1:9">
      <c r="A17" s="518" t="s">
        <v>289</v>
      </c>
      <c r="B17" s="519" t="s">
        <v>106</v>
      </c>
      <c r="C17" s="520">
        <v>135</v>
      </c>
      <c r="D17" s="510">
        <v>25</v>
      </c>
      <c r="G17" s="513"/>
      <c r="I17" s="513"/>
    </row>
    <row r="18" ht="24.95" customHeight="1" spans="1:9">
      <c r="A18" s="518" t="s">
        <v>290</v>
      </c>
      <c r="B18" s="519" t="s">
        <v>106</v>
      </c>
      <c r="C18" s="520">
        <v>44</v>
      </c>
      <c r="D18" s="510">
        <v>109.5</v>
      </c>
      <c r="G18" s="513"/>
      <c r="I18" s="513"/>
    </row>
    <row r="19" ht="24.95" customHeight="1" spans="1:9">
      <c r="A19" s="518" t="s">
        <v>291</v>
      </c>
      <c r="B19" s="519" t="s">
        <v>14</v>
      </c>
      <c r="C19" s="522">
        <v>2655.8996</v>
      </c>
      <c r="D19" s="510">
        <v>8.6</v>
      </c>
      <c r="G19" s="513"/>
      <c r="I19" s="513"/>
    </row>
    <row r="20" ht="24.95" customHeight="1" spans="1:9">
      <c r="A20" s="518" t="s">
        <v>292</v>
      </c>
      <c r="B20" s="519" t="s">
        <v>14</v>
      </c>
      <c r="C20" s="522">
        <v>2579.1512</v>
      </c>
      <c r="D20" s="510">
        <v>12.3</v>
      </c>
      <c r="G20" s="513"/>
      <c r="I20" s="513"/>
    </row>
    <row r="21" ht="24.95" customHeight="1" spans="1:9">
      <c r="A21" s="518" t="s">
        <v>293</v>
      </c>
      <c r="B21" s="519" t="s">
        <v>14</v>
      </c>
      <c r="C21" s="522">
        <v>33.3928</v>
      </c>
      <c r="D21" s="510">
        <v>-32.1</v>
      </c>
    </row>
    <row r="22" ht="24.95" customHeight="1" spans="1:9">
      <c r="A22" s="518" t="s">
        <v>292</v>
      </c>
      <c r="B22" s="519" t="s">
        <v>14</v>
      </c>
      <c r="C22" s="522">
        <v>32.3378</v>
      </c>
      <c r="D22" s="510">
        <v>-22.8</v>
      </c>
    </row>
    <row r="23" ht="24.95" customHeight="1" spans="1:9">
      <c r="A23" s="518" t="s">
        <v>294</v>
      </c>
      <c r="B23" s="519" t="s">
        <v>14</v>
      </c>
      <c r="C23" s="522">
        <v>68.7213</v>
      </c>
      <c r="D23" s="510">
        <v>-6.9</v>
      </c>
    </row>
    <row r="24" ht="24.95" customHeight="1" spans="1:9">
      <c r="A24" s="523" t="s">
        <v>295</v>
      </c>
      <c r="B24" s="524" t="s">
        <v>7</v>
      </c>
      <c r="C24" s="525">
        <v>58.7372</v>
      </c>
      <c r="D24" s="526">
        <v>-1.7</v>
      </c>
    </row>
    <row r="25" spans="1:9">
      <c r="A25" s="527"/>
      <c r="B25" s="527"/>
      <c r="C25" s="528"/>
      <c r="D25" s="528"/>
    </row>
  </sheetData>
  <mergeCells count="1">
    <mergeCell ref="A1:D1"/>
  </mergeCells>
  <printOptions horizontalCentered="1"/>
  <pageMargins left="0.55" right="0.55" top="0.979166666666667" bottom="0.979166666666667" header="0.509027777777778" footer="0.509027777777778"/>
  <pageSetup paperSize="9" orientation="portrait" blackAndWhite="1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0"/>
  <sheetViews>
    <sheetView zoomScale="80" zoomScaleNormal="80" workbookViewId="0">
      <selection activeCell="E9" sqref="E9"/>
    </sheetView>
  </sheetViews>
  <sheetFormatPr defaultColWidth="9" defaultRowHeight="14.25" outlineLevelCol="2"/>
  <cols>
    <col min="1" max="1" width="43.5" style="44" customWidth="1"/>
    <col min="2" max="2" width="17.375" style="44" customWidth="1"/>
    <col min="3" max="3" width="17.125" style="44" customWidth="1"/>
    <col min="4" max="16384" width="9" style="44"/>
  </cols>
  <sheetData>
    <row r="1" ht="28.5" customHeight="1" spans="1:3">
      <c r="A1" s="374" t="s">
        <v>15</v>
      </c>
      <c r="B1" s="374"/>
      <c r="C1" s="374"/>
    </row>
    <row r="2" ht="20" customHeight="1" spans="1:3">
      <c r="A2" s="479"/>
      <c r="B2" s="457"/>
      <c r="C2" s="459" t="s">
        <v>37</v>
      </c>
    </row>
    <row r="3" ht="30.75" customHeight="1" spans="1:3">
      <c r="A3" s="480" t="s">
        <v>38</v>
      </c>
      <c r="B3" s="481" t="s">
        <v>79</v>
      </c>
      <c r="C3" s="481" t="s">
        <v>78</v>
      </c>
    </row>
    <row r="4" ht="21" customHeight="1" spans="1:3">
      <c r="A4" s="482" t="s">
        <v>296</v>
      </c>
      <c r="B4" s="483">
        <v>298.7004</v>
      </c>
      <c r="C4" s="484">
        <v>8.1</v>
      </c>
    </row>
    <row r="5" ht="21" customHeight="1" spans="1:3">
      <c r="A5" s="485" t="s">
        <v>297</v>
      </c>
      <c r="B5" s="486"/>
      <c r="C5" s="487"/>
    </row>
    <row r="6" ht="21" customHeight="1" spans="1:3">
      <c r="A6" s="485" t="s">
        <v>298</v>
      </c>
      <c r="B6" s="486">
        <v>241.9921</v>
      </c>
      <c r="C6" s="487">
        <v>8.1</v>
      </c>
    </row>
    <row r="7" ht="21" customHeight="1" spans="1:3">
      <c r="A7" s="485" t="s">
        <v>299</v>
      </c>
      <c r="B7" s="486">
        <v>56.7083</v>
      </c>
      <c r="C7" s="487">
        <v>8.5</v>
      </c>
    </row>
    <row r="8" ht="21" customHeight="1" spans="1:3">
      <c r="A8" s="485" t="s">
        <v>300</v>
      </c>
      <c r="B8" s="486"/>
      <c r="C8" s="487"/>
    </row>
    <row r="9" ht="21" customHeight="1" spans="1:3">
      <c r="A9" s="485" t="s">
        <v>301</v>
      </c>
      <c r="B9" s="486">
        <v>264.7782</v>
      </c>
      <c r="C9" s="487">
        <v>8.2</v>
      </c>
    </row>
    <row r="10" ht="21" customHeight="1" spans="1:3">
      <c r="A10" s="485" t="s">
        <v>302</v>
      </c>
      <c r="B10" s="486">
        <v>33.9222</v>
      </c>
      <c r="C10" s="487">
        <v>8</v>
      </c>
    </row>
    <row r="11" ht="21" customHeight="1" spans="1:3">
      <c r="A11" s="488" t="s">
        <v>303</v>
      </c>
      <c r="B11" s="486">
        <v>37.259</v>
      </c>
      <c r="C11" s="487">
        <v>6.8</v>
      </c>
    </row>
    <row r="12" ht="21" customHeight="1" spans="1:3">
      <c r="A12" s="485" t="s">
        <v>304</v>
      </c>
      <c r="B12" s="486">
        <v>5.9435</v>
      </c>
      <c r="C12" s="487">
        <v>6.8</v>
      </c>
    </row>
    <row r="13" ht="21" customHeight="1" spans="1:3">
      <c r="A13" s="485" t="s">
        <v>305</v>
      </c>
      <c r="B13" s="486">
        <v>0.3699</v>
      </c>
      <c r="C13" s="487">
        <v>-9.8</v>
      </c>
    </row>
    <row r="14" ht="21" customHeight="1" spans="1:3">
      <c r="A14" s="485" t="s">
        <v>306</v>
      </c>
      <c r="B14" s="486">
        <v>0.1193</v>
      </c>
      <c r="C14" s="487">
        <v>-17.9</v>
      </c>
    </row>
    <row r="15" ht="21" customHeight="1" spans="1:3">
      <c r="A15" s="485" t="s">
        <v>307</v>
      </c>
      <c r="B15" s="486">
        <v>0.2895</v>
      </c>
      <c r="C15" s="487">
        <v>-3.8</v>
      </c>
    </row>
    <row r="16" ht="21" customHeight="1" spans="1:3">
      <c r="A16" s="489" t="s">
        <v>308</v>
      </c>
      <c r="B16" s="486">
        <v>1.0764</v>
      </c>
      <c r="C16" s="487">
        <v>4.5</v>
      </c>
    </row>
    <row r="17" ht="21" customHeight="1" spans="1:3">
      <c r="A17" s="490" t="s">
        <v>309</v>
      </c>
      <c r="B17" s="486">
        <v>0.1102</v>
      </c>
      <c r="C17" s="487">
        <v>-44</v>
      </c>
    </row>
    <row r="18" ht="21" customHeight="1" spans="1:3">
      <c r="A18" s="490" t="s">
        <v>310</v>
      </c>
      <c r="B18" s="486">
        <v>0.0136</v>
      </c>
      <c r="C18" s="487">
        <v>68.1</v>
      </c>
    </row>
    <row r="19" ht="21" customHeight="1" spans="1:3">
      <c r="A19" s="490" t="s">
        <v>311</v>
      </c>
      <c r="B19" s="486">
        <v>0.2216</v>
      </c>
      <c r="C19" s="487">
        <v>16.9</v>
      </c>
    </row>
    <row r="20" ht="21" customHeight="1" spans="1:3">
      <c r="A20" s="490" t="s">
        <v>312</v>
      </c>
      <c r="B20" s="486">
        <v>0.0133</v>
      </c>
      <c r="C20" s="487">
        <v>2.2</v>
      </c>
    </row>
    <row r="21" ht="21" customHeight="1" spans="1:3">
      <c r="A21" s="490" t="s">
        <v>313</v>
      </c>
      <c r="B21" s="486">
        <v>1.9235</v>
      </c>
      <c r="C21" s="487">
        <v>3.2</v>
      </c>
    </row>
    <row r="22" ht="21" customHeight="1" spans="1:3">
      <c r="A22" s="490" t="s">
        <v>314</v>
      </c>
      <c r="B22" s="486">
        <v>1.6557</v>
      </c>
      <c r="C22" s="487">
        <v>13.5</v>
      </c>
    </row>
    <row r="23" ht="21" customHeight="1" spans="1:3">
      <c r="A23" s="490" t="s">
        <v>315</v>
      </c>
      <c r="B23" s="486">
        <v>0.296</v>
      </c>
      <c r="C23" s="487">
        <v>-3.8</v>
      </c>
    </row>
    <row r="24" ht="21" customHeight="1" spans="1:3">
      <c r="A24" s="490" t="s">
        <v>316</v>
      </c>
      <c r="B24" s="486">
        <v>0.4272</v>
      </c>
      <c r="C24" s="487">
        <v>13.2</v>
      </c>
    </row>
    <row r="25" ht="21" customHeight="1" spans="1:3">
      <c r="A25" s="490" t="s">
        <v>317</v>
      </c>
      <c r="B25" s="486">
        <v>0.4899</v>
      </c>
      <c r="C25" s="487">
        <v>14</v>
      </c>
    </row>
    <row r="26" ht="21" customHeight="1" spans="1:3">
      <c r="A26" s="490" t="s">
        <v>318</v>
      </c>
      <c r="B26" s="486">
        <v>11.0525</v>
      </c>
      <c r="C26" s="487">
        <v>-0.2</v>
      </c>
    </row>
    <row r="27" ht="21" customHeight="1" spans="1:3">
      <c r="A27" s="490" t="s">
        <v>319</v>
      </c>
      <c r="B27" s="486">
        <v>0.1744</v>
      </c>
      <c r="C27" s="487">
        <v>-54.2</v>
      </c>
    </row>
    <row r="28" ht="21" customHeight="1" spans="1:3">
      <c r="A28" s="490" t="s">
        <v>320</v>
      </c>
      <c r="B28" s="486">
        <v>0.4749</v>
      </c>
      <c r="C28" s="487">
        <v>32</v>
      </c>
    </row>
    <row r="29" ht="21" customHeight="1" spans="1:3">
      <c r="A29" s="490" t="s">
        <v>321</v>
      </c>
      <c r="B29" s="486">
        <v>11.2224</v>
      </c>
      <c r="C29" s="487">
        <v>10.1</v>
      </c>
    </row>
    <row r="30" ht="21" customHeight="1" spans="1:3">
      <c r="A30" s="491" t="s">
        <v>322</v>
      </c>
      <c r="B30" s="492">
        <v>1.3853</v>
      </c>
      <c r="C30" s="493">
        <v>146.5</v>
      </c>
    </row>
  </sheetData>
  <mergeCells count="1">
    <mergeCell ref="A1:C1"/>
  </mergeCells>
  <pageMargins left="0.75" right="0.55" top="0.588888888888889" bottom="0.788888888888889" header="0.509027777777778" footer="0.509027777777778"/>
  <pageSetup paperSize="9" scale="111" orientation="portrait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28"/>
  <sheetViews>
    <sheetView zoomScale="80" zoomScaleNormal="80" workbookViewId="0">
      <selection activeCell="G21" sqref="G21"/>
    </sheetView>
  </sheetViews>
  <sheetFormatPr defaultColWidth="9" defaultRowHeight="14.25" outlineLevelCol="2"/>
  <cols>
    <col min="1" max="1" width="43.5" style="44" customWidth="1"/>
    <col min="2" max="2" width="13.5" style="209" customWidth="1"/>
    <col min="3" max="3" width="13.875" style="44" customWidth="1"/>
    <col min="4" max="16384" width="9" style="44"/>
  </cols>
  <sheetData>
    <row r="1" ht="28.5" customHeight="1" spans="1:3">
      <c r="A1" s="374" t="s">
        <v>323</v>
      </c>
      <c r="B1" s="374"/>
      <c r="C1" s="374"/>
    </row>
    <row r="2" ht="21" customHeight="1" spans="1:3">
      <c r="A2" s="457"/>
      <c r="B2" s="458"/>
      <c r="C2" s="459" t="s">
        <v>324</v>
      </c>
    </row>
    <row r="3" ht="32.1" customHeight="1" spans="1:3">
      <c r="A3" s="460" t="s">
        <v>38</v>
      </c>
      <c r="B3" s="433" t="s">
        <v>79</v>
      </c>
      <c r="C3" s="460" t="s">
        <v>325</v>
      </c>
    </row>
    <row r="4" ht="21.95" customHeight="1" spans="1:3">
      <c r="A4" s="473" t="s">
        <v>326</v>
      </c>
      <c r="B4" s="474">
        <v>24.8697</v>
      </c>
      <c r="C4" s="475">
        <v>11.8</v>
      </c>
    </row>
    <row r="5" ht="21.95" customHeight="1" spans="1:3">
      <c r="A5" s="439" t="s">
        <v>327</v>
      </c>
      <c r="B5" s="474">
        <v>19.706</v>
      </c>
      <c r="C5" s="475">
        <v>13.1</v>
      </c>
    </row>
    <row r="6" ht="21.95" customHeight="1" spans="1:3">
      <c r="A6" s="439" t="s">
        <v>328</v>
      </c>
      <c r="B6" s="474">
        <v>7.4851</v>
      </c>
      <c r="C6" s="476">
        <v>23.5</v>
      </c>
    </row>
    <row r="7" ht="21.95" customHeight="1" spans="1:3">
      <c r="A7" s="439" t="s">
        <v>329</v>
      </c>
      <c r="B7" s="474">
        <v>2.8776</v>
      </c>
      <c r="C7" s="475">
        <v>55.8</v>
      </c>
    </row>
    <row r="8" ht="21.95" customHeight="1" spans="1:3">
      <c r="A8" s="439" t="s">
        <v>330</v>
      </c>
      <c r="B8" s="474">
        <v>0.7404</v>
      </c>
      <c r="C8" s="475">
        <v>-11.9</v>
      </c>
    </row>
    <row r="9" ht="21.95" customHeight="1" spans="1:3">
      <c r="A9" s="473" t="s">
        <v>331</v>
      </c>
      <c r="B9" s="474">
        <v>5.1637</v>
      </c>
      <c r="C9" s="475">
        <v>7</v>
      </c>
    </row>
    <row r="10" ht="21.95" customHeight="1" spans="1:3">
      <c r="A10" s="473" t="s">
        <v>332</v>
      </c>
      <c r="B10" s="474">
        <v>66.731</v>
      </c>
      <c r="C10" s="475">
        <v>16</v>
      </c>
    </row>
    <row r="11" ht="21.95" customHeight="1" spans="1:3">
      <c r="A11" s="473" t="s">
        <v>333</v>
      </c>
      <c r="B11" s="474">
        <v>8.6359</v>
      </c>
      <c r="C11" s="475">
        <v>21.4</v>
      </c>
    </row>
    <row r="12" ht="21.95" customHeight="1" spans="1:3">
      <c r="A12" s="473" t="s">
        <v>334</v>
      </c>
      <c r="B12" s="474">
        <v>1.0442</v>
      </c>
      <c r="C12" s="475">
        <v>420</v>
      </c>
    </row>
    <row r="13" ht="21.95" customHeight="1" spans="1:3">
      <c r="A13" s="473" t="s">
        <v>335</v>
      </c>
      <c r="B13" s="474">
        <v>51.1475</v>
      </c>
      <c r="C13" s="475">
        <v>14</v>
      </c>
    </row>
    <row r="14" ht="21.95" customHeight="1" spans="1:3">
      <c r="A14" s="477" t="s">
        <v>336</v>
      </c>
      <c r="B14" s="474">
        <v>16.6745</v>
      </c>
      <c r="C14" s="475">
        <v>7.4</v>
      </c>
    </row>
    <row r="15" ht="21.95" customHeight="1" spans="1:3">
      <c r="A15" s="473" t="s">
        <v>337</v>
      </c>
      <c r="B15" s="474">
        <v>1.1502</v>
      </c>
      <c r="C15" s="476">
        <v>17.8</v>
      </c>
    </row>
    <row r="16" ht="21.95" customHeight="1" spans="1:3">
      <c r="A16" s="473" t="s">
        <v>338</v>
      </c>
      <c r="B16" s="474">
        <v>11.0086</v>
      </c>
      <c r="C16" s="476">
        <v>5.7</v>
      </c>
    </row>
    <row r="17" ht="21.95" customHeight="1" spans="1:3">
      <c r="A17" s="473" t="s">
        <v>339</v>
      </c>
      <c r="B17" s="474">
        <v>4.8816</v>
      </c>
      <c r="C17" s="476">
        <v>27.9</v>
      </c>
    </row>
    <row r="18" ht="21.95" customHeight="1" spans="1:3">
      <c r="A18" s="473" t="s">
        <v>340</v>
      </c>
      <c r="B18" s="474">
        <v>1.3843</v>
      </c>
      <c r="C18" s="476">
        <v>223.4</v>
      </c>
    </row>
    <row r="19" ht="21.95" customHeight="1" spans="1:3">
      <c r="A19" s="473" t="s">
        <v>341</v>
      </c>
      <c r="B19" s="474">
        <v>4.3646</v>
      </c>
      <c r="C19" s="476">
        <v>3.8</v>
      </c>
    </row>
    <row r="20" ht="21.95" customHeight="1" spans="1:3">
      <c r="A20" s="473" t="s">
        <v>342</v>
      </c>
      <c r="B20" s="474">
        <v>6.4642</v>
      </c>
      <c r="C20" s="476">
        <v>6</v>
      </c>
    </row>
    <row r="21" ht="21.95" customHeight="1" spans="1:3">
      <c r="A21" s="473" t="s">
        <v>343</v>
      </c>
      <c r="B21" s="474">
        <v>2.9328</v>
      </c>
      <c r="C21" s="476">
        <v>70.8</v>
      </c>
    </row>
    <row r="22" ht="21.95" customHeight="1" spans="1:3">
      <c r="A22" s="473" t="s">
        <v>344</v>
      </c>
      <c r="B22" s="474">
        <v>1.8127</v>
      </c>
      <c r="C22" s="476">
        <v>33.5</v>
      </c>
    </row>
    <row r="23" ht="21.95" customHeight="1" spans="1:3">
      <c r="A23" s="473" t="s">
        <v>345</v>
      </c>
      <c r="B23" s="474">
        <v>0.474</v>
      </c>
      <c r="C23" s="478">
        <v>54.3</v>
      </c>
    </row>
    <row r="24" ht="21" customHeight="1" spans="1:3">
      <c r="A24" s="453" t="s">
        <v>346</v>
      </c>
      <c r="B24" s="453"/>
      <c r="C24" s="453"/>
    </row>
    <row r="28" spans="1:3">
      <c r="A28" s="471"/>
      <c r="B28" s="472"/>
      <c r="C28" s="456"/>
    </row>
  </sheetData>
  <mergeCells count="2">
    <mergeCell ref="A1:C1"/>
    <mergeCell ref="A24:C24"/>
  </mergeCells>
  <printOptions horizontalCentered="1"/>
  <pageMargins left="0.75" right="0.75" top="0.979166666666667" bottom="0.979166666666667" header="0.509027777777778" footer="0.509027777777778"/>
  <pageSetup paperSize="9" orientation="portrait" blackAndWhite="1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8"/>
  <sheetViews>
    <sheetView zoomScale="80" zoomScaleNormal="80" workbookViewId="0">
      <selection activeCell="F18" sqref="F18"/>
    </sheetView>
  </sheetViews>
  <sheetFormatPr defaultColWidth="9" defaultRowHeight="14.25" outlineLevelCol="2"/>
  <cols>
    <col min="1" max="1" width="42.875" style="44" customWidth="1"/>
    <col min="2" max="2" width="17.125" style="209" customWidth="1"/>
    <col min="3" max="3" width="13.875" style="44" customWidth="1"/>
    <col min="4" max="6" width="12.625" style="44" customWidth="1"/>
    <col min="7" max="16384" width="9" style="44"/>
  </cols>
  <sheetData>
    <row r="1" ht="28.5" customHeight="1" spans="1:3">
      <c r="A1" s="374" t="s">
        <v>347</v>
      </c>
      <c r="B1" s="374"/>
      <c r="C1" s="374"/>
    </row>
    <row r="2" ht="20.25" customHeight="1" spans="1:3">
      <c r="A2" s="457"/>
      <c r="B2" s="458"/>
      <c r="C2" s="459" t="s">
        <v>37</v>
      </c>
    </row>
    <row r="3" ht="21" customHeight="1" spans="1:3">
      <c r="A3" s="460" t="s">
        <v>38</v>
      </c>
      <c r="B3" s="461" t="s">
        <v>348</v>
      </c>
      <c r="C3" s="460" t="s">
        <v>5</v>
      </c>
    </row>
    <row r="4" ht="17.1" customHeight="1" spans="1:3">
      <c r="A4" s="462" t="s">
        <v>349</v>
      </c>
      <c r="B4" s="463">
        <v>3434.3333</v>
      </c>
      <c r="C4" s="464">
        <v>7.1</v>
      </c>
    </row>
    <row r="5" ht="17.1" customHeight="1" spans="1:3">
      <c r="A5" s="465" t="s">
        <v>350</v>
      </c>
      <c r="B5" s="466">
        <v>3430.1084</v>
      </c>
      <c r="C5" s="467">
        <v>7.1</v>
      </c>
    </row>
    <row r="6" ht="17.1" customHeight="1" spans="1:3">
      <c r="A6" s="468" t="s">
        <v>351</v>
      </c>
      <c r="B6" s="466">
        <v>2252.3646</v>
      </c>
      <c r="C6" s="467">
        <v>10.1</v>
      </c>
    </row>
    <row r="7" ht="17.1" customHeight="1" spans="1:3">
      <c r="A7" s="465" t="s">
        <v>352</v>
      </c>
      <c r="B7" s="466">
        <v>563.4232</v>
      </c>
      <c r="C7" s="467">
        <v>-4.9</v>
      </c>
    </row>
    <row r="8" ht="17.1" customHeight="1" spans="1:3">
      <c r="A8" s="465" t="s">
        <v>353</v>
      </c>
      <c r="B8" s="466">
        <v>614.183</v>
      </c>
      <c r="C8" s="467">
        <v>10.6</v>
      </c>
    </row>
    <row r="9" ht="17.1" customHeight="1" spans="1:3">
      <c r="A9" s="465" t="s">
        <v>354</v>
      </c>
      <c r="B9" s="466">
        <v>0.1376</v>
      </c>
      <c r="C9" s="467">
        <v>-98.7</v>
      </c>
    </row>
    <row r="10" ht="17.1" customHeight="1" spans="1:3">
      <c r="A10" s="465" t="s">
        <v>355</v>
      </c>
      <c r="B10" s="466">
        <v>4.2249</v>
      </c>
      <c r="C10" s="467">
        <v>1.4</v>
      </c>
    </row>
    <row r="11" ht="17.1" customHeight="1" spans="1:3">
      <c r="A11" s="469" t="s">
        <v>356</v>
      </c>
      <c r="B11" s="463">
        <v>2252.3542</v>
      </c>
      <c r="C11" s="464">
        <v>15.9</v>
      </c>
    </row>
    <row r="12" ht="17.1" customHeight="1" spans="1:3">
      <c r="A12" s="465" t="s">
        <v>357</v>
      </c>
      <c r="B12" s="466">
        <v>2250.9823</v>
      </c>
      <c r="C12" s="467">
        <v>15.9</v>
      </c>
    </row>
    <row r="13" ht="17.1" customHeight="1" spans="1:3">
      <c r="A13" s="468" t="s">
        <v>358</v>
      </c>
      <c r="B13" s="466">
        <v>863.8713</v>
      </c>
      <c r="C13" s="467">
        <v>27.5</v>
      </c>
    </row>
    <row r="14" ht="17.1" customHeight="1" spans="1:3">
      <c r="A14" s="468" t="s">
        <v>359</v>
      </c>
      <c r="B14" s="466">
        <v>1387.111</v>
      </c>
      <c r="C14" s="467">
        <v>9.7</v>
      </c>
    </row>
    <row r="15" ht="17.1" customHeight="1" spans="1:3">
      <c r="A15" s="468" t="s">
        <v>360</v>
      </c>
      <c r="B15" s="466">
        <v>0</v>
      </c>
      <c r="C15" s="467">
        <v>-100</v>
      </c>
    </row>
    <row r="16" ht="17.1" customHeight="1" spans="1:3">
      <c r="A16" s="465" t="s">
        <v>361</v>
      </c>
      <c r="B16" s="466">
        <v>1.3719</v>
      </c>
      <c r="C16" s="467">
        <v>46.3</v>
      </c>
    </row>
    <row r="17" ht="17.1" customHeight="1" spans="1:3">
      <c r="A17" s="469" t="s">
        <v>362</v>
      </c>
      <c r="B17" s="463">
        <v>3417.0484</v>
      </c>
      <c r="C17" s="464">
        <v>7</v>
      </c>
    </row>
    <row r="18" ht="17.1" customHeight="1" spans="1:3">
      <c r="A18" s="465" t="s">
        <v>350</v>
      </c>
      <c r="B18" s="466">
        <v>3412.9655</v>
      </c>
      <c r="C18" s="467">
        <v>7</v>
      </c>
    </row>
    <row r="19" ht="17.1" customHeight="1" spans="1:3">
      <c r="A19" s="468" t="s">
        <v>351</v>
      </c>
      <c r="B19" s="466">
        <v>2243.4474</v>
      </c>
      <c r="C19" s="467">
        <v>10.2</v>
      </c>
    </row>
    <row r="20" ht="17.1" customHeight="1" spans="1:3">
      <c r="A20" s="465" t="s">
        <v>363</v>
      </c>
      <c r="B20" s="466">
        <v>1217.8939</v>
      </c>
      <c r="C20" s="467">
        <v>9.7</v>
      </c>
    </row>
    <row r="21" ht="17.1" customHeight="1" spans="1:3">
      <c r="A21" s="465" t="s">
        <v>352</v>
      </c>
      <c r="B21" s="466">
        <v>555.3019</v>
      </c>
      <c r="C21" s="467">
        <v>-5.5</v>
      </c>
    </row>
    <row r="22" ht="17.1" customHeight="1" spans="1:3">
      <c r="A22" s="465" t="s">
        <v>353</v>
      </c>
      <c r="B22" s="466">
        <v>614.1139</v>
      </c>
      <c r="C22" s="467">
        <v>10.6</v>
      </c>
    </row>
    <row r="23" ht="17.1" customHeight="1" spans="1:3">
      <c r="A23" s="465" t="s">
        <v>364</v>
      </c>
      <c r="B23" s="466">
        <v>532.4666</v>
      </c>
      <c r="C23" s="467">
        <v>6.8</v>
      </c>
    </row>
    <row r="24" ht="17.1" customHeight="1" spans="1:3">
      <c r="A24" s="465" t="s">
        <v>354</v>
      </c>
      <c r="B24" s="466">
        <v>0.1023</v>
      </c>
      <c r="C24" s="467">
        <v>-99</v>
      </c>
    </row>
    <row r="25" ht="17.1" customHeight="1" spans="1:3">
      <c r="A25" s="465" t="s">
        <v>355</v>
      </c>
      <c r="B25" s="466">
        <v>4.0829</v>
      </c>
      <c r="C25" s="467">
        <v>1.2</v>
      </c>
    </row>
    <row r="26" ht="17.1" customHeight="1" spans="1:3">
      <c r="A26" s="469" t="s">
        <v>365</v>
      </c>
      <c r="B26" s="463">
        <v>2238.3539</v>
      </c>
      <c r="C26" s="464">
        <v>15.9</v>
      </c>
    </row>
    <row r="27" ht="17.1" customHeight="1" spans="1:3">
      <c r="A27" s="465" t="s">
        <v>357</v>
      </c>
      <c r="B27" s="466">
        <v>2236.9823</v>
      </c>
      <c r="C27" s="467">
        <v>15.8</v>
      </c>
    </row>
    <row r="28" ht="17.1" customHeight="1" spans="1:3">
      <c r="A28" s="468" t="s">
        <v>358</v>
      </c>
      <c r="B28" s="466">
        <v>863.8397</v>
      </c>
      <c r="C28" s="467">
        <v>27.5</v>
      </c>
    </row>
    <row r="29" ht="17.1" customHeight="1" spans="1:3">
      <c r="A29" s="468" t="s">
        <v>366</v>
      </c>
      <c r="B29" s="466">
        <v>753.2912</v>
      </c>
      <c r="C29" s="467">
        <v>30.2</v>
      </c>
    </row>
    <row r="30" ht="17.1" customHeight="1" spans="1:3">
      <c r="A30" s="468" t="s">
        <v>359</v>
      </c>
      <c r="B30" s="466">
        <v>1373.1426</v>
      </c>
      <c r="C30" s="467">
        <v>9.6</v>
      </c>
    </row>
    <row r="31" ht="17.1" customHeight="1" spans="1:3">
      <c r="A31" s="468" t="s">
        <v>367</v>
      </c>
      <c r="B31" s="466">
        <v>495.3155</v>
      </c>
      <c r="C31" s="467">
        <v>3.1</v>
      </c>
    </row>
    <row r="32" ht="17.1" customHeight="1" spans="1:3">
      <c r="A32" s="468" t="s">
        <v>368</v>
      </c>
      <c r="B32" s="466">
        <v>761.201</v>
      </c>
      <c r="C32" s="467">
        <v>10.8</v>
      </c>
    </row>
    <row r="33" ht="17.1" customHeight="1" spans="1:3">
      <c r="A33" s="468" t="s">
        <v>360</v>
      </c>
      <c r="B33" s="466">
        <v>0</v>
      </c>
      <c r="C33" s="467">
        <v>-100</v>
      </c>
    </row>
    <row r="34" ht="17.1" customHeight="1" spans="1:3">
      <c r="A34" s="470" t="s">
        <v>361</v>
      </c>
      <c r="B34" s="466">
        <v>1.3716</v>
      </c>
      <c r="C34" s="467">
        <v>46.2</v>
      </c>
    </row>
    <row r="35" ht="19.5" customHeight="1" spans="1:3">
      <c r="A35" s="453" t="s">
        <v>369</v>
      </c>
      <c r="B35" s="453"/>
      <c r="C35" s="453"/>
    </row>
    <row r="38" spans="1:3">
      <c r="A38" s="471"/>
      <c r="B38" s="472"/>
      <c r="C38" s="456"/>
    </row>
  </sheetData>
  <mergeCells count="2">
    <mergeCell ref="A1:C1"/>
    <mergeCell ref="A35:C35"/>
  </mergeCells>
  <pageMargins left="0.75" right="0.75" top="0.588888888888889" bottom="0.588888888888889" header="0.509027777777778" footer="0.509027777777778"/>
  <pageSetup paperSize="9" scale="93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25"/>
  <sheetViews>
    <sheetView zoomScale="80" zoomScaleNormal="80" workbookViewId="0">
      <selection activeCell="I21" sqref="I21"/>
    </sheetView>
  </sheetViews>
  <sheetFormatPr defaultColWidth="9" defaultRowHeight="14.25" outlineLevelCol="5"/>
  <cols>
    <col min="1" max="1" width="28" style="247" customWidth="1"/>
    <col min="2" max="2" width="9.125" style="247" customWidth="1"/>
    <col min="3" max="6" width="11.625" style="247" customWidth="1"/>
    <col min="7" max="16384" width="9" style="247"/>
  </cols>
  <sheetData>
    <row r="1" ht="28.5" customHeight="1" spans="1:6">
      <c r="A1" s="741" t="s">
        <v>0</v>
      </c>
      <c r="B1" s="741"/>
      <c r="C1" s="741"/>
      <c r="D1" s="741"/>
      <c r="E1" s="741"/>
      <c r="F1" s="741"/>
    </row>
    <row r="2" ht="21" customHeight="1" spans="1:6">
      <c r="A2" s="759" t="s">
        <v>1</v>
      </c>
      <c r="B2" s="760" t="s">
        <v>2</v>
      </c>
      <c r="C2" s="761" t="s">
        <v>3</v>
      </c>
      <c r="D2" s="762"/>
      <c r="E2" s="761">
        <v>43466</v>
      </c>
      <c r="F2" s="763"/>
    </row>
    <row r="3" ht="21" customHeight="1" spans="1:6">
      <c r="A3" s="748"/>
      <c r="B3" s="747"/>
      <c r="C3" s="748" t="s">
        <v>4</v>
      </c>
      <c r="D3" s="748" t="s">
        <v>5</v>
      </c>
      <c r="E3" s="748" t="s">
        <v>4</v>
      </c>
      <c r="F3" s="749" t="s">
        <v>5</v>
      </c>
    </row>
    <row r="4" ht="27.95" customHeight="1" spans="1:6">
      <c r="A4" s="750" t="s">
        <v>6</v>
      </c>
      <c r="B4" s="540" t="s">
        <v>7</v>
      </c>
      <c r="C4" s="764" t="s">
        <v>8</v>
      </c>
      <c r="D4" s="765" t="s">
        <v>8</v>
      </c>
      <c r="E4" s="540" t="s">
        <v>8</v>
      </c>
      <c r="F4" s="766" t="s">
        <v>8</v>
      </c>
    </row>
    <row r="5" ht="27.95" customHeight="1" spans="1:6">
      <c r="A5" s="750" t="s">
        <v>9</v>
      </c>
      <c r="B5" s="540" t="s">
        <v>7</v>
      </c>
      <c r="C5" s="752">
        <v>340.39</v>
      </c>
      <c r="D5" s="440">
        <v>4.1</v>
      </c>
      <c r="E5" s="540" t="s">
        <v>8</v>
      </c>
      <c r="F5" s="766" t="s">
        <v>8</v>
      </c>
    </row>
    <row r="6" ht="27.95" customHeight="1" spans="1:6">
      <c r="A6" s="750" t="s">
        <v>10</v>
      </c>
      <c r="B6" s="540" t="s">
        <v>7</v>
      </c>
      <c r="C6" s="752">
        <v>108.21</v>
      </c>
      <c r="D6" s="440">
        <v>3.7</v>
      </c>
      <c r="E6" s="540" t="s">
        <v>8</v>
      </c>
      <c r="F6" s="766" t="s">
        <v>8</v>
      </c>
    </row>
    <row r="7" ht="27.95" customHeight="1" spans="1:6">
      <c r="A7" s="750" t="s">
        <v>11</v>
      </c>
      <c r="B7" s="540" t="s">
        <v>7</v>
      </c>
      <c r="C7" s="540" t="s">
        <v>8</v>
      </c>
      <c r="D7" s="440">
        <v>16.1</v>
      </c>
      <c r="E7" s="540" t="s">
        <v>8</v>
      </c>
      <c r="F7" s="766" t="s">
        <v>8</v>
      </c>
    </row>
    <row r="8" ht="27.95" customHeight="1" spans="1:6">
      <c r="A8" s="750" t="s">
        <v>12</v>
      </c>
      <c r="B8" s="540" t="s">
        <v>7</v>
      </c>
      <c r="C8" s="540" t="s">
        <v>8</v>
      </c>
      <c r="D8" s="440">
        <v>17.8</v>
      </c>
      <c r="E8" s="540" t="s">
        <v>8</v>
      </c>
      <c r="F8" s="766" t="s">
        <v>8</v>
      </c>
    </row>
    <row r="9" ht="27.95" customHeight="1" spans="1:6">
      <c r="A9" s="753" t="s">
        <v>13</v>
      </c>
      <c r="B9" s="543" t="s">
        <v>14</v>
      </c>
      <c r="C9" s="751">
        <v>68.7213</v>
      </c>
      <c r="D9" s="510">
        <v>-6.9</v>
      </c>
      <c r="E9" s="543" t="s">
        <v>8</v>
      </c>
      <c r="F9" s="765" t="s">
        <v>8</v>
      </c>
    </row>
    <row r="10" ht="27.95" customHeight="1" spans="1:6">
      <c r="A10" s="753" t="s">
        <v>15</v>
      </c>
      <c r="B10" s="543" t="s">
        <v>7</v>
      </c>
      <c r="C10" s="751">
        <v>298.7004</v>
      </c>
      <c r="D10" s="510">
        <v>8.1</v>
      </c>
      <c r="E10" s="543" t="s">
        <v>8</v>
      </c>
      <c r="F10" s="765" t="s">
        <v>8</v>
      </c>
    </row>
    <row r="11" ht="27.95" customHeight="1" spans="1:6">
      <c r="A11" s="753" t="s">
        <v>16</v>
      </c>
      <c r="B11" s="543" t="s">
        <v>7</v>
      </c>
      <c r="C11" s="751">
        <v>24.87</v>
      </c>
      <c r="D11" s="510">
        <v>11.8</v>
      </c>
      <c r="E11" s="767">
        <v>17.38</v>
      </c>
      <c r="F11" s="510">
        <v>32.2</v>
      </c>
    </row>
    <row r="12" ht="27.95" customHeight="1" spans="1:6">
      <c r="A12" s="753" t="s">
        <v>17</v>
      </c>
      <c r="B12" s="543" t="s">
        <v>7</v>
      </c>
      <c r="C12" s="751">
        <v>66.73</v>
      </c>
      <c r="D12" s="510">
        <v>16</v>
      </c>
      <c r="E12" s="767">
        <v>35.69</v>
      </c>
      <c r="F12" s="510">
        <v>68.8</v>
      </c>
    </row>
    <row r="13" ht="27.95" customHeight="1" spans="1:6">
      <c r="A13" s="753" t="s">
        <v>18</v>
      </c>
      <c r="B13" s="543" t="s">
        <v>7</v>
      </c>
      <c r="C13" s="751">
        <v>116.52</v>
      </c>
      <c r="D13" s="510">
        <v>12.8</v>
      </c>
      <c r="E13" s="767">
        <v>68.61</v>
      </c>
      <c r="F13" s="510">
        <v>28.2</v>
      </c>
    </row>
    <row r="14" ht="27.95" customHeight="1" spans="1:6">
      <c r="A14" s="753" t="s">
        <v>19</v>
      </c>
      <c r="B14" s="543" t="s">
        <v>7</v>
      </c>
      <c r="C14" s="754">
        <v>36.8</v>
      </c>
      <c r="D14" s="510">
        <v>44.4</v>
      </c>
      <c r="E14" s="767">
        <v>377.03</v>
      </c>
      <c r="F14" s="510">
        <v>9</v>
      </c>
    </row>
    <row r="15" ht="27.95" customHeight="1" spans="1:6">
      <c r="A15" s="753" t="s">
        <v>20</v>
      </c>
      <c r="B15" s="543" t="s">
        <v>7</v>
      </c>
      <c r="C15" s="754">
        <v>20.59</v>
      </c>
      <c r="D15" s="510">
        <v>29.8</v>
      </c>
      <c r="E15" s="767">
        <v>205.03</v>
      </c>
      <c r="F15" s="510">
        <v>-5.5</v>
      </c>
    </row>
    <row r="16" ht="27.95" customHeight="1" spans="1:6">
      <c r="A16" s="753" t="s">
        <v>21</v>
      </c>
      <c r="B16" s="543" t="s">
        <v>7</v>
      </c>
      <c r="C16" s="755">
        <v>16.22</v>
      </c>
      <c r="D16" s="510">
        <v>68.5</v>
      </c>
      <c r="E16" s="767">
        <v>172</v>
      </c>
      <c r="F16" s="510">
        <v>33.5</v>
      </c>
    </row>
    <row r="17" ht="27.95" customHeight="1" spans="1:6">
      <c r="A17" s="753" t="s">
        <v>22</v>
      </c>
      <c r="B17" s="543" t="s">
        <v>23</v>
      </c>
      <c r="C17" s="756">
        <v>1197</v>
      </c>
      <c r="D17" s="510">
        <v>5.7</v>
      </c>
      <c r="E17" s="767">
        <v>723</v>
      </c>
      <c r="F17" s="510">
        <v>8.18</v>
      </c>
    </row>
    <row r="18" ht="27.95" customHeight="1" spans="1:6">
      <c r="A18" s="753" t="s">
        <v>24</v>
      </c>
      <c r="B18" s="543" t="s">
        <v>7</v>
      </c>
      <c r="C18" s="751">
        <v>3434.33</v>
      </c>
      <c r="D18" s="510">
        <v>7.1</v>
      </c>
      <c r="E18" s="767">
        <v>3333.67</v>
      </c>
      <c r="F18" s="510">
        <v>7.6</v>
      </c>
    </row>
    <row r="19" ht="27.95" customHeight="1" spans="1:6">
      <c r="A19" s="753" t="s">
        <v>25</v>
      </c>
      <c r="B19" s="540" t="s">
        <v>7</v>
      </c>
      <c r="C19" s="751">
        <v>2252.36</v>
      </c>
      <c r="D19" s="510">
        <v>10.1</v>
      </c>
      <c r="E19" s="768">
        <v>2191.22</v>
      </c>
      <c r="F19" s="440">
        <v>12</v>
      </c>
    </row>
    <row r="20" ht="27.95" customHeight="1" spans="1:6">
      <c r="A20" s="750" t="s">
        <v>26</v>
      </c>
      <c r="B20" s="540" t="s">
        <v>7</v>
      </c>
      <c r="C20" s="751">
        <v>2252.35</v>
      </c>
      <c r="D20" s="510">
        <v>15.9</v>
      </c>
      <c r="E20" s="768">
        <v>2269.78</v>
      </c>
      <c r="F20" s="440">
        <v>19.6</v>
      </c>
    </row>
    <row r="21" ht="27.95" customHeight="1" spans="1:6">
      <c r="A21" s="750" t="s">
        <v>27</v>
      </c>
      <c r="B21" s="540" t="s">
        <v>28</v>
      </c>
      <c r="C21" s="510">
        <v>101.6</v>
      </c>
      <c r="D21" s="510">
        <v>1.6</v>
      </c>
      <c r="E21" s="768">
        <v>101.9</v>
      </c>
      <c r="F21" s="440">
        <v>1.9</v>
      </c>
    </row>
    <row r="22" ht="27.95" customHeight="1" spans="1:6">
      <c r="A22" s="750" t="s">
        <v>29</v>
      </c>
      <c r="B22" s="540" t="s">
        <v>28</v>
      </c>
      <c r="C22" s="510">
        <v>100.4</v>
      </c>
      <c r="D22" s="510">
        <v>0.4</v>
      </c>
      <c r="E22" s="768">
        <v>100.1</v>
      </c>
      <c r="F22" s="440">
        <v>0.1</v>
      </c>
    </row>
    <row r="23" ht="27.95" customHeight="1" spans="1:6">
      <c r="A23" s="750" t="s">
        <v>30</v>
      </c>
      <c r="B23" s="540" t="s">
        <v>31</v>
      </c>
      <c r="C23" s="752">
        <v>29.1554</v>
      </c>
      <c r="D23" s="510">
        <v>7.36</v>
      </c>
      <c r="E23" s="752">
        <v>15.6251</v>
      </c>
      <c r="F23" s="440">
        <v>9.03</v>
      </c>
    </row>
    <row r="24" ht="27.95" customHeight="1" spans="1:6">
      <c r="A24" s="750" t="s">
        <v>32</v>
      </c>
      <c r="B24" s="540" t="s">
        <v>31</v>
      </c>
      <c r="C24" s="757">
        <v>17.8917</v>
      </c>
      <c r="D24" s="758">
        <v>6</v>
      </c>
      <c r="E24" s="752">
        <v>9.5556</v>
      </c>
      <c r="F24" s="440">
        <v>4.79</v>
      </c>
    </row>
    <row r="25" ht="28" customHeight="1" spans="1:6">
      <c r="A25" s="453" t="s">
        <v>33</v>
      </c>
      <c r="B25" s="453"/>
      <c r="C25" s="453"/>
      <c r="D25" s="453"/>
      <c r="E25" s="453"/>
      <c r="F25" s="453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35"/>
  <sheetViews>
    <sheetView zoomScale="80" zoomScaleNormal="80" workbookViewId="0">
      <selection activeCell="A1" sqref="A1:D1"/>
    </sheetView>
  </sheetViews>
  <sheetFormatPr defaultColWidth="9" defaultRowHeight="14.25" outlineLevelCol="7"/>
  <cols>
    <col min="1" max="1" width="34.25" style="247" customWidth="1"/>
    <col min="2" max="2" width="10" style="247" customWidth="1"/>
    <col min="3" max="3" width="15.25" style="247" customWidth="1"/>
    <col min="4" max="4" width="15.25" style="287" customWidth="1"/>
    <col min="5" max="16384" width="9" style="44"/>
  </cols>
  <sheetData>
    <row r="1" ht="40.5" customHeight="1" spans="1:4">
      <c r="A1" s="204" t="s">
        <v>370</v>
      </c>
      <c r="B1" s="204"/>
      <c r="C1" s="204"/>
      <c r="D1" s="204"/>
    </row>
    <row r="2" ht="31.5" customHeight="1" spans="1:4">
      <c r="A2" s="432" t="s">
        <v>38</v>
      </c>
      <c r="B2" s="433" t="s">
        <v>2</v>
      </c>
      <c r="C2" s="433" t="s">
        <v>371</v>
      </c>
      <c r="D2" s="434" t="s">
        <v>5</v>
      </c>
    </row>
    <row r="3" ht="18.95" customHeight="1" spans="1:4">
      <c r="A3" s="435" t="s">
        <v>372</v>
      </c>
      <c r="B3" s="436" t="s">
        <v>7</v>
      </c>
      <c r="C3" s="437">
        <v>36.8029</v>
      </c>
      <c r="D3" s="438">
        <v>44.4</v>
      </c>
    </row>
    <row r="4" ht="18.95" customHeight="1" spans="1:4">
      <c r="A4" s="439" t="s">
        <v>373</v>
      </c>
      <c r="B4" s="436" t="s">
        <v>7</v>
      </c>
      <c r="C4" s="437">
        <v>20.5878</v>
      </c>
      <c r="D4" s="440">
        <v>29.8</v>
      </c>
    </row>
    <row r="5" ht="18.95" customHeight="1" spans="1:4">
      <c r="A5" s="439" t="s">
        <v>374</v>
      </c>
      <c r="B5" s="436"/>
      <c r="C5" s="437"/>
      <c r="D5" s="440"/>
    </row>
    <row r="6" ht="18.95" customHeight="1" spans="1:4">
      <c r="A6" s="439" t="s">
        <v>375</v>
      </c>
      <c r="B6" s="436" t="s">
        <v>7</v>
      </c>
      <c r="C6" s="437">
        <v>19.8072</v>
      </c>
      <c r="D6" s="440">
        <v>38.4</v>
      </c>
    </row>
    <row r="7" ht="18.95" customHeight="1" spans="1:4">
      <c r="A7" s="439" t="s">
        <v>376</v>
      </c>
      <c r="B7" s="436" t="s">
        <v>7</v>
      </c>
      <c r="C7" s="437">
        <v>0.1634</v>
      </c>
      <c r="D7" s="440">
        <v>-74.3</v>
      </c>
    </row>
    <row r="8" ht="18.95" customHeight="1" spans="1:4">
      <c r="A8" s="439" t="s">
        <v>377</v>
      </c>
      <c r="B8" s="436" t="s">
        <v>7</v>
      </c>
      <c r="C8" s="437">
        <v>0.5698</v>
      </c>
      <c r="D8" s="440">
        <v>-36.9</v>
      </c>
    </row>
    <row r="9" ht="18.95" customHeight="1" spans="1:4">
      <c r="A9" s="439" t="s">
        <v>378</v>
      </c>
      <c r="B9" s="436" t="s">
        <v>7</v>
      </c>
      <c r="C9" s="437">
        <v>0.0319</v>
      </c>
      <c r="D9" s="440">
        <v>361.1</v>
      </c>
    </row>
    <row r="10" ht="18.95" customHeight="1" spans="1:4">
      <c r="A10" s="439" t="s">
        <v>379</v>
      </c>
      <c r="B10" s="436"/>
      <c r="C10" s="437"/>
      <c r="D10" s="441"/>
    </row>
    <row r="11" ht="18.95" customHeight="1" spans="1:4">
      <c r="A11" s="439" t="s">
        <v>380</v>
      </c>
      <c r="B11" s="436" t="s">
        <v>7</v>
      </c>
      <c r="C11" s="437">
        <v>3.9949</v>
      </c>
      <c r="D11" s="440">
        <v>182.7</v>
      </c>
    </row>
    <row r="12" ht="18.95" customHeight="1" spans="1:4">
      <c r="A12" s="439" t="s">
        <v>381</v>
      </c>
      <c r="B12" s="436" t="s">
        <v>7</v>
      </c>
      <c r="C12" s="437">
        <v>5.0686</v>
      </c>
      <c r="D12" s="440">
        <v>-1.3</v>
      </c>
    </row>
    <row r="13" ht="18.95" customHeight="1" spans="1:4">
      <c r="A13" s="439" t="s">
        <v>382</v>
      </c>
      <c r="B13" s="436" t="s">
        <v>7</v>
      </c>
      <c r="C13" s="437">
        <v>0.0849</v>
      </c>
      <c r="D13" s="440">
        <v>-22.6</v>
      </c>
    </row>
    <row r="14" ht="18.95" customHeight="1" spans="1:4">
      <c r="A14" s="439" t="s">
        <v>383</v>
      </c>
      <c r="B14" s="436" t="s">
        <v>7</v>
      </c>
      <c r="C14" s="437">
        <v>11.3168</v>
      </c>
      <c r="D14" s="440">
        <v>23.2</v>
      </c>
    </row>
    <row r="15" ht="18.95" customHeight="1" spans="1:4">
      <c r="A15" s="442" t="s">
        <v>384</v>
      </c>
      <c r="B15" s="436"/>
      <c r="C15" s="437"/>
      <c r="D15" s="441"/>
    </row>
    <row r="16" ht="18.95" customHeight="1" spans="1:4">
      <c r="A16" s="443" t="s">
        <v>385</v>
      </c>
      <c r="B16" s="436" t="s">
        <v>7</v>
      </c>
      <c r="C16" s="437">
        <v>4.5705</v>
      </c>
      <c r="D16" s="440">
        <v>138.9</v>
      </c>
    </row>
    <row r="17" ht="18.95" customHeight="1" spans="1:4">
      <c r="A17" s="444" t="s">
        <v>386</v>
      </c>
      <c r="B17" s="436" t="s">
        <v>7</v>
      </c>
      <c r="C17" s="437">
        <v>3.451</v>
      </c>
      <c r="D17" s="440">
        <v>148</v>
      </c>
    </row>
    <row r="18" ht="18.95" customHeight="1" spans="1:4">
      <c r="A18" s="444" t="s">
        <v>387</v>
      </c>
      <c r="B18" s="436" t="s">
        <v>7</v>
      </c>
      <c r="C18" s="437">
        <v>1.5818</v>
      </c>
      <c r="D18" s="440">
        <v>-57</v>
      </c>
    </row>
    <row r="19" ht="18.95" customHeight="1" spans="1:4">
      <c r="A19" s="444" t="s">
        <v>388</v>
      </c>
      <c r="B19" s="436" t="s">
        <v>7</v>
      </c>
      <c r="C19" s="437">
        <v>1.0422</v>
      </c>
      <c r="D19" s="440">
        <v>29.3</v>
      </c>
    </row>
    <row r="20" ht="18.95" customHeight="1" spans="1:4">
      <c r="A20" s="445" t="s">
        <v>389</v>
      </c>
      <c r="B20" s="436" t="s">
        <v>7</v>
      </c>
      <c r="C20" s="437">
        <v>0.8762</v>
      </c>
      <c r="D20" s="440">
        <v>4.7</v>
      </c>
    </row>
    <row r="21" ht="18.95" customHeight="1" spans="1:4">
      <c r="A21" s="446" t="s">
        <v>390</v>
      </c>
      <c r="B21" s="436" t="s">
        <v>7</v>
      </c>
      <c r="C21" s="437">
        <v>16.2151</v>
      </c>
      <c r="D21" s="440">
        <v>68.5</v>
      </c>
    </row>
    <row r="22" ht="18.95" customHeight="1" spans="1:4">
      <c r="A22" s="446" t="s">
        <v>391</v>
      </c>
      <c r="B22" s="436"/>
      <c r="C22" s="437"/>
      <c r="D22" s="440"/>
    </row>
    <row r="23" ht="18.95" customHeight="1" spans="1:4">
      <c r="A23" s="446" t="s">
        <v>392</v>
      </c>
      <c r="B23" s="436" t="s">
        <v>7</v>
      </c>
      <c r="C23" s="437">
        <v>12.7912</v>
      </c>
      <c r="D23" s="440">
        <v>62.5</v>
      </c>
    </row>
    <row r="24" ht="18.95" customHeight="1" spans="1:4">
      <c r="A24" s="446" t="s">
        <v>393</v>
      </c>
      <c r="B24" s="436" t="s">
        <v>7</v>
      </c>
      <c r="C24" s="437">
        <v>0.0058</v>
      </c>
      <c r="D24" s="440">
        <v>-98.1</v>
      </c>
    </row>
    <row r="25" ht="18.95" customHeight="1" spans="1:4">
      <c r="A25" s="446" t="s">
        <v>394</v>
      </c>
      <c r="B25" s="436" t="s">
        <v>7</v>
      </c>
      <c r="C25" s="437">
        <v>0.9929</v>
      </c>
      <c r="D25" s="440">
        <v>99.6</v>
      </c>
    </row>
    <row r="26" ht="18.95" customHeight="1" spans="1:4">
      <c r="A26" s="446" t="s">
        <v>395</v>
      </c>
      <c r="B26" s="436" t="s">
        <v>7</v>
      </c>
      <c r="C26" s="437">
        <v>2.4231</v>
      </c>
      <c r="D26" s="440">
        <v>164.9</v>
      </c>
    </row>
    <row r="27" ht="18.95" customHeight="1" spans="1:4">
      <c r="A27" s="439" t="s">
        <v>396</v>
      </c>
      <c r="B27" s="436"/>
      <c r="C27" s="447"/>
      <c r="D27" s="441"/>
    </row>
    <row r="28" ht="18.95" customHeight="1" spans="1:4">
      <c r="A28" s="439" t="s">
        <v>397</v>
      </c>
      <c r="B28" s="436" t="s">
        <v>106</v>
      </c>
      <c r="C28" s="448">
        <v>3</v>
      </c>
      <c r="D28" s="441">
        <v>-75</v>
      </c>
    </row>
    <row r="29" ht="18.95" customHeight="1" spans="1:4">
      <c r="A29" s="439" t="s">
        <v>398</v>
      </c>
      <c r="B29" s="436" t="s">
        <v>23</v>
      </c>
      <c r="C29" s="447">
        <v>47422</v>
      </c>
      <c r="D29" s="441">
        <v>1744.5</v>
      </c>
    </row>
    <row r="30" ht="18.95" customHeight="1" spans="1:4">
      <c r="A30" s="449" t="s">
        <v>399</v>
      </c>
      <c r="B30" s="450" t="s">
        <v>23</v>
      </c>
      <c r="C30" s="451">
        <v>1197</v>
      </c>
      <c r="D30" s="452">
        <v>5.7</v>
      </c>
    </row>
    <row r="31" ht="21" customHeight="1" spans="1:4">
      <c r="A31" s="453" t="s">
        <v>400</v>
      </c>
      <c r="B31" s="453"/>
      <c r="C31" s="453"/>
      <c r="D31" s="453"/>
    </row>
    <row r="35" spans="1:8">
      <c r="A35" s="454"/>
      <c r="B35" s="454"/>
      <c r="C35" s="48"/>
      <c r="D35" s="455"/>
      <c r="E35" s="456"/>
      <c r="F35" s="456"/>
      <c r="G35" s="456"/>
      <c r="H35" s="456"/>
    </row>
  </sheetData>
  <mergeCells count="2">
    <mergeCell ref="A1:D1"/>
    <mergeCell ref="A31:D31"/>
  </mergeCells>
  <printOptions horizontalCentered="1"/>
  <pageMargins left="0.75" right="0.75" top="0.788888888888889" bottom="0.788888888888889" header="0.509027777777778" footer="0.509027777777778"/>
  <pageSetup paperSize="9" orientation="portrait" blackAndWhite="1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C22"/>
  <sheetViews>
    <sheetView tabSelected="1" zoomScale="90" zoomScaleNormal="90" workbookViewId="0">
      <selection activeCell="I14" sqref="I14"/>
    </sheetView>
  </sheetViews>
  <sheetFormatPr defaultColWidth="9" defaultRowHeight="14.25" outlineLevelCol="2"/>
  <cols>
    <col min="1" max="1" width="36.375" style="247" customWidth="1"/>
    <col min="2" max="2" width="16.625" style="273" customWidth="1"/>
    <col min="3" max="3" width="16.625" style="250" customWidth="1"/>
    <col min="4" max="4" width="9.5" style="247" customWidth="1"/>
    <col min="5" max="16384" width="9" style="247"/>
  </cols>
  <sheetData>
    <row r="1" ht="28.5" customHeight="1" spans="1:3">
      <c r="A1" s="204" t="s">
        <v>401</v>
      </c>
      <c r="B1" s="204"/>
      <c r="C1" s="204"/>
    </row>
    <row r="2" ht="22.5" customHeight="1" spans="1:3">
      <c r="A2" s="415"/>
      <c r="B2" s="304"/>
      <c r="C2" s="141" t="s">
        <v>402</v>
      </c>
    </row>
    <row r="3" s="414" customFormat="1" ht="30" customHeight="1" spans="1:3">
      <c r="A3" s="416" t="s">
        <v>38</v>
      </c>
      <c r="B3" s="417" t="s">
        <v>34</v>
      </c>
      <c r="C3" s="418" t="s">
        <v>5</v>
      </c>
    </row>
    <row r="4" ht="24.95" customHeight="1" spans="1:3">
      <c r="A4" s="419" t="s">
        <v>403</v>
      </c>
      <c r="B4" s="420">
        <v>21426.9</v>
      </c>
      <c r="C4" s="421">
        <v>9.1</v>
      </c>
    </row>
    <row r="5" ht="24.95" customHeight="1" spans="1:3">
      <c r="A5" s="422" t="s">
        <v>404</v>
      </c>
      <c r="B5" s="423">
        <v>12304.837568389</v>
      </c>
      <c r="C5" s="424">
        <v>8.32109792031774</v>
      </c>
    </row>
    <row r="6" ht="24.95" customHeight="1" spans="1:3">
      <c r="A6" s="422" t="s">
        <v>405</v>
      </c>
      <c r="B6" s="423">
        <v>4605.7896637545</v>
      </c>
      <c r="C6" s="424">
        <v>4.27662402346671</v>
      </c>
    </row>
    <row r="7" ht="24.95" customHeight="1" spans="1:3">
      <c r="A7" s="422" t="s">
        <v>406</v>
      </c>
      <c r="B7" s="423">
        <v>976.349569802</v>
      </c>
      <c r="C7" s="424">
        <v>16.8501698978716</v>
      </c>
    </row>
    <row r="8" ht="24.95" customHeight="1" spans="1:3">
      <c r="A8" s="422" t="s">
        <v>407</v>
      </c>
      <c r="B8" s="423">
        <v>3539.9235140445</v>
      </c>
      <c r="C8" s="424">
        <v>17.2325373269198</v>
      </c>
    </row>
    <row r="9" ht="24.95" customHeight="1" spans="1:3">
      <c r="A9" s="422" t="s">
        <v>408</v>
      </c>
      <c r="B9" s="423">
        <v>29046.3</v>
      </c>
      <c r="C9" s="424">
        <v>7.1</v>
      </c>
    </row>
    <row r="10" ht="24.95" customHeight="1" spans="1:3">
      <c r="A10" s="422" t="s">
        <v>409</v>
      </c>
      <c r="B10" s="423">
        <v>15888.9</v>
      </c>
      <c r="C10" s="424">
        <v>9.7</v>
      </c>
    </row>
    <row r="11" ht="24.95" customHeight="1" spans="1:3">
      <c r="A11" s="419" t="s">
        <v>410</v>
      </c>
      <c r="B11" s="425">
        <v>15302.5639416585</v>
      </c>
      <c r="C11" s="421">
        <v>5.43395352436298</v>
      </c>
    </row>
    <row r="12" ht="24.95" customHeight="1" spans="1:3">
      <c r="A12" s="422" t="s">
        <v>411</v>
      </c>
      <c r="B12" s="426">
        <v>6472.783896213</v>
      </c>
      <c r="C12" s="424">
        <v>4.76401635094537</v>
      </c>
    </row>
    <row r="13" ht="24.95" customHeight="1" spans="1:3">
      <c r="A13" s="422" t="s">
        <v>412</v>
      </c>
      <c r="B13" s="426">
        <v>497.846179002</v>
      </c>
      <c r="C13" s="424">
        <v>-0.610655693259532</v>
      </c>
    </row>
    <row r="14" ht="24.95" customHeight="1" spans="1:3">
      <c r="A14" s="422" t="s">
        <v>413</v>
      </c>
      <c r="B14" s="426">
        <v>2835.276041732</v>
      </c>
      <c r="C14" s="424">
        <v>6.92264131550586</v>
      </c>
    </row>
    <row r="15" ht="24.95" customHeight="1" spans="1:3">
      <c r="A15" s="422" t="s">
        <v>414</v>
      </c>
      <c r="B15" s="426">
        <v>802.869208998</v>
      </c>
      <c r="C15" s="424">
        <v>5.38010501042467</v>
      </c>
    </row>
    <row r="16" ht="24.95" customHeight="1" spans="1:3">
      <c r="A16" s="422" t="s">
        <v>415</v>
      </c>
      <c r="B16" s="426">
        <v>1748.0118219345</v>
      </c>
      <c r="C16" s="424">
        <v>0.727356091640696</v>
      </c>
    </row>
    <row r="17" ht="24.95" customHeight="1" spans="1:3">
      <c r="A17" s="422" t="s">
        <v>416</v>
      </c>
      <c r="B17" s="426">
        <v>1584.881086736</v>
      </c>
      <c r="C17" s="424">
        <v>8.20520976712618</v>
      </c>
    </row>
    <row r="18" ht="24.95" customHeight="1" spans="1:3">
      <c r="A18" s="422" t="s">
        <v>417</v>
      </c>
      <c r="B18" s="426">
        <v>1040.398949686</v>
      </c>
      <c r="C18" s="424">
        <v>10.8273914259242</v>
      </c>
    </row>
    <row r="19" ht="24.95" customHeight="1" spans="1:3">
      <c r="A19" s="422" t="s">
        <v>418</v>
      </c>
      <c r="B19" s="426">
        <v>320.496757357</v>
      </c>
      <c r="C19" s="424">
        <v>13.6083268021696</v>
      </c>
    </row>
    <row r="20" ht="24.95" customHeight="1" spans="1:3">
      <c r="A20" s="422" t="s">
        <v>419</v>
      </c>
      <c r="B20" s="426">
        <v>20214</v>
      </c>
      <c r="C20" s="424">
        <v>0.999081474960728</v>
      </c>
    </row>
    <row r="21" ht="24.95" customHeight="1" spans="1:3">
      <c r="A21" s="427" t="s">
        <v>420</v>
      </c>
      <c r="B21" s="428">
        <v>11732.79</v>
      </c>
      <c r="C21" s="429">
        <v>9.31872891712424</v>
      </c>
    </row>
    <row r="22" ht="20.25" customHeight="1" spans="1:3">
      <c r="A22" s="226" t="s">
        <v>421</v>
      </c>
      <c r="B22" s="430"/>
      <c r="C22" s="431"/>
    </row>
  </sheetData>
  <mergeCells count="2">
    <mergeCell ref="A1:C1"/>
    <mergeCell ref="A22:C22"/>
  </mergeCells>
  <printOptions horizontalCentered="1"/>
  <pageMargins left="0.75" right="0.75" top="0.979166666666667" bottom="0.979166666666667" header="0.509027777777778" footer="0.509027777777778"/>
  <pageSetup paperSize="9" orientation="portrait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22"/>
  <sheetViews>
    <sheetView zoomScale="90" zoomScaleNormal="90" workbookViewId="0">
      <selection activeCell="F8" sqref="F8"/>
    </sheetView>
  </sheetViews>
  <sheetFormatPr defaultColWidth="9" defaultRowHeight="14.25" outlineLevelCol="3"/>
  <cols>
    <col min="1" max="1" width="35.5" style="247" customWidth="1"/>
    <col min="2" max="3" width="16.125" style="247" customWidth="1"/>
    <col min="4" max="16384" width="9" style="44"/>
  </cols>
  <sheetData>
    <row r="1" ht="28.5" customHeight="1" spans="1:4">
      <c r="A1" s="374" t="s">
        <v>27</v>
      </c>
      <c r="B1" s="374"/>
      <c r="C1" s="374"/>
    </row>
    <row r="2" ht="20" customHeight="1" spans="1:4">
      <c r="A2" s="227"/>
      <c r="B2" s="227"/>
      <c r="C2" s="284" t="s">
        <v>422</v>
      </c>
    </row>
    <row r="3" ht="23.1" customHeight="1" spans="1:4">
      <c r="A3" s="401" t="s">
        <v>38</v>
      </c>
      <c r="B3" s="402" t="s">
        <v>423</v>
      </c>
      <c r="C3" s="403" t="s">
        <v>424</v>
      </c>
    </row>
    <row r="4" ht="23.1" customHeight="1" spans="1:4">
      <c r="A4" s="404" t="s">
        <v>425</v>
      </c>
      <c r="B4" s="405">
        <v>101.3</v>
      </c>
      <c r="C4" s="405">
        <v>101.64011001</v>
      </c>
    </row>
    <row r="5" s="400" customFormat="1" ht="23.1" customHeight="1" spans="1:4">
      <c r="A5" s="406" t="s">
        <v>426</v>
      </c>
      <c r="B5" s="407">
        <v>100.7</v>
      </c>
      <c r="C5" s="407">
        <v>101.23254422</v>
      </c>
      <c r="D5" s="408"/>
    </row>
    <row r="6" s="400" customFormat="1" ht="23.1" customHeight="1" spans="1:4">
      <c r="A6" s="406" t="s">
        <v>427</v>
      </c>
      <c r="B6" s="407">
        <v>97.3</v>
      </c>
      <c r="C6" s="407">
        <v>97.97659378</v>
      </c>
      <c r="D6" s="408"/>
    </row>
    <row r="7" s="400" customFormat="1" ht="23.1" customHeight="1" spans="1:4">
      <c r="A7" s="406" t="s">
        <v>428</v>
      </c>
      <c r="B7" s="407">
        <v>101.3</v>
      </c>
      <c r="C7" s="407">
        <v>103.64038969</v>
      </c>
      <c r="D7" s="408"/>
    </row>
    <row r="8" s="400" customFormat="1" ht="23.1" customHeight="1" spans="1:4">
      <c r="A8" s="406" t="s">
        <v>429</v>
      </c>
      <c r="B8" s="407">
        <v>94.8</v>
      </c>
      <c r="C8" s="407">
        <v>95.44164172</v>
      </c>
      <c r="D8" s="409"/>
    </row>
    <row r="9" s="400" customFormat="1" ht="23.1" customHeight="1" spans="1:4">
      <c r="A9" s="406" t="s">
        <v>430</v>
      </c>
      <c r="B9" s="407">
        <v>96.5</v>
      </c>
      <c r="C9" s="407">
        <v>99.54533036</v>
      </c>
    </row>
    <row r="10" s="400" customFormat="1" ht="23.1" customHeight="1" spans="1:4">
      <c r="A10" s="406" t="s">
        <v>431</v>
      </c>
      <c r="B10" s="407">
        <v>104.3</v>
      </c>
      <c r="C10" s="407">
        <v>104.39162139</v>
      </c>
    </row>
    <row r="11" s="400" customFormat="1" ht="23.1" customHeight="1" spans="1:4">
      <c r="A11" s="406" t="s">
        <v>432</v>
      </c>
      <c r="B11" s="407">
        <v>104.9</v>
      </c>
      <c r="C11" s="407">
        <v>104.51031646</v>
      </c>
    </row>
    <row r="12" s="400" customFormat="1" ht="23.1" customHeight="1" spans="1:4">
      <c r="A12" s="406" t="s">
        <v>433</v>
      </c>
      <c r="B12" s="407">
        <v>104.9</v>
      </c>
      <c r="C12" s="407">
        <v>105.37623131</v>
      </c>
    </row>
    <row r="13" s="400" customFormat="1" ht="23.1" customHeight="1" spans="1:4">
      <c r="A13" s="406" t="s">
        <v>434</v>
      </c>
      <c r="B13" s="407">
        <v>103.8</v>
      </c>
      <c r="C13" s="407">
        <v>103.70797768</v>
      </c>
    </row>
    <row r="14" s="400" customFormat="1" ht="23.1" customHeight="1" spans="1:4">
      <c r="A14" s="406" t="s">
        <v>435</v>
      </c>
      <c r="B14" s="407">
        <v>99.7</v>
      </c>
      <c r="C14" s="407">
        <v>100.62141283</v>
      </c>
    </row>
    <row r="15" s="400" customFormat="1" ht="23.1" customHeight="1" spans="1:4">
      <c r="A15" s="406" t="s">
        <v>436</v>
      </c>
      <c r="B15" s="407">
        <v>98.2</v>
      </c>
      <c r="C15" s="407">
        <v>98.33863613</v>
      </c>
    </row>
    <row r="16" s="400" customFormat="1" ht="23.1" customHeight="1" spans="1:4">
      <c r="A16" s="406" t="s">
        <v>437</v>
      </c>
      <c r="B16" s="407">
        <v>100.8</v>
      </c>
      <c r="C16" s="407">
        <v>101.27897167</v>
      </c>
    </row>
    <row r="17" s="400" customFormat="1" ht="23.1" customHeight="1" spans="1:3">
      <c r="A17" s="406" t="s">
        <v>438</v>
      </c>
      <c r="B17" s="407">
        <v>103.5</v>
      </c>
      <c r="C17" s="407">
        <v>103.85496292</v>
      </c>
    </row>
    <row r="18" s="400" customFormat="1" ht="23.1" customHeight="1" spans="1:3">
      <c r="A18" s="406" t="s">
        <v>439</v>
      </c>
      <c r="B18" s="407">
        <v>102.9</v>
      </c>
      <c r="C18" s="407">
        <v>102.06874969</v>
      </c>
    </row>
    <row r="19" s="400" customFormat="1" ht="23.1" customHeight="1" spans="1:3">
      <c r="A19" s="406" t="s">
        <v>440</v>
      </c>
      <c r="B19" s="407">
        <v>100.3</v>
      </c>
      <c r="C19" s="407">
        <v>100.75654848</v>
      </c>
    </row>
    <row r="20" s="400" customFormat="1" ht="23.1" customHeight="1" spans="1:3">
      <c r="A20" s="406" t="s">
        <v>441</v>
      </c>
      <c r="B20" s="407">
        <v>103</v>
      </c>
      <c r="C20" s="407">
        <v>103.30545821</v>
      </c>
    </row>
    <row r="21" s="400" customFormat="1" ht="23.1" customHeight="1" spans="1:3">
      <c r="A21" s="410" t="s">
        <v>442</v>
      </c>
      <c r="B21" s="411">
        <v>99.6</v>
      </c>
      <c r="C21" s="412">
        <v>99.83421363</v>
      </c>
    </row>
    <row r="22" ht="28.5" customHeight="1" spans="1:3">
      <c r="A22" s="413" t="s">
        <v>443</v>
      </c>
      <c r="B22" s="413"/>
      <c r="C22" s="413"/>
    </row>
  </sheetData>
  <mergeCells count="2">
    <mergeCell ref="A1:C1"/>
    <mergeCell ref="A22:C22"/>
  </mergeCells>
  <printOptions horizontalCentered="1"/>
  <pageMargins left="0.55" right="0.55" top="0.979166666666667" bottom="0.979166666666667" header="0.509027777777778" footer="0.509027777777778"/>
  <pageSetup paperSize="9" orientation="portrait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E28"/>
  <sheetViews>
    <sheetView workbookViewId="0">
      <selection activeCell="F11" sqref="F11"/>
    </sheetView>
  </sheetViews>
  <sheetFormatPr defaultColWidth="9" defaultRowHeight="14.25" outlineLevelCol="4"/>
  <cols>
    <col min="1" max="1" width="33.375" style="246" customWidth="1"/>
    <col min="2" max="2" width="13.125" style="247" customWidth="1"/>
    <col min="3" max="3" width="13.125" style="250" customWidth="1"/>
    <col min="4" max="4" width="13.125" style="247" customWidth="1"/>
    <col min="5" max="16384" width="9" style="247"/>
  </cols>
  <sheetData>
    <row r="1" ht="33.75" customHeight="1" spans="1:5">
      <c r="A1" s="374" t="s">
        <v>444</v>
      </c>
      <c r="B1" s="374"/>
      <c r="C1" s="374"/>
      <c r="D1" s="375"/>
    </row>
    <row r="2" ht="20.25" customHeight="1" spans="1:5">
      <c r="A2" s="227"/>
      <c r="B2" s="227"/>
      <c r="C2" s="396"/>
      <c r="D2" s="284" t="s">
        <v>37</v>
      </c>
    </row>
    <row r="3" ht="31.5" customHeight="1" spans="1:5">
      <c r="A3" s="91" t="s">
        <v>445</v>
      </c>
      <c r="B3" s="149" t="s">
        <v>34</v>
      </c>
      <c r="C3" s="93" t="s">
        <v>5</v>
      </c>
      <c r="D3" s="149" t="s">
        <v>446</v>
      </c>
    </row>
    <row r="4" ht="18" customHeight="1" spans="1:5">
      <c r="A4" s="309" t="s">
        <v>447</v>
      </c>
      <c r="B4" s="344"/>
      <c r="C4" s="136"/>
      <c r="D4" s="241"/>
    </row>
    <row r="5" ht="18" customHeight="1" spans="1:5">
      <c r="A5" s="210" t="s">
        <v>448</v>
      </c>
      <c r="B5" s="107">
        <v>3008.3928</v>
      </c>
      <c r="C5" s="135">
        <v>6</v>
      </c>
      <c r="D5" s="232" t="s">
        <v>8</v>
      </c>
    </row>
    <row r="6" ht="18" customHeight="1" spans="1:5">
      <c r="A6" s="210" t="s">
        <v>449</v>
      </c>
      <c r="B6" s="107">
        <v>343.2265</v>
      </c>
      <c r="C6" s="135">
        <v>8</v>
      </c>
      <c r="D6" s="232">
        <v>3</v>
      </c>
    </row>
    <row r="7" ht="18" customHeight="1" spans="1:5">
      <c r="A7" s="217" t="s">
        <v>450</v>
      </c>
      <c r="B7" s="107">
        <v>468.2617</v>
      </c>
      <c r="C7" s="135">
        <v>6</v>
      </c>
      <c r="D7" s="232">
        <v>8</v>
      </c>
    </row>
    <row r="8" ht="18" customHeight="1" spans="1:5">
      <c r="A8" s="218" t="s">
        <v>451</v>
      </c>
      <c r="B8" s="107">
        <v>307.9784</v>
      </c>
      <c r="C8" s="135">
        <v>5.9</v>
      </c>
      <c r="D8" s="232">
        <v>9</v>
      </c>
    </row>
    <row r="9" ht="18" customHeight="1" spans="1:5">
      <c r="A9" s="217" t="s">
        <v>452</v>
      </c>
      <c r="B9" s="107">
        <v>166.5684</v>
      </c>
      <c r="C9" s="135">
        <v>7.5</v>
      </c>
      <c r="D9" s="232">
        <v>4</v>
      </c>
    </row>
    <row r="10" ht="18" customHeight="1" spans="1:5">
      <c r="A10" s="217" t="s">
        <v>453</v>
      </c>
      <c r="B10" s="107">
        <v>402.0383</v>
      </c>
      <c r="C10" s="135">
        <v>9.5</v>
      </c>
      <c r="D10" s="232">
        <v>1</v>
      </c>
    </row>
    <row r="11" ht="18" customHeight="1" spans="1:5">
      <c r="A11" s="217" t="s">
        <v>454</v>
      </c>
      <c r="B11" s="107">
        <v>282.0022</v>
      </c>
      <c r="C11" s="135">
        <v>7</v>
      </c>
      <c r="D11" s="232">
        <v>6</v>
      </c>
    </row>
    <row r="12" ht="18" customHeight="1" spans="1:5">
      <c r="A12" s="219" t="s">
        <v>455</v>
      </c>
      <c r="B12" s="107">
        <v>190.5968</v>
      </c>
      <c r="C12" s="135">
        <v>8.2</v>
      </c>
      <c r="D12" s="232">
        <v>2</v>
      </c>
    </row>
    <row r="13" ht="18" customHeight="1" spans="1:5">
      <c r="A13" s="219" t="s">
        <v>456</v>
      </c>
      <c r="B13" s="107">
        <v>309.6724</v>
      </c>
      <c r="C13" s="135">
        <v>4.2</v>
      </c>
      <c r="D13" s="232">
        <v>10</v>
      </c>
    </row>
    <row r="14" ht="18" customHeight="1" spans="1:5">
      <c r="A14" s="219" t="s">
        <v>457</v>
      </c>
      <c r="B14" s="107">
        <v>325.3024</v>
      </c>
      <c r="C14" s="135">
        <v>7.5</v>
      </c>
      <c r="D14" s="232">
        <v>4</v>
      </c>
    </row>
    <row r="15" ht="18" customHeight="1" spans="1:5">
      <c r="A15" s="219" t="s">
        <v>458</v>
      </c>
      <c r="B15" s="107">
        <v>562.5401</v>
      </c>
      <c r="C15" s="135">
        <v>7</v>
      </c>
      <c r="D15" s="232">
        <v>6</v>
      </c>
    </row>
    <row r="16" ht="18" customHeight="1" spans="1:5">
      <c r="A16" s="205" t="s">
        <v>459</v>
      </c>
      <c r="B16" s="107"/>
      <c r="C16" s="135"/>
      <c r="D16" s="232"/>
      <c r="E16" s="248"/>
    </row>
    <row r="17" ht="18" customHeight="1" spans="1:4">
      <c r="A17" s="210" t="s">
        <v>448</v>
      </c>
      <c r="B17" s="107">
        <v>533.6147</v>
      </c>
      <c r="C17" s="135">
        <v>4.5</v>
      </c>
      <c r="D17" s="232" t="s">
        <v>8</v>
      </c>
    </row>
    <row r="18" ht="18" customHeight="1" spans="1:4">
      <c r="A18" s="210" t="s">
        <v>449</v>
      </c>
      <c r="B18" s="107">
        <v>1.5219</v>
      </c>
      <c r="C18" s="135">
        <v>-1.2</v>
      </c>
      <c r="D18" s="232">
        <v>10</v>
      </c>
    </row>
    <row r="19" ht="18" customHeight="1" spans="1:4">
      <c r="A19" s="217" t="s">
        <v>450</v>
      </c>
      <c r="B19" s="107">
        <v>2.3045</v>
      </c>
      <c r="C19" s="135">
        <v>-1.1</v>
      </c>
      <c r="D19" s="232">
        <v>9</v>
      </c>
    </row>
    <row r="20" ht="18" customHeight="1" spans="1:4">
      <c r="A20" s="218" t="s">
        <v>451</v>
      </c>
      <c r="B20" s="107">
        <v>17.4407</v>
      </c>
      <c r="C20" s="135">
        <v>5.2</v>
      </c>
      <c r="D20" s="232">
        <v>5</v>
      </c>
    </row>
    <row r="21" ht="18" customHeight="1" spans="1:4">
      <c r="A21" s="217" t="s">
        <v>452</v>
      </c>
      <c r="B21" s="107">
        <v>23.8763</v>
      </c>
      <c r="C21" s="135">
        <v>4.8</v>
      </c>
      <c r="D21" s="232">
        <v>6</v>
      </c>
    </row>
    <row r="22" ht="18" customHeight="1" spans="1:4">
      <c r="A22" s="217" t="s">
        <v>453</v>
      </c>
      <c r="B22" s="107">
        <v>23.4106</v>
      </c>
      <c r="C22" s="135">
        <v>2.8</v>
      </c>
      <c r="D22" s="232">
        <v>8</v>
      </c>
    </row>
    <row r="23" ht="18" customHeight="1" spans="1:4">
      <c r="A23" s="217" t="s">
        <v>454</v>
      </c>
      <c r="B23" s="107">
        <v>31.0462</v>
      </c>
      <c r="C23" s="135">
        <v>4.5</v>
      </c>
      <c r="D23" s="232">
        <v>7</v>
      </c>
    </row>
    <row r="24" ht="18" customHeight="1" spans="1:4">
      <c r="A24" s="219" t="s">
        <v>455</v>
      </c>
      <c r="B24" s="107">
        <v>83.5573</v>
      </c>
      <c r="C24" s="135">
        <v>5.4</v>
      </c>
      <c r="D24" s="232">
        <v>3</v>
      </c>
    </row>
    <row r="25" ht="18" customHeight="1" spans="1:4">
      <c r="A25" s="219" t="s">
        <v>456</v>
      </c>
      <c r="B25" s="107">
        <v>121.6685</v>
      </c>
      <c r="C25" s="135">
        <v>5.7</v>
      </c>
      <c r="D25" s="232">
        <v>1</v>
      </c>
    </row>
    <row r="26" ht="18" customHeight="1" spans="1:4">
      <c r="A26" s="219" t="s">
        <v>457</v>
      </c>
      <c r="B26" s="107">
        <v>118.7126</v>
      </c>
      <c r="C26" s="135">
        <v>5.5</v>
      </c>
      <c r="D26" s="232">
        <v>2</v>
      </c>
    </row>
    <row r="27" ht="18" customHeight="1" spans="1:4">
      <c r="A27" s="397" t="s">
        <v>458</v>
      </c>
      <c r="B27" s="301">
        <v>109.5806</v>
      </c>
      <c r="C27" s="135">
        <v>5.3</v>
      </c>
      <c r="D27" s="232">
        <v>4</v>
      </c>
    </row>
    <row r="28" ht="21" customHeight="1" spans="1:4">
      <c r="A28" s="398" t="s">
        <v>460</v>
      </c>
      <c r="B28" s="399"/>
      <c r="C28" s="398"/>
      <c r="D28" s="398"/>
    </row>
  </sheetData>
  <mergeCells count="2">
    <mergeCell ref="A1:D1"/>
    <mergeCell ref="A28:D28"/>
  </mergeCells>
  <printOptions horizontalCentered="1"/>
  <pageMargins left="0.75" right="0.75" top="0.388888888888889" bottom="0.388888888888889" header="0.509027777777778" footer="0.509027777777778"/>
  <pageSetup paperSize="9" orientation="portrait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D42"/>
  <sheetViews>
    <sheetView workbookViewId="0">
      <selection activeCell="E17" sqref="E17"/>
    </sheetView>
  </sheetViews>
  <sheetFormatPr defaultColWidth="9" defaultRowHeight="14.25" outlineLevelCol="3"/>
  <cols>
    <col min="1" max="1" width="32.375" style="246" customWidth="1"/>
    <col min="2" max="2" width="13.125" style="247" customWidth="1"/>
    <col min="3" max="3" width="13.125" style="283" customWidth="1"/>
    <col min="4" max="4" width="13.125" style="247" customWidth="1"/>
    <col min="5" max="16384" width="9" style="247"/>
  </cols>
  <sheetData>
    <row r="1" ht="34.5" customHeight="1" spans="1:4">
      <c r="A1" s="374" t="s">
        <v>461</v>
      </c>
      <c r="B1" s="374"/>
      <c r="C1" s="374"/>
      <c r="D1" s="375"/>
    </row>
    <row r="2" ht="20.25" customHeight="1" spans="1:4">
      <c r="A2" s="292"/>
      <c r="B2" s="292"/>
      <c r="C2" s="292"/>
      <c r="D2" s="284" t="s">
        <v>37</v>
      </c>
    </row>
    <row r="3" ht="28.5" customHeight="1" spans="1:4">
      <c r="A3" s="333" t="s">
        <v>445</v>
      </c>
      <c r="B3" s="286" t="s">
        <v>34</v>
      </c>
      <c r="C3" s="285" t="s">
        <v>5</v>
      </c>
      <c r="D3" s="286" t="s">
        <v>446</v>
      </c>
    </row>
    <row r="4" ht="18" customHeight="1" spans="1:4">
      <c r="A4" s="295" t="s">
        <v>462</v>
      </c>
      <c r="B4" s="388"/>
      <c r="C4" s="389"/>
      <c r="D4" s="298"/>
    </row>
    <row r="5" ht="18" customHeight="1" spans="1:4">
      <c r="A5" s="291" t="s">
        <v>448</v>
      </c>
      <c r="B5" s="378">
        <v>1086.6144</v>
      </c>
      <c r="C5" s="390">
        <v>5.2</v>
      </c>
      <c r="D5" s="298" t="s">
        <v>8</v>
      </c>
    </row>
    <row r="6" ht="18" customHeight="1" spans="1:4">
      <c r="A6" s="291" t="s">
        <v>449</v>
      </c>
      <c r="B6" s="378">
        <v>55.6066</v>
      </c>
      <c r="C6" s="390">
        <v>4.3</v>
      </c>
      <c r="D6" s="298">
        <v>8</v>
      </c>
    </row>
    <row r="7" ht="18" customHeight="1" spans="1:4">
      <c r="A7" s="293" t="s">
        <v>450</v>
      </c>
      <c r="B7" s="378">
        <v>191.1999</v>
      </c>
      <c r="C7" s="390">
        <v>1.3</v>
      </c>
      <c r="D7" s="298">
        <v>10</v>
      </c>
    </row>
    <row r="8" ht="18" customHeight="1" spans="1:4">
      <c r="A8" s="294" t="s">
        <v>451</v>
      </c>
      <c r="B8" s="378">
        <v>221.97</v>
      </c>
      <c r="C8" s="390">
        <v>7.2</v>
      </c>
      <c r="D8" s="298">
        <v>6</v>
      </c>
    </row>
    <row r="9" ht="18" customHeight="1" spans="1:4">
      <c r="A9" s="293" t="s">
        <v>452</v>
      </c>
      <c r="B9" s="378">
        <v>104.4192</v>
      </c>
      <c r="C9" s="390">
        <v>8.3</v>
      </c>
      <c r="D9" s="298">
        <v>5</v>
      </c>
    </row>
    <row r="10" ht="18" customHeight="1" spans="1:4">
      <c r="A10" s="293" t="s">
        <v>453</v>
      </c>
      <c r="B10" s="378">
        <v>215.3992</v>
      </c>
      <c r="C10" s="390">
        <v>9.9</v>
      </c>
      <c r="D10" s="298">
        <v>2</v>
      </c>
    </row>
    <row r="11" ht="18" customHeight="1" spans="1:4">
      <c r="A11" s="293" t="s">
        <v>454</v>
      </c>
      <c r="B11" s="378">
        <v>119.0053</v>
      </c>
      <c r="C11" s="390">
        <v>6.5</v>
      </c>
      <c r="D11" s="298">
        <v>7</v>
      </c>
    </row>
    <row r="12" ht="18" customHeight="1" spans="1:4">
      <c r="A12" s="293" t="s">
        <v>455</v>
      </c>
      <c r="B12" s="378">
        <v>17.0428</v>
      </c>
      <c r="C12" s="390">
        <v>26.5</v>
      </c>
      <c r="D12" s="298">
        <v>1</v>
      </c>
    </row>
    <row r="13" ht="18" customHeight="1" spans="1:4">
      <c r="A13" s="293" t="s">
        <v>456</v>
      </c>
      <c r="B13" s="378">
        <v>29.9046</v>
      </c>
      <c r="C13" s="390">
        <v>1.7</v>
      </c>
      <c r="D13" s="298">
        <v>9</v>
      </c>
    </row>
    <row r="14" ht="18" customHeight="1" spans="1:4">
      <c r="A14" s="293" t="s">
        <v>457</v>
      </c>
      <c r="B14" s="378">
        <v>84.1112</v>
      </c>
      <c r="C14" s="390">
        <v>9</v>
      </c>
      <c r="D14" s="298">
        <v>3</v>
      </c>
    </row>
    <row r="15" ht="18" customHeight="1" spans="1:4">
      <c r="A15" s="293" t="s">
        <v>458</v>
      </c>
      <c r="B15" s="378">
        <v>268.2292</v>
      </c>
      <c r="C15" s="390">
        <v>8.7</v>
      </c>
      <c r="D15" s="298">
        <v>4</v>
      </c>
    </row>
    <row r="16" ht="18" customHeight="1" spans="1:4">
      <c r="A16" s="229" t="s">
        <v>463</v>
      </c>
      <c r="B16" s="391"/>
      <c r="C16" s="392"/>
      <c r="D16" s="232"/>
    </row>
    <row r="17" ht="18" customHeight="1" spans="1:4">
      <c r="A17" s="291" t="s">
        <v>448</v>
      </c>
      <c r="B17" s="382">
        <v>1388.1637</v>
      </c>
      <c r="C17" s="212">
        <v>7.2</v>
      </c>
      <c r="D17" s="380" t="s">
        <v>8</v>
      </c>
    </row>
    <row r="18" ht="18" customHeight="1" spans="1:4">
      <c r="A18" s="291" t="s">
        <v>449</v>
      </c>
      <c r="B18" s="382">
        <v>286.098</v>
      </c>
      <c r="C18" s="212">
        <v>8.8</v>
      </c>
      <c r="D18" s="381">
        <v>3</v>
      </c>
    </row>
    <row r="19" ht="18" customHeight="1" spans="1:4">
      <c r="A19" s="293" t="s">
        <v>450</v>
      </c>
      <c r="B19" s="382">
        <v>274.7573</v>
      </c>
      <c r="C19" s="212">
        <v>9.6</v>
      </c>
      <c r="D19" s="381">
        <v>2</v>
      </c>
    </row>
    <row r="20" ht="18" customHeight="1" spans="1:4">
      <c r="A20" s="294" t="s">
        <v>451</v>
      </c>
      <c r="B20" s="382">
        <v>68.5677</v>
      </c>
      <c r="C20" s="212">
        <v>2</v>
      </c>
      <c r="D20" s="381">
        <v>10</v>
      </c>
    </row>
    <row r="21" ht="18" customHeight="1" spans="1:4">
      <c r="A21" s="293" t="s">
        <v>452</v>
      </c>
      <c r="B21" s="382">
        <v>38.2729</v>
      </c>
      <c r="C21" s="212">
        <v>7.3</v>
      </c>
      <c r="D21" s="381">
        <v>7</v>
      </c>
    </row>
    <row r="22" ht="18" customHeight="1" spans="1:4">
      <c r="A22" s="293" t="s">
        <v>453</v>
      </c>
      <c r="B22" s="382">
        <v>163.2285</v>
      </c>
      <c r="C22" s="212">
        <v>10</v>
      </c>
      <c r="D22" s="381">
        <v>1</v>
      </c>
    </row>
    <row r="23" ht="18" customHeight="1" spans="1:4">
      <c r="A23" s="293" t="s">
        <v>454</v>
      </c>
      <c r="B23" s="382">
        <v>131.9507</v>
      </c>
      <c r="C23" s="212">
        <v>8.2</v>
      </c>
      <c r="D23" s="381">
        <v>4</v>
      </c>
    </row>
    <row r="24" ht="18" customHeight="1" spans="1:4">
      <c r="A24" s="293" t="s">
        <v>455</v>
      </c>
      <c r="B24" s="382">
        <v>89.9967</v>
      </c>
      <c r="C24" s="212">
        <v>7.5</v>
      </c>
      <c r="D24" s="381">
        <v>6</v>
      </c>
    </row>
    <row r="25" ht="18" customHeight="1" spans="1:4">
      <c r="A25" s="293" t="s">
        <v>456</v>
      </c>
      <c r="B25" s="382">
        <v>158.0993</v>
      </c>
      <c r="C25" s="212">
        <v>3.7</v>
      </c>
      <c r="D25" s="381">
        <v>9</v>
      </c>
    </row>
    <row r="26" ht="18" customHeight="1" spans="1:4">
      <c r="A26" s="293" t="s">
        <v>457</v>
      </c>
      <c r="B26" s="382">
        <v>122.4786</v>
      </c>
      <c r="C26" s="212">
        <v>8.2</v>
      </c>
      <c r="D26" s="381">
        <v>4</v>
      </c>
    </row>
    <row r="27" ht="18" customHeight="1" spans="1:4">
      <c r="A27" s="225" t="s">
        <v>458</v>
      </c>
      <c r="B27" s="393">
        <v>184.7303</v>
      </c>
      <c r="C27" s="394">
        <v>5.6</v>
      </c>
      <c r="D27" s="395">
        <v>8</v>
      </c>
    </row>
    <row r="28" spans="1:4">
      <c r="A28" s="247"/>
      <c r="C28" s="247"/>
    </row>
    <row r="32" spans="1:4">
      <c r="A32" s="305"/>
    </row>
    <row r="33" spans="1:1">
      <c r="A33" s="305"/>
    </row>
    <row r="34" spans="1:1">
      <c r="A34" s="305"/>
    </row>
    <row r="35" spans="1:1">
      <c r="A35" s="306"/>
    </row>
    <row r="36" spans="1:1">
      <c r="A36" s="307"/>
    </row>
    <row r="37" spans="1:1">
      <c r="A37" s="307"/>
    </row>
    <row r="38" spans="1:1">
      <c r="A38" s="307"/>
    </row>
    <row r="39" spans="1:1">
      <c r="A39" s="307"/>
    </row>
    <row r="40" spans="1:1">
      <c r="A40" s="307"/>
    </row>
    <row r="41" spans="1:1">
      <c r="A41" s="287"/>
    </row>
    <row r="42" spans="1:1">
      <c r="A42" s="305"/>
    </row>
  </sheetData>
  <mergeCells count="1">
    <mergeCell ref="A1:D1"/>
  </mergeCells>
  <pageMargins left="0.75" right="0.75" top="0.588888888888889" bottom="0.588888888888889" header="0.509027777777778" footer="0.509027777777778"/>
  <pageSetup paperSize="9" scale="98" orientation="portrait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D43"/>
  <sheetViews>
    <sheetView workbookViewId="0">
      <selection activeCell="F11" sqref="F11"/>
    </sheetView>
  </sheetViews>
  <sheetFormatPr defaultColWidth="9" defaultRowHeight="14.25" outlineLevelCol="3"/>
  <cols>
    <col min="1" max="1" width="46.375" style="246" customWidth="1"/>
    <col min="2" max="2" width="11.5" style="247" customWidth="1"/>
    <col min="3" max="3" width="9.375" style="283" customWidth="1"/>
    <col min="4" max="4" width="12.25" style="247" customWidth="1"/>
    <col min="5" max="16384" width="9" style="247"/>
  </cols>
  <sheetData>
    <row r="1" ht="34.5" customHeight="1" spans="1:4">
      <c r="A1" s="374" t="s">
        <v>464</v>
      </c>
      <c r="B1" s="374"/>
      <c r="C1" s="374"/>
      <c r="D1" s="375"/>
    </row>
    <row r="2" ht="20.25" customHeight="1" spans="1:4">
      <c r="A2" s="292"/>
      <c r="B2" s="292"/>
      <c r="C2" s="292"/>
      <c r="D2" s="376" t="s">
        <v>37</v>
      </c>
    </row>
    <row r="3" ht="28.5" customHeight="1" spans="1:4">
      <c r="A3" s="333" t="s">
        <v>445</v>
      </c>
      <c r="B3" s="286" t="s">
        <v>34</v>
      </c>
      <c r="C3" s="285" t="s">
        <v>5</v>
      </c>
      <c r="D3" s="286" t="s">
        <v>446</v>
      </c>
    </row>
    <row r="4" ht="18" customHeight="1" spans="1:4">
      <c r="A4" s="377" t="s">
        <v>465</v>
      </c>
      <c r="B4" s="378"/>
      <c r="C4" s="219"/>
      <c r="D4" s="290"/>
    </row>
    <row r="5" ht="18" customHeight="1" spans="1:4">
      <c r="A5" s="291" t="s">
        <v>448</v>
      </c>
      <c r="B5" s="378">
        <v>937.2468</v>
      </c>
      <c r="C5" s="379">
        <v>4.8</v>
      </c>
      <c r="D5" s="380" t="s">
        <v>8</v>
      </c>
    </row>
    <row r="6" ht="18" customHeight="1" spans="1:4">
      <c r="A6" s="291" t="s">
        <v>449</v>
      </c>
      <c r="B6" s="378">
        <v>50.1723</v>
      </c>
      <c r="C6" s="379">
        <v>4</v>
      </c>
      <c r="D6" s="381">
        <v>8</v>
      </c>
    </row>
    <row r="7" ht="18" customHeight="1" spans="1:4">
      <c r="A7" s="293" t="s">
        <v>450</v>
      </c>
      <c r="B7" s="378">
        <v>169.5395</v>
      </c>
      <c r="C7" s="379">
        <v>1.3</v>
      </c>
      <c r="D7" s="381">
        <v>9</v>
      </c>
    </row>
    <row r="8" ht="18" customHeight="1" spans="1:4">
      <c r="A8" s="294" t="s">
        <v>451</v>
      </c>
      <c r="B8" s="378">
        <v>211.2977</v>
      </c>
      <c r="C8" s="379">
        <v>6</v>
      </c>
      <c r="D8" s="381">
        <v>7</v>
      </c>
    </row>
    <row r="9" ht="18" customHeight="1" spans="1:4">
      <c r="A9" s="293" t="s">
        <v>452</v>
      </c>
      <c r="B9" s="378">
        <v>99.7927</v>
      </c>
      <c r="C9" s="379">
        <v>8</v>
      </c>
      <c r="D9" s="381">
        <v>5</v>
      </c>
    </row>
    <row r="10" ht="18" customHeight="1" spans="1:4">
      <c r="A10" s="293" t="s">
        <v>453</v>
      </c>
      <c r="B10" s="378">
        <v>197.6676</v>
      </c>
      <c r="C10" s="379">
        <v>9.2</v>
      </c>
      <c r="D10" s="381">
        <v>3</v>
      </c>
    </row>
    <row r="11" ht="18" customHeight="1" spans="1:4">
      <c r="A11" s="293" t="s">
        <v>454</v>
      </c>
      <c r="B11" s="378">
        <v>84.8439</v>
      </c>
      <c r="C11" s="379">
        <v>6.9</v>
      </c>
      <c r="D11" s="381">
        <v>6</v>
      </c>
    </row>
    <row r="12" ht="18" customHeight="1" spans="1:4">
      <c r="A12" s="293" t="s">
        <v>455</v>
      </c>
      <c r="B12" s="378">
        <v>11.599</v>
      </c>
      <c r="C12" s="379">
        <v>13.6</v>
      </c>
      <c r="D12" s="381">
        <v>1</v>
      </c>
    </row>
    <row r="13" ht="18" customHeight="1" spans="1:4">
      <c r="A13" s="293" t="s">
        <v>456</v>
      </c>
      <c r="B13" s="378">
        <v>25.6961</v>
      </c>
      <c r="C13" s="379">
        <v>1</v>
      </c>
      <c r="D13" s="381">
        <v>10</v>
      </c>
    </row>
    <row r="14" ht="18" customHeight="1" spans="1:4">
      <c r="A14" s="293" t="s">
        <v>457</v>
      </c>
      <c r="B14" s="378">
        <v>74.6003</v>
      </c>
      <c r="C14" s="379">
        <v>9.7</v>
      </c>
      <c r="D14" s="381">
        <v>2</v>
      </c>
    </row>
    <row r="15" ht="18" customHeight="1" spans="1:4">
      <c r="A15" s="293" t="s">
        <v>458</v>
      </c>
      <c r="B15" s="378">
        <v>225.5779</v>
      </c>
      <c r="C15" s="379">
        <v>9.1</v>
      </c>
      <c r="D15" s="381">
        <v>4</v>
      </c>
    </row>
    <row r="16" ht="18" customHeight="1" spans="1:4">
      <c r="A16" s="295" t="s">
        <v>466</v>
      </c>
      <c r="B16" s="382"/>
      <c r="C16" s="348"/>
      <c r="D16" s="232"/>
    </row>
    <row r="17" ht="18" customHeight="1" spans="1:4">
      <c r="A17" s="291" t="s">
        <v>448</v>
      </c>
      <c r="B17" s="382">
        <v>323.1035</v>
      </c>
      <c r="C17" s="208" t="s">
        <v>8</v>
      </c>
      <c r="D17" s="298" t="s">
        <v>8</v>
      </c>
    </row>
    <row r="18" ht="18" customHeight="1" spans="1:4">
      <c r="A18" s="291" t="s">
        <v>449</v>
      </c>
      <c r="B18" s="382">
        <v>15.3853</v>
      </c>
      <c r="C18" s="208" t="s">
        <v>8</v>
      </c>
      <c r="D18" s="298" t="s">
        <v>8</v>
      </c>
    </row>
    <row r="19" ht="18" customHeight="1" spans="1:4">
      <c r="A19" s="293" t="s">
        <v>450</v>
      </c>
      <c r="B19" s="382">
        <v>86.4521</v>
      </c>
      <c r="C19" s="208" t="s">
        <v>8</v>
      </c>
      <c r="D19" s="298" t="s">
        <v>8</v>
      </c>
    </row>
    <row r="20" ht="18" customHeight="1" spans="1:4">
      <c r="A20" s="294" t="s">
        <v>451</v>
      </c>
      <c r="B20" s="382">
        <v>35.8663</v>
      </c>
      <c r="C20" s="208" t="s">
        <v>8</v>
      </c>
      <c r="D20" s="298" t="s">
        <v>8</v>
      </c>
    </row>
    <row r="21" ht="18" customHeight="1" spans="1:4">
      <c r="A21" s="293" t="s">
        <v>452</v>
      </c>
      <c r="B21" s="382">
        <v>23.4196</v>
      </c>
      <c r="C21" s="208" t="s">
        <v>8</v>
      </c>
      <c r="D21" s="298" t="s">
        <v>8</v>
      </c>
    </row>
    <row r="22" ht="18" customHeight="1" spans="1:4">
      <c r="A22" s="293" t="s">
        <v>454</v>
      </c>
      <c r="B22" s="382">
        <v>14.6772</v>
      </c>
      <c r="C22" s="208" t="s">
        <v>8</v>
      </c>
      <c r="D22" s="298" t="s">
        <v>8</v>
      </c>
    </row>
    <row r="23" ht="18" customHeight="1" spans="1:4">
      <c r="A23" s="293" t="s">
        <v>455</v>
      </c>
      <c r="B23" s="382">
        <v>3.8641</v>
      </c>
      <c r="C23" s="208" t="s">
        <v>8</v>
      </c>
      <c r="D23" s="298" t="s">
        <v>8</v>
      </c>
    </row>
    <row r="24" ht="18" customHeight="1" spans="1:4">
      <c r="A24" s="293" t="s">
        <v>456</v>
      </c>
      <c r="B24" s="382">
        <v>12.2092</v>
      </c>
      <c r="C24" s="208" t="s">
        <v>8</v>
      </c>
      <c r="D24" s="298" t="s">
        <v>8</v>
      </c>
    </row>
    <row r="25" ht="18" customHeight="1" spans="1:4">
      <c r="A25" s="293" t="s">
        <v>467</v>
      </c>
      <c r="B25" s="382">
        <v>0</v>
      </c>
      <c r="C25" s="208" t="s">
        <v>8</v>
      </c>
      <c r="D25" s="298" t="s">
        <v>8</v>
      </c>
    </row>
    <row r="26" ht="18" customHeight="1" spans="1:4">
      <c r="A26" s="293" t="s">
        <v>457</v>
      </c>
      <c r="B26" s="382">
        <v>24.455</v>
      </c>
      <c r="C26" s="208" t="s">
        <v>8</v>
      </c>
      <c r="D26" s="298" t="s">
        <v>8</v>
      </c>
    </row>
    <row r="27" ht="18" customHeight="1" spans="1:4">
      <c r="A27" s="293" t="s">
        <v>458</v>
      </c>
      <c r="B27" s="382">
        <v>43.8736</v>
      </c>
      <c r="C27" s="208" t="s">
        <v>8</v>
      </c>
      <c r="D27" s="298" t="s">
        <v>8</v>
      </c>
    </row>
    <row r="28" ht="18" customHeight="1" spans="1:4">
      <c r="A28" s="300" t="s">
        <v>468</v>
      </c>
      <c r="B28" s="383">
        <v>90.6125</v>
      </c>
      <c r="C28" s="384" t="s">
        <v>8</v>
      </c>
      <c r="D28" s="385" t="s">
        <v>8</v>
      </c>
    </row>
    <row r="29" spans="1:4">
      <c r="A29" s="386"/>
      <c r="B29" s="128"/>
      <c r="C29" s="387"/>
      <c r="D29" s="128"/>
    </row>
    <row r="33" spans="1:1">
      <c r="A33" s="305"/>
    </row>
    <row r="34" spans="1:1">
      <c r="A34" s="305"/>
    </row>
    <row r="35" spans="1:1">
      <c r="A35" s="305"/>
    </row>
    <row r="36" spans="1:1">
      <c r="A36" s="306"/>
    </row>
    <row r="37" spans="1:1">
      <c r="A37" s="307"/>
    </row>
    <row r="38" spans="1:1">
      <c r="A38" s="307"/>
    </row>
    <row r="39" spans="1:1">
      <c r="A39" s="307"/>
    </row>
    <row r="40" spans="1:1">
      <c r="A40" s="307"/>
    </row>
    <row r="41" spans="1:1">
      <c r="A41" s="307"/>
    </row>
    <row r="42" spans="1:1">
      <c r="A42" s="287"/>
    </row>
    <row r="43" spans="1:1">
      <c r="A43" s="305"/>
    </row>
  </sheetData>
  <mergeCells count="1">
    <mergeCell ref="A1:D1"/>
  </mergeCells>
  <pageMargins left="0.75" right="0.75" top="0.588888888888889" bottom="0.588888888888889" header="0.509027777777778" footer="0.509027777777778"/>
  <pageSetup paperSize="9" scale="98" orientation="portrait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38"/>
  <sheetViews>
    <sheetView workbookViewId="0">
      <selection activeCell="F13" sqref="F13"/>
    </sheetView>
  </sheetViews>
  <sheetFormatPr defaultColWidth="9" defaultRowHeight="14.25" outlineLevelCol="4"/>
  <cols>
    <col min="1" max="1" width="33.875" style="45" customWidth="1"/>
    <col min="2" max="3" width="13.0083333333333" style="45" customWidth="1"/>
    <col min="4" max="4" width="13.125" style="44" customWidth="1"/>
    <col min="5" max="5" width="13.125" style="308" customWidth="1"/>
    <col min="6" max="16384" width="9" style="44"/>
  </cols>
  <sheetData>
    <row r="1" ht="34.5" customHeight="1" spans="1:5">
      <c r="A1" s="355" t="s">
        <v>469</v>
      </c>
      <c r="B1" s="355"/>
      <c r="C1" s="355"/>
      <c r="D1" s="355"/>
      <c r="E1" s="355"/>
    </row>
    <row r="2" ht="20.25" customHeight="1" spans="1:5">
      <c r="A2" s="292"/>
      <c r="B2" s="292"/>
      <c r="C2" s="292"/>
      <c r="D2" s="292"/>
      <c r="E2" s="356" t="s">
        <v>37</v>
      </c>
    </row>
    <row r="3" ht="28.5" customHeight="1" spans="1:5">
      <c r="A3" s="357" t="s">
        <v>445</v>
      </c>
      <c r="B3" s="358" t="s">
        <v>77</v>
      </c>
      <c r="C3" s="359" t="s">
        <v>78</v>
      </c>
      <c r="D3" s="286" t="s">
        <v>79</v>
      </c>
      <c r="E3" s="286" t="s">
        <v>5</v>
      </c>
    </row>
    <row r="4" ht="18" customHeight="1" spans="1:5">
      <c r="A4" s="360" t="s">
        <v>470</v>
      </c>
      <c r="B4" s="361"/>
      <c r="C4" s="362"/>
      <c r="D4" s="361"/>
      <c r="E4" s="363"/>
    </row>
    <row r="5" ht="18" customHeight="1" spans="1:5">
      <c r="A5" s="364" t="s">
        <v>448</v>
      </c>
      <c r="B5" s="365">
        <v>50.1561</v>
      </c>
      <c r="C5" s="366">
        <v>3.9</v>
      </c>
      <c r="D5" s="365">
        <v>108.2115</v>
      </c>
      <c r="E5" s="366">
        <v>3.7</v>
      </c>
    </row>
    <row r="6" ht="18" customHeight="1" spans="1:5">
      <c r="A6" s="364" t="s">
        <v>449</v>
      </c>
      <c r="B6" s="365">
        <v>1.5709</v>
      </c>
      <c r="C6" s="366">
        <v>-11.9</v>
      </c>
      <c r="D6" s="365">
        <v>6.6836</v>
      </c>
      <c r="E6" s="366">
        <v>9.5</v>
      </c>
    </row>
    <row r="7" ht="18" customHeight="1" spans="1:5">
      <c r="A7" s="367" t="s">
        <v>450</v>
      </c>
      <c r="B7" s="365">
        <v>13.3014</v>
      </c>
      <c r="C7" s="366">
        <v>5.1</v>
      </c>
      <c r="D7" s="365">
        <v>28.3762</v>
      </c>
      <c r="E7" s="366">
        <v>2.5</v>
      </c>
    </row>
    <row r="8" ht="18" customHeight="1" spans="1:5">
      <c r="A8" s="368" t="s">
        <v>451</v>
      </c>
      <c r="B8" s="365">
        <v>13.2663</v>
      </c>
      <c r="C8" s="366">
        <v>0.9</v>
      </c>
      <c r="D8" s="365">
        <v>27.6096</v>
      </c>
      <c r="E8" s="366">
        <v>-1.1</v>
      </c>
    </row>
    <row r="9" ht="18" customHeight="1" spans="1:5">
      <c r="A9" s="367" t="s">
        <v>452</v>
      </c>
      <c r="B9" s="365">
        <v>4.6381</v>
      </c>
      <c r="C9" s="366">
        <v>12.5</v>
      </c>
      <c r="D9" s="365">
        <v>7.5683</v>
      </c>
      <c r="E9" s="366">
        <v>10.9</v>
      </c>
    </row>
    <row r="10" ht="18" customHeight="1" spans="1:5">
      <c r="A10" s="367" t="s">
        <v>454</v>
      </c>
      <c r="B10" s="365">
        <v>1.6726</v>
      </c>
      <c r="C10" s="366">
        <v>4.2</v>
      </c>
      <c r="D10" s="365">
        <v>3.3446</v>
      </c>
      <c r="E10" s="366">
        <v>1.4</v>
      </c>
    </row>
    <row r="11" ht="18" customHeight="1" spans="1:5">
      <c r="A11" s="367" t="s">
        <v>455</v>
      </c>
      <c r="B11" s="365">
        <v>0.9517</v>
      </c>
      <c r="C11" s="366">
        <v>8</v>
      </c>
      <c r="D11" s="365">
        <v>2.1249</v>
      </c>
      <c r="E11" s="366">
        <v>0.1</v>
      </c>
    </row>
    <row r="12" ht="18" customHeight="1" spans="1:5">
      <c r="A12" s="369" t="s">
        <v>456</v>
      </c>
      <c r="B12" s="365">
        <v>0.7685</v>
      </c>
      <c r="C12" s="366">
        <v>2.2</v>
      </c>
      <c r="D12" s="365">
        <v>1.776</v>
      </c>
      <c r="E12" s="366">
        <v>1.1</v>
      </c>
    </row>
    <row r="13" ht="18" customHeight="1" spans="1:5">
      <c r="A13" s="369" t="s">
        <v>457</v>
      </c>
      <c r="B13" s="365">
        <v>2.2051</v>
      </c>
      <c r="C13" s="366">
        <v>-3</v>
      </c>
      <c r="D13" s="365">
        <v>5.6644</v>
      </c>
      <c r="E13" s="366">
        <v>6</v>
      </c>
    </row>
    <row r="14" ht="18" customHeight="1" spans="1:5">
      <c r="A14" s="369" t="s">
        <v>458</v>
      </c>
      <c r="B14" s="365">
        <v>5.6955</v>
      </c>
      <c r="C14" s="366">
        <v>22.2</v>
      </c>
      <c r="D14" s="365">
        <v>12.5048</v>
      </c>
      <c r="E14" s="366">
        <v>12.6</v>
      </c>
    </row>
    <row r="15" ht="18" customHeight="1" spans="1:5">
      <c r="A15" s="369" t="s">
        <v>468</v>
      </c>
      <c r="B15" s="365">
        <v>11.2645</v>
      </c>
      <c r="C15" s="366">
        <v>6.8</v>
      </c>
      <c r="D15" s="365">
        <v>21.8112</v>
      </c>
      <c r="E15" s="366">
        <v>7.6</v>
      </c>
    </row>
    <row r="16" ht="18" customHeight="1" spans="1:5">
      <c r="A16" s="370" t="s">
        <v>471</v>
      </c>
      <c r="B16" s="365"/>
      <c r="C16" s="366"/>
      <c r="D16" s="365"/>
      <c r="E16" s="366"/>
    </row>
    <row r="17" ht="18" customHeight="1" spans="1:5">
      <c r="A17" s="364" t="s">
        <v>448</v>
      </c>
      <c r="B17" s="365">
        <v>156.9033</v>
      </c>
      <c r="C17" s="366">
        <v>3.8</v>
      </c>
      <c r="D17" s="365">
        <v>340.3943</v>
      </c>
      <c r="E17" s="366">
        <v>4.1</v>
      </c>
    </row>
    <row r="18" ht="18" customHeight="1" spans="1:5">
      <c r="A18" s="364" t="s">
        <v>449</v>
      </c>
      <c r="B18" s="365">
        <v>4.4292</v>
      </c>
      <c r="C18" s="366">
        <v>-9.4</v>
      </c>
      <c r="D18" s="365">
        <v>15.0503</v>
      </c>
      <c r="E18" s="366">
        <v>3.9</v>
      </c>
    </row>
    <row r="19" ht="18" customHeight="1" spans="1:5">
      <c r="A19" s="367" t="s">
        <v>450</v>
      </c>
      <c r="B19" s="365">
        <v>38.397</v>
      </c>
      <c r="C19" s="366">
        <v>7.9</v>
      </c>
      <c r="D19" s="365">
        <v>85.8804</v>
      </c>
      <c r="E19" s="366">
        <v>7.3</v>
      </c>
    </row>
    <row r="20" ht="18" customHeight="1" spans="1:5">
      <c r="A20" s="368" t="s">
        <v>451</v>
      </c>
      <c r="B20" s="365">
        <v>16.8608</v>
      </c>
      <c r="C20" s="366">
        <v>1.1</v>
      </c>
      <c r="D20" s="365">
        <v>36.1165</v>
      </c>
      <c r="E20" s="366">
        <v>0.2</v>
      </c>
    </row>
    <row r="21" ht="18" customHeight="1" spans="1:5">
      <c r="A21" s="367" t="s">
        <v>452</v>
      </c>
      <c r="B21" s="365">
        <v>16.1983</v>
      </c>
      <c r="C21" s="366">
        <v>9.2</v>
      </c>
      <c r="D21" s="365">
        <v>27.4602</v>
      </c>
      <c r="E21" s="366">
        <v>6.6</v>
      </c>
    </row>
    <row r="22" ht="18" customHeight="1" spans="1:5">
      <c r="A22" s="367" t="s">
        <v>454</v>
      </c>
      <c r="B22" s="365">
        <v>7.4591</v>
      </c>
      <c r="C22" s="366">
        <v>6.3</v>
      </c>
      <c r="D22" s="365">
        <v>14.8379</v>
      </c>
      <c r="E22" s="366">
        <v>2.5</v>
      </c>
    </row>
    <row r="23" ht="18" customHeight="1" spans="1:5">
      <c r="A23" s="367" t="s">
        <v>455</v>
      </c>
      <c r="B23" s="365">
        <v>2.1726</v>
      </c>
      <c r="C23" s="366">
        <v>-0.5</v>
      </c>
      <c r="D23" s="365">
        <v>5.3117</v>
      </c>
      <c r="E23" s="366">
        <v>0.5</v>
      </c>
    </row>
    <row r="24" ht="18" customHeight="1" spans="1:5">
      <c r="A24" s="369" t="s">
        <v>456</v>
      </c>
      <c r="B24" s="365">
        <v>6.6275</v>
      </c>
      <c r="C24" s="366">
        <v>1</v>
      </c>
      <c r="D24" s="365">
        <v>15.3706</v>
      </c>
      <c r="E24" s="366">
        <v>0.1</v>
      </c>
    </row>
    <row r="25" ht="18" customHeight="1" spans="1:5">
      <c r="A25" s="369" t="s">
        <v>457</v>
      </c>
      <c r="B25" s="365">
        <v>10.6913</v>
      </c>
      <c r="C25" s="366">
        <v>-4.2</v>
      </c>
      <c r="D25" s="365">
        <v>27.1558</v>
      </c>
      <c r="E25" s="366">
        <v>5</v>
      </c>
    </row>
    <row r="26" ht="18" customHeight="1" spans="1:5">
      <c r="A26" s="369" t="s">
        <v>458</v>
      </c>
      <c r="B26" s="365">
        <v>20.3952</v>
      </c>
      <c r="C26" s="366">
        <v>19.1</v>
      </c>
      <c r="D26" s="365">
        <v>45.2821</v>
      </c>
      <c r="E26" s="366">
        <v>14.1</v>
      </c>
    </row>
    <row r="27" ht="18" customHeight="1" spans="1:5">
      <c r="A27" s="371" t="s">
        <v>468</v>
      </c>
      <c r="B27" s="372">
        <v>50.7306</v>
      </c>
      <c r="C27" s="373">
        <v>4.5</v>
      </c>
      <c r="D27" s="372">
        <v>98.7441</v>
      </c>
      <c r="E27" s="373">
        <v>4.2</v>
      </c>
    </row>
    <row r="28" ht="18" customHeight="1" spans="1:5">
      <c r="A28" s="313"/>
      <c r="B28" s="313"/>
      <c r="C28" s="313"/>
    </row>
    <row r="29" spans="1:5">
      <c r="A29" s="313"/>
      <c r="B29" s="313"/>
      <c r="C29" s="313"/>
    </row>
    <row r="30" spans="1:5">
      <c r="A30" s="313"/>
      <c r="B30" s="313"/>
      <c r="C30" s="313"/>
    </row>
    <row r="31" spans="1:5">
      <c r="A31" s="314"/>
      <c r="B31" s="314"/>
      <c r="C31" s="314"/>
    </row>
    <row r="32" spans="1:5">
      <c r="A32" s="315"/>
      <c r="B32" s="315"/>
      <c r="C32" s="315"/>
    </row>
    <row r="33" spans="1:3">
      <c r="A33" s="315"/>
      <c r="B33" s="315"/>
      <c r="C33" s="315"/>
    </row>
    <row r="34" spans="1:3">
      <c r="A34" s="315"/>
      <c r="B34" s="315"/>
      <c r="C34" s="315"/>
    </row>
    <row r="35" spans="1:3">
      <c r="A35" s="315"/>
      <c r="B35" s="315"/>
      <c r="C35" s="315"/>
    </row>
    <row r="36" spans="1:3">
      <c r="A36" s="307"/>
      <c r="B36" s="307"/>
      <c r="C36" s="307"/>
    </row>
    <row r="37" spans="1:3">
      <c r="A37" s="52"/>
      <c r="B37" s="52"/>
      <c r="C37" s="52"/>
    </row>
    <row r="38" spans="1:3">
      <c r="A38" s="313"/>
      <c r="B38" s="313"/>
      <c r="C38" s="313"/>
    </row>
  </sheetData>
  <mergeCells count="1">
    <mergeCell ref="A1:E1"/>
  </mergeCells>
  <pageMargins left="0.75" right="0.75" top="0.588888888888889" bottom="0.588888888888889" header="0.509027777777778" footer="0.509027777777778"/>
  <pageSetup paperSize="9" scale="95" orientation="portrait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37"/>
  <sheetViews>
    <sheetView zoomScale="90" zoomScaleNormal="90" workbookViewId="0">
      <selection activeCell="F20" sqref="F20"/>
    </sheetView>
  </sheetViews>
  <sheetFormatPr defaultColWidth="9" defaultRowHeight="14.25" outlineLevelCol="3"/>
  <cols>
    <col min="1" max="1" width="42.875" style="246" customWidth="1"/>
    <col min="2" max="2" width="13" style="246" customWidth="1"/>
    <col min="3" max="3" width="9.75" style="246" customWidth="1"/>
    <col min="4" max="4" width="13.125" style="247" customWidth="1"/>
    <col min="5" max="16384" width="9" style="247"/>
  </cols>
  <sheetData>
    <row r="1" ht="34.5" customHeight="1" spans="1:4">
      <c r="A1" s="204" t="s">
        <v>472</v>
      </c>
      <c r="B1" s="204"/>
      <c r="C1" s="204"/>
      <c r="D1" s="204"/>
    </row>
    <row r="2" ht="28.5" customHeight="1" spans="1:4">
      <c r="A2" s="333" t="s">
        <v>445</v>
      </c>
      <c r="B2" s="286" t="s">
        <v>79</v>
      </c>
      <c r="C2" s="285" t="s">
        <v>5</v>
      </c>
      <c r="D2" s="286" t="s">
        <v>446</v>
      </c>
    </row>
    <row r="3" ht="18" customHeight="1" spans="1:4">
      <c r="A3" s="240" t="s">
        <v>473</v>
      </c>
      <c r="B3" s="290"/>
      <c r="C3" s="353"/>
      <c r="D3" s="290"/>
    </row>
    <row r="4" ht="18" customHeight="1" spans="1:4">
      <c r="A4" s="233" t="s">
        <v>448</v>
      </c>
      <c r="B4" s="348">
        <v>94.9</v>
      </c>
      <c r="C4" s="239">
        <v>-0.8</v>
      </c>
      <c r="D4" s="298" t="s">
        <v>8</v>
      </c>
    </row>
    <row r="5" ht="18" customHeight="1" spans="1:4">
      <c r="A5" s="233" t="s">
        <v>449</v>
      </c>
      <c r="B5" s="348">
        <v>102.2</v>
      </c>
      <c r="C5" s="239">
        <v>-4.3</v>
      </c>
      <c r="D5" s="232">
        <v>9</v>
      </c>
    </row>
    <row r="6" ht="18" customHeight="1" spans="1:4">
      <c r="A6" s="219" t="s">
        <v>450</v>
      </c>
      <c r="B6" s="348">
        <v>100.7</v>
      </c>
      <c r="C6" s="239">
        <v>0.8</v>
      </c>
      <c r="D6" s="232">
        <v>3</v>
      </c>
    </row>
    <row r="7" ht="18" customHeight="1" spans="1:4">
      <c r="A7" s="237" t="s">
        <v>451</v>
      </c>
      <c r="B7" s="348">
        <v>99.3</v>
      </c>
      <c r="C7" s="239">
        <v>3.8</v>
      </c>
      <c r="D7" s="232">
        <v>2</v>
      </c>
    </row>
    <row r="8" ht="18" customHeight="1" spans="1:4">
      <c r="A8" s="219" t="s">
        <v>452</v>
      </c>
      <c r="B8" s="348">
        <v>85.3</v>
      </c>
      <c r="C8" s="239">
        <v>-10.3</v>
      </c>
      <c r="D8" s="232">
        <v>10</v>
      </c>
    </row>
    <row r="9" ht="18" customHeight="1" spans="1:4">
      <c r="A9" s="219" t="s">
        <v>454</v>
      </c>
      <c r="B9" s="348">
        <v>98.9</v>
      </c>
      <c r="C9" s="239">
        <v>0.1</v>
      </c>
      <c r="D9" s="232">
        <v>6</v>
      </c>
    </row>
    <row r="10" ht="18" customHeight="1" spans="1:4">
      <c r="A10" s="219" t="s">
        <v>455</v>
      </c>
      <c r="B10" s="348">
        <v>72.7</v>
      </c>
      <c r="C10" s="239">
        <v>12</v>
      </c>
      <c r="D10" s="232">
        <v>1</v>
      </c>
    </row>
    <row r="11" ht="18" customHeight="1" spans="1:4">
      <c r="A11" s="219" t="s">
        <v>456</v>
      </c>
      <c r="B11" s="348">
        <v>79.4</v>
      </c>
      <c r="C11" s="239">
        <v>-3.1</v>
      </c>
      <c r="D11" s="232">
        <v>8</v>
      </c>
    </row>
    <row r="12" ht="18" customHeight="1" spans="1:4">
      <c r="A12" s="219" t="s">
        <v>457</v>
      </c>
      <c r="B12" s="348">
        <v>90.1</v>
      </c>
      <c r="C12" s="239">
        <v>0.7</v>
      </c>
      <c r="D12" s="232">
        <v>4</v>
      </c>
    </row>
    <row r="13" ht="18" customHeight="1" spans="1:4">
      <c r="A13" s="219" t="s">
        <v>458</v>
      </c>
      <c r="B13" s="348">
        <v>96.9</v>
      </c>
      <c r="C13" s="239">
        <v>0.2</v>
      </c>
      <c r="D13" s="232">
        <v>5</v>
      </c>
    </row>
    <row r="14" ht="18" customHeight="1" spans="1:4">
      <c r="A14" s="219" t="s">
        <v>468</v>
      </c>
      <c r="B14" s="348">
        <v>91.8</v>
      </c>
      <c r="C14" s="239">
        <v>-1.2</v>
      </c>
      <c r="D14" s="232">
        <v>7</v>
      </c>
    </row>
    <row r="15" ht="18" customHeight="1" spans="1:4">
      <c r="A15" s="229" t="s">
        <v>474</v>
      </c>
      <c r="B15" s="347"/>
      <c r="C15" s="239"/>
      <c r="D15" s="232"/>
    </row>
    <row r="16" ht="18" customHeight="1" spans="1:4">
      <c r="A16" s="233" t="s">
        <v>448</v>
      </c>
      <c r="B16" s="349">
        <v>22.2531</v>
      </c>
      <c r="C16" s="239">
        <v>-8.1</v>
      </c>
      <c r="D16" s="298" t="s">
        <v>8</v>
      </c>
    </row>
    <row r="17" ht="18" customHeight="1" spans="1:4">
      <c r="A17" s="233" t="s">
        <v>449</v>
      </c>
      <c r="B17" s="349">
        <v>0.9977</v>
      </c>
      <c r="C17" s="239">
        <v>-59.1</v>
      </c>
      <c r="D17" s="232">
        <v>9</v>
      </c>
    </row>
    <row r="18" ht="18" customHeight="1" spans="1:4">
      <c r="A18" s="219" t="s">
        <v>450</v>
      </c>
      <c r="B18" s="349">
        <v>3.2545</v>
      </c>
      <c r="C18" s="239">
        <v>-23.2</v>
      </c>
      <c r="D18" s="232">
        <v>6</v>
      </c>
    </row>
    <row r="19" ht="18" customHeight="1" spans="1:4">
      <c r="A19" s="237" t="s">
        <v>451</v>
      </c>
      <c r="B19" s="349">
        <v>3.5034</v>
      </c>
      <c r="C19" s="239">
        <v>59.1</v>
      </c>
      <c r="D19" s="232">
        <v>2</v>
      </c>
    </row>
    <row r="20" ht="18" customHeight="1" spans="1:4">
      <c r="A20" s="219" t="s">
        <v>452</v>
      </c>
      <c r="B20" s="349">
        <v>1.2427</v>
      </c>
      <c r="C20" s="239">
        <v>-51.8</v>
      </c>
      <c r="D20" s="232">
        <v>8</v>
      </c>
    </row>
    <row r="21" ht="18" customHeight="1" spans="1:4">
      <c r="A21" s="219" t="s">
        <v>454</v>
      </c>
      <c r="B21" s="349">
        <v>0.2184</v>
      </c>
      <c r="C21" s="239">
        <v>-72.1</v>
      </c>
      <c r="D21" s="232">
        <v>10</v>
      </c>
    </row>
    <row r="22" ht="18" customHeight="1" spans="1:4">
      <c r="A22" s="219" t="s">
        <v>455</v>
      </c>
      <c r="B22" s="349">
        <v>0.1182</v>
      </c>
      <c r="C22" s="239">
        <v>913</v>
      </c>
      <c r="D22" s="232">
        <v>1</v>
      </c>
    </row>
    <row r="23" ht="18" customHeight="1" spans="1:4">
      <c r="A23" s="219" t="s">
        <v>456</v>
      </c>
      <c r="B23" s="349">
        <v>0.8315</v>
      </c>
      <c r="C23" s="239">
        <v>22</v>
      </c>
      <c r="D23" s="232">
        <v>4</v>
      </c>
    </row>
    <row r="24" ht="18" customHeight="1" spans="1:4">
      <c r="A24" s="219" t="s">
        <v>457</v>
      </c>
      <c r="B24" s="349">
        <v>2.7254</v>
      </c>
      <c r="C24" s="239">
        <v>-27.2</v>
      </c>
      <c r="D24" s="232">
        <v>7</v>
      </c>
    </row>
    <row r="25" ht="18" customHeight="1" spans="1:4">
      <c r="A25" s="219" t="s">
        <v>458</v>
      </c>
      <c r="B25" s="349">
        <v>6.8167</v>
      </c>
      <c r="C25" s="239">
        <v>23.1</v>
      </c>
      <c r="D25" s="232">
        <v>3</v>
      </c>
    </row>
    <row r="26" ht="18" customHeight="1" spans="1:4">
      <c r="A26" s="225" t="s">
        <v>468</v>
      </c>
      <c r="B26" s="354">
        <v>4.5329</v>
      </c>
      <c r="C26" s="244">
        <v>-5</v>
      </c>
      <c r="D26" s="245">
        <v>5</v>
      </c>
    </row>
    <row r="27" spans="1:4">
      <c r="A27" s="45"/>
      <c r="B27"/>
      <c r="C27" s="342"/>
      <c r="D27"/>
    </row>
    <row r="28" spans="1:4">
      <c r="A28" s="305"/>
      <c r="B28" s="305"/>
      <c r="C28" s="305"/>
    </row>
    <row r="29" spans="1:4">
      <c r="A29" s="305"/>
      <c r="B29" s="305"/>
      <c r="C29" s="305"/>
    </row>
    <row r="30" spans="1:4">
      <c r="A30" s="306"/>
      <c r="B30" s="306"/>
      <c r="C30" s="306"/>
    </row>
    <row r="31" spans="1:4">
      <c r="A31" s="307"/>
      <c r="B31" s="307"/>
      <c r="C31" s="307"/>
    </row>
    <row r="32" spans="1:4">
      <c r="A32" s="307"/>
      <c r="B32" s="307"/>
      <c r="C32" s="307"/>
    </row>
    <row r="33" spans="1:3">
      <c r="A33" s="307"/>
      <c r="B33" s="307"/>
      <c r="C33" s="307"/>
    </row>
    <row r="34" spans="1:3">
      <c r="A34" s="307"/>
      <c r="B34" s="307"/>
      <c r="C34" s="307"/>
    </row>
    <row r="35" spans="1:3">
      <c r="A35" s="307"/>
      <c r="B35" s="307"/>
      <c r="C35" s="307"/>
    </row>
    <row r="36" spans="1:3">
      <c r="A36" s="287"/>
      <c r="B36" s="287"/>
      <c r="C36" s="287"/>
    </row>
    <row r="37" spans="1:3">
      <c r="A37" s="305"/>
      <c r="B37" s="305"/>
      <c r="C37" s="305"/>
    </row>
  </sheetData>
  <mergeCells count="1">
    <mergeCell ref="A1:D1"/>
  </mergeCells>
  <pageMargins left="0.75" right="0.75" top="0.588888888888889" bottom="0.588888888888889" header="0.509027777777778" footer="0.509027777777778"/>
  <pageSetup paperSize="9" scale="95" orientation="portrait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43"/>
  <sheetViews>
    <sheetView zoomScale="90" zoomScaleNormal="90" workbookViewId="0">
      <selection activeCell="G19" sqref="G19"/>
    </sheetView>
  </sheetViews>
  <sheetFormatPr defaultColWidth="9" defaultRowHeight="14.25" outlineLevelCol="3"/>
  <cols>
    <col min="1" max="1" width="42.125" style="45" customWidth="1"/>
    <col min="2" max="2" width="10.875" style="44" customWidth="1"/>
    <col min="3" max="3" width="13.125" style="308" customWidth="1"/>
    <col min="4" max="4" width="13.125" style="44" customWidth="1"/>
    <col min="5" max="16384" width="9" style="44"/>
  </cols>
  <sheetData>
    <row r="1" ht="34.5" customHeight="1" spans="1:4">
      <c r="A1" s="204" t="s">
        <v>475</v>
      </c>
      <c r="B1" s="204"/>
      <c r="C1" s="204"/>
      <c r="D1" s="204"/>
    </row>
    <row r="2" ht="28.5" customHeight="1" spans="1:4">
      <c r="A2" s="333" t="s">
        <v>445</v>
      </c>
      <c r="B2" s="286" t="s">
        <v>34</v>
      </c>
      <c r="C2" s="285" t="s">
        <v>5</v>
      </c>
      <c r="D2" s="286" t="s">
        <v>446</v>
      </c>
    </row>
    <row r="3" ht="18" customHeight="1" spans="1:4">
      <c r="A3" s="229" t="s">
        <v>476</v>
      </c>
      <c r="B3" s="347"/>
      <c r="C3" s="350"/>
      <c r="D3" s="351"/>
    </row>
    <row r="4" ht="18" customHeight="1" spans="1:4">
      <c r="A4" s="233" t="s">
        <v>448</v>
      </c>
      <c r="B4" s="347">
        <v>514.77</v>
      </c>
      <c r="C4" s="239">
        <v>89.2</v>
      </c>
      <c r="D4" s="298" t="s">
        <v>8</v>
      </c>
    </row>
    <row r="5" ht="18" customHeight="1" spans="1:4">
      <c r="A5" s="233" t="s">
        <v>449</v>
      </c>
      <c r="B5" s="347">
        <v>500.09</v>
      </c>
      <c r="C5" s="239">
        <v>88.9</v>
      </c>
      <c r="D5" s="232">
        <v>3</v>
      </c>
    </row>
    <row r="6" ht="18" customHeight="1" spans="1:4">
      <c r="A6" s="219" t="s">
        <v>450</v>
      </c>
      <c r="B6" s="347">
        <v>881.57</v>
      </c>
      <c r="C6" s="239">
        <v>68.9</v>
      </c>
      <c r="D6" s="232">
        <v>4</v>
      </c>
    </row>
    <row r="7" ht="18" customHeight="1" spans="1:4">
      <c r="A7" s="237" t="s">
        <v>451</v>
      </c>
      <c r="B7" s="347">
        <v>1785.98</v>
      </c>
      <c r="C7" s="239">
        <v>496.6</v>
      </c>
      <c r="D7" s="232">
        <v>1</v>
      </c>
    </row>
    <row r="8" ht="18" customHeight="1" spans="1:4">
      <c r="A8" s="219" t="s">
        <v>452</v>
      </c>
      <c r="B8" s="347">
        <v>316.44</v>
      </c>
      <c r="C8" s="239">
        <v>64.5</v>
      </c>
      <c r="D8" s="232">
        <v>5</v>
      </c>
    </row>
    <row r="9" ht="18" customHeight="1" spans="1:4">
      <c r="A9" s="219" t="s">
        <v>454</v>
      </c>
      <c r="B9" s="347">
        <v>300.44</v>
      </c>
      <c r="C9" s="239">
        <v>0.5</v>
      </c>
      <c r="D9" s="232">
        <v>9</v>
      </c>
    </row>
    <row r="10" ht="18" customHeight="1" spans="1:4">
      <c r="A10" s="219" t="s">
        <v>455</v>
      </c>
      <c r="B10" s="347">
        <v>328.45</v>
      </c>
      <c r="C10" s="239">
        <v>49.4</v>
      </c>
      <c r="D10" s="232">
        <v>6</v>
      </c>
    </row>
    <row r="11" ht="18" customHeight="1" spans="1:4">
      <c r="A11" s="219" t="s">
        <v>456</v>
      </c>
      <c r="B11" s="347">
        <v>57.15</v>
      </c>
      <c r="C11" s="239">
        <v>-27.8</v>
      </c>
      <c r="D11" s="232">
        <v>10</v>
      </c>
    </row>
    <row r="12" ht="18" customHeight="1" spans="1:4">
      <c r="A12" s="219" t="s">
        <v>457</v>
      </c>
      <c r="B12" s="347">
        <v>195.14</v>
      </c>
      <c r="C12" s="239">
        <v>31.4</v>
      </c>
      <c r="D12" s="232">
        <v>7</v>
      </c>
    </row>
    <row r="13" ht="18" customHeight="1" spans="1:4">
      <c r="A13" s="219" t="s">
        <v>458</v>
      </c>
      <c r="B13" s="347">
        <v>306.04</v>
      </c>
      <c r="C13" s="239">
        <v>1.5</v>
      </c>
      <c r="D13" s="232">
        <v>8</v>
      </c>
    </row>
    <row r="14" ht="18" customHeight="1" spans="1:4">
      <c r="A14" s="352" t="s">
        <v>468</v>
      </c>
      <c r="B14" s="347">
        <v>608.35</v>
      </c>
      <c r="C14" s="239">
        <v>105.5</v>
      </c>
      <c r="D14" s="232">
        <v>2</v>
      </c>
    </row>
    <row r="15" ht="18" customHeight="1" spans="1:4">
      <c r="A15" s="240" t="s">
        <v>477</v>
      </c>
      <c r="B15" s="337"/>
      <c r="C15" s="338"/>
      <c r="D15" s="339"/>
    </row>
    <row r="16" ht="18" customHeight="1" spans="1:4">
      <c r="A16" s="233" t="s">
        <v>448</v>
      </c>
      <c r="B16" s="222">
        <v>891</v>
      </c>
      <c r="C16" s="239">
        <v>1.8</v>
      </c>
      <c r="D16" s="298" t="s">
        <v>8</v>
      </c>
    </row>
    <row r="17" ht="18" customHeight="1" spans="1:4">
      <c r="A17" s="233" t="s">
        <v>449</v>
      </c>
      <c r="B17" s="222">
        <v>32</v>
      </c>
      <c r="C17" s="239">
        <v>-13.5</v>
      </c>
      <c r="D17" s="298" t="s">
        <v>8</v>
      </c>
    </row>
    <row r="18" ht="18" customHeight="1" spans="1:4">
      <c r="A18" s="219" t="s">
        <v>450</v>
      </c>
      <c r="B18" s="222">
        <v>59</v>
      </c>
      <c r="C18" s="239">
        <v>-1.7</v>
      </c>
      <c r="D18" s="298" t="s">
        <v>8</v>
      </c>
    </row>
    <row r="19" ht="18" customHeight="1" spans="1:4">
      <c r="A19" s="237" t="s">
        <v>451</v>
      </c>
      <c r="B19" s="222">
        <v>64</v>
      </c>
      <c r="C19" s="239">
        <v>4.9</v>
      </c>
      <c r="D19" s="298" t="s">
        <v>8</v>
      </c>
    </row>
    <row r="20" ht="18" customHeight="1" spans="1:4">
      <c r="A20" s="219" t="s">
        <v>452</v>
      </c>
      <c r="B20" s="222">
        <v>69</v>
      </c>
      <c r="C20" s="239">
        <v>1.5</v>
      </c>
      <c r="D20" s="298" t="s">
        <v>8</v>
      </c>
    </row>
    <row r="21" ht="18" customHeight="1" spans="1:4">
      <c r="A21" s="219" t="s">
        <v>454</v>
      </c>
      <c r="B21" s="222">
        <v>137</v>
      </c>
      <c r="C21" s="239">
        <v>-5.5</v>
      </c>
      <c r="D21" s="298" t="s">
        <v>8</v>
      </c>
    </row>
    <row r="22" ht="18" customHeight="1" spans="1:4">
      <c r="A22" s="219" t="s">
        <v>455</v>
      </c>
      <c r="B22" s="222">
        <v>29</v>
      </c>
      <c r="C22" s="239">
        <v>-12.1</v>
      </c>
      <c r="D22" s="298" t="s">
        <v>8</v>
      </c>
    </row>
    <row r="23" ht="18" customHeight="1" spans="1:4">
      <c r="A23" s="219" t="s">
        <v>456</v>
      </c>
      <c r="B23" s="222">
        <v>64</v>
      </c>
      <c r="C23" s="239">
        <v>1.6</v>
      </c>
      <c r="D23" s="298" t="s">
        <v>8</v>
      </c>
    </row>
    <row r="24" ht="18" customHeight="1" spans="1:4">
      <c r="A24" s="219" t="s">
        <v>457</v>
      </c>
      <c r="B24" s="222">
        <v>130</v>
      </c>
      <c r="C24" s="239">
        <v>8.3</v>
      </c>
      <c r="D24" s="298" t="s">
        <v>8</v>
      </c>
    </row>
    <row r="25" ht="18" customHeight="1" spans="1:4">
      <c r="A25" s="219" t="s">
        <v>458</v>
      </c>
      <c r="B25" s="222">
        <v>272</v>
      </c>
      <c r="C25" s="239">
        <v>0.4</v>
      </c>
      <c r="D25" s="298" t="s">
        <v>8</v>
      </c>
    </row>
    <row r="26" ht="18" customHeight="1" spans="1:4">
      <c r="A26" s="219" t="s">
        <v>468</v>
      </c>
      <c r="B26" s="222">
        <v>56</v>
      </c>
      <c r="C26" s="239">
        <v>1.8</v>
      </c>
      <c r="D26" s="298" t="s">
        <v>8</v>
      </c>
    </row>
    <row r="27" spans="1:4">
      <c r="A27" s="346"/>
      <c r="B27" s="346"/>
      <c r="C27" s="346"/>
      <c r="D27" s="346"/>
    </row>
    <row r="33" spans="1:1">
      <c r="A33" s="313"/>
    </row>
    <row r="34" spans="1:1">
      <c r="A34" s="313"/>
    </row>
    <row r="35" spans="1:1">
      <c r="A35" s="313"/>
    </row>
    <row r="36" spans="1:1">
      <c r="A36" s="314"/>
    </row>
    <row r="37" spans="1:1">
      <c r="A37" s="315"/>
    </row>
    <row r="38" spans="1:1">
      <c r="A38" s="315"/>
    </row>
    <row r="39" spans="1:1">
      <c r="A39" s="315"/>
    </row>
    <row r="40" spans="1:1">
      <c r="A40" s="315"/>
    </row>
    <row r="41" spans="1:1">
      <c r="A41" s="307"/>
    </row>
    <row r="42" spans="1:1">
      <c r="A42" s="52"/>
    </row>
    <row r="43" spans="1:1">
      <c r="A43" s="313"/>
    </row>
  </sheetData>
  <mergeCells count="1">
    <mergeCell ref="A1:D1"/>
  </mergeCells>
  <printOptions horizontalCentered="1"/>
  <pageMargins left="0.75" right="0.75" top="0.388888888888889" bottom="0.388888888888889" header="0.509027777777778" footer="0.509027777777778"/>
  <pageSetup paperSize="9" orientation="portrait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43"/>
  <sheetViews>
    <sheetView workbookViewId="0">
      <selection activeCell="F16" sqref="F16:G16"/>
    </sheetView>
  </sheetViews>
  <sheetFormatPr defaultColWidth="9" defaultRowHeight="14.25" outlineLevelCol="3"/>
  <cols>
    <col min="1" max="1" width="41.5" style="246" customWidth="1"/>
    <col min="2" max="2" width="11.25" style="247" customWidth="1"/>
    <col min="3" max="3" width="13.125" style="283" customWidth="1"/>
    <col min="4" max="4" width="13.125" style="247" customWidth="1"/>
    <col min="5" max="16384" width="9" style="247"/>
  </cols>
  <sheetData>
    <row r="1" ht="34.5" customHeight="1" spans="1:4">
      <c r="A1" s="204" t="s">
        <v>478</v>
      </c>
      <c r="B1" s="204"/>
      <c r="C1" s="204"/>
      <c r="D1" s="204"/>
    </row>
    <row r="2" ht="28.5" customHeight="1" spans="1:4">
      <c r="A2" s="333" t="s">
        <v>445</v>
      </c>
      <c r="B2" s="286" t="s">
        <v>34</v>
      </c>
      <c r="C2" s="285" t="s">
        <v>5</v>
      </c>
      <c r="D2" s="286" t="s">
        <v>446</v>
      </c>
    </row>
    <row r="3" ht="36" customHeight="1" spans="1:4">
      <c r="A3" s="229" t="s">
        <v>479</v>
      </c>
      <c r="B3" s="347"/>
      <c r="C3" s="348"/>
      <c r="D3" s="232"/>
    </row>
    <row r="4" ht="18" customHeight="1" spans="1:4">
      <c r="A4" s="233" t="s">
        <v>448</v>
      </c>
      <c r="B4" s="222">
        <v>132</v>
      </c>
      <c r="C4" s="239">
        <v>5.6</v>
      </c>
      <c r="D4" s="298" t="s">
        <v>8</v>
      </c>
    </row>
    <row r="5" ht="18" customHeight="1" spans="1:4">
      <c r="A5" s="233" t="s">
        <v>449</v>
      </c>
      <c r="B5" s="222">
        <v>6</v>
      </c>
      <c r="C5" s="239">
        <v>-40</v>
      </c>
      <c r="D5" s="232">
        <v>9</v>
      </c>
    </row>
    <row r="6" ht="18" customHeight="1" spans="1:4">
      <c r="A6" s="219" t="s">
        <v>450</v>
      </c>
      <c r="B6" s="222">
        <v>14</v>
      </c>
      <c r="C6" s="239">
        <v>-6.7</v>
      </c>
      <c r="D6" s="232">
        <v>6</v>
      </c>
    </row>
    <row r="7" ht="18" customHeight="1" spans="1:4">
      <c r="A7" s="237" t="s">
        <v>451</v>
      </c>
      <c r="B7" s="222">
        <v>13</v>
      </c>
      <c r="C7" s="239">
        <v>85.7</v>
      </c>
      <c r="D7" s="232">
        <v>1</v>
      </c>
    </row>
    <row r="8" ht="18" customHeight="1" spans="1:4">
      <c r="A8" s="219" t="s">
        <v>452</v>
      </c>
      <c r="B8" s="222">
        <v>21</v>
      </c>
      <c r="C8" s="239">
        <v>10.5</v>
      </c>
      <c r="D8" s="232">
        <v>4</v>
      </c>
    </row>
    <row r="9" ht="18" customHeight="1" spans="1:4">
      <c r="A9" s="219" t="s">
        <v>454</v>
      </c>
      <c r="B9" s="222">
        <v>0</v>
      </c>
      <c r="C9" s="348">
        <v>0</v>
      </c>
      <c r="D9" s="232" t="s">
        <v>8</v>
      </c>
    </row>
    <row r="10" ht="18" customHeight="1" spans="1:4">
      <c r="A10" s="219" t="s">
        <v>455</v>
      </c>
      <c r="B10" s="222">
        <v>7</v>
      </c>
      <c r="C10" s="239">
        <v>-36.4</v>
      </c>
      <c r="D10" s="232">
        <v>8</v>
      </c>
    </row>
    <row r="11" ht="18" customHeight="1" spans="1:4">
      <c r="A11" s="219" t="s">
        <v>456</v>
      </c>
      <c r="B11" s="222">
        <v>15</v>
      </c>
      <c r="C11" s="239">
        <v>-6.3</v>
      </c>
      <c r="D11" s="232">
        <v>5</v>
      </c>
    </row>
    <row r="12" ht="18" customHeight="1" spans="1:4">
      <c r="A12" s="219" t="s">
        <v>457</v>
      </c>
      <c r="B12" s="222">
        <v>37</v>
      </c>
      <c r="C12" s="239">
        <v>15.6</v>
      </c>
      <c r="D12" s="232">
        <v>3</v>
      </c>
    </row>
    <row r="13" ht="18" customHeight="1" spans="1:4">
      <c r="A13" s="219" t="s">
        <v>458</v>
      </c>
      <c r="B13" s="222">
        <v>14</v>
      </c>
      <c r="C13" s="239">
        <v>40</v>
      </c>
      <c r="D13" s="232">
        <v>2</v>
      </c>
    </row>
    <row r="14" ht="18" customHeight="1" spans="1:4">
      <c r="A14" s="219" t="s">
        <v>468</v>
      </c>
      <c r="B14" s="222">
        <v>12</v>
      </c>
      <c r="C14" s="239">
        <v>-20</v>
      </c>
      <c r="D14" s="232">
        <v>7</v>
      </c>
    </row>
    <row r="15" ht="18" customHeight="1" spans="1:4">
      <c r="A15" s="229" t="s">
        <v>480</v>
      </c>
      <c r="B15" s="222"/>
      <c r="C15" s="239"/>
      <c r="D15" s="232"/>
    </row>
    <row r="16" ht="18" customHeight="1" spans="1:4">
      <c r="A16" s="233" t="s">
        <v>448</v>
      </c>
      <c r="B16" s="349">
        <v>2392.7391</v>
      </c>
      <c r="C16" s="239">
        <v>7</v>
      </c>
      <c r="D16" s="298" t="s">
        <v>8</v>
      </c>
    </row>
    <row r="17" ht="18" customHeight="1" spans="1:4">
      <c r="A17" s="233" t="s">
        <v>449</v>
      </c>
      <c r="B17" s="349">
        <v>75.1869</v>
      </c>
      <c r="C17" s="239">
        <v>6</v>
      </c>
      <c r="D17" s="232">
        <v>7</v>
      </c>
    </row>
    <row r="18" ht="18" customHeight="1" spans="1:4">
      <c r="A18" s="219" t="s">
        <v>450</v>
      </c>
      <c r="B18" s="349">
        <v>613.0897</v>
      </c>
      <c r="C18" s="239">
        <v>8.7</v>
      </c>
      <c r="D18" s="232">
        <v>6</v>
      </c>
    </row>
    <row r="19" ht="18" customHeight="1" spans="1:4">
      <c r="A19" s="237" t="s">
        <v>451</v>
      </c>
      <c r="B19" s="349">
        <v>274.3082</v>
      </c>
      <c r="C19" s="239">
        <v>23.2</v>
      </c>
      <c r="D19" s="232">
        <v>2</v>
      </c>
    </row>
    <row r="20" ht="18" customHeight="1" spans="1:4">
      <c r="A20" s="219" t="s">
        <v>452</v>
      </c>
      <c r="B20" s="349">
        <v>204.2952</v>
      </c>
      <c r="C20" s="239">
        <v>18.2</v>
      </c>
      <c r="D20" s="232">
        <v>5</v>
      </c>
    </row>
    <row r="21" ht="18" customHeight="1" spans="1:4">
      <c r="A21" s="219" t="s">
        <v>454</v>
      </c>
      <c r="B21" s="349">
        <v>135.7597</v>
      </c>
      <c r="C21" s="239">
        <v>-26.7</v>
      </c>
      <c r="D21" s="232">
        <v>10</v>
      </c>
    </row>
    <row r="22" ht="18" customHeight="1" spans="1:4">
      <c r="A22" s="219" t="s">
        <v>455</v>
      </c>
      <c r="B22" s="349">
        <v>26.2668</v>
      </c>
      <c r="C22" s="239">
        <v>30.9</v>
      </c>
      <c r="D22" s="232">
        <v>1</v>
      </c>
    </row>
    <row r="23" ht="18" customHeight="1" spans="1:4">
      <c r="A23" s="219" t="s">
        <v>456</v>
      </c>
      <c r="B23" s="349">
        <v>62.217</v>
      </c>
      <c r="C23" s="239">
        <v>-6.2</v>
      </c>
      <c r="D23" s="232">
        <v>8</v>
      </c>
    </row>
    <row r="24" ht="18" customHeight="1" spans="1:4">
      <c r="A24" s="219" t="s">
        <v>457</v>
      </c>
      <c r="B24" s="349">
        <v>169.0919</v>
      </c>
      <c r="C24" s="239">
        <v>22.6</v>
      </c>
      <c r="D24" s="232">
        <v>3</v>
      </c>
    </row>
    <row r="25" ht="18" customHeight="1" spans="1:4">
      <c r="A25" s="219" t="s">
        <v>458</v>
      </c>
      <c r="B25" s="349">
        <v>345.2747</v>
      </c>
      <c r="C25" s="239">
        <v>-8.8</v>
      </c>
      <c r="D25" s="232">
        <v>9</v>
      </c>
    </row>
    <row r="26" ht="18" customHeight="1" spans="1:4">
      <c r="A26" s="225" t="s">
        <v>468</v>
      </c>
      <c r="B26" s="349">
        <v>708.4456</v>
      </c>
      <c r="C26" s="239">
        <v>19.3</v>
      </c>
      <c r="D26" s="232">
        <v>4</v>
      </c>
    </row>
    <row r="27" spans="1:4">
      <c r="A27" s="346"/>
      <c r="B27" s="346"/>
      <c r="C27" s="346"/>
      <c r="D27" s="346"/>
    </row>
    <row r="33" spans="1:1">
      <c r="A33" s="305"/>
    </row>
    <row r="34" spans="1:1">
      <c r="A34" s="305"/>
    </row>
    <row r="35" spans="1:1">
      <c r="A35" s="305"/>
    </row>
    <row r="36" spans="1:1">
      <c r="A36" s="306"/>
    </row>
    <row r="37" spans="1:1">
      <c r="A37" s="307"/>
    </row>
    <row r="38" spans="1:1">
      <c r="A38" s="307"/>
    </row>
    <row r="39" spans="1:1">
      <c r="A39" s="307"/>
    </row>
    <row r="40" spans="1:1">
      <c r="A40" s="307"/>
    </row>
    <row r="41" spans="1:1">
      <c r="A41" s="307"/>
    </row>
    <row r="42" spans="1:1">
      <c r="A42" s="287"/>
    </row>
    <row r="43" spans="1:1">
      <c r="A43" s="305"/>
    </row>
  </sheetData>
  <mergeCells count="1">
    <mergeCell ref="A1:D1"/>
  </mergeCells>
  <pageMargins left="0.75" right="0.75" top="0.588888888888889" bottom="0.588888888888889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25"/>
  <sheetViews>
    <sheetView zoomScale="80" zoomScaleNormal="80" workbookViewId="0">
      <selection activeCell="AD12" sqref="AD12"/>
    </sheetView>
  </sheetViews>
  <sheetFormatPr defaultColWidth="9" defaultRowHeight="14.25" outlineLevelCol="3"/>
  <cols>
    <col min="1" max="1" width="28" customWidth="1"/>
    <col min="2" max="4" width="9.125" customWidth="1"/>
  </cols>
  <sheetData>
    <row r="1" ht="28.5" customHeight="1" spans="1:4">
      <c r="A1" s="741" t="s">
        <v>0</v>
      </c>
      <c r="B1" s="741"/>
      <c r="C1" s="741"/>
      <c r="D1" s="741"/>
    </row>
    <row r="2" ht="21" customHeight="1" spans="1:4">
      <c r="A2" s="742" t="s">
        <v>1</v>
      </c>
      <c r="B2" s="743" t="s">
        <v>2</v>
      </c>
      <c r="C2" s="744" t="s">
        <v>34</v>
      </c>
      <c r="D2" s="745"/>
    </row>
    <row r="3" ht="21" customHeight="1" spans="1:4">
      <c r="A3" s="746"/>
      <c r="B3" s="747"/>
      <c r="C3" s="748" t="s">
        <v>4</v>
      </c>
      <c r="D3" s="749" t="s">
        <v>5</v>
      </c>
    </row>
    <row r="4" ht="27.95" customHeight="1" spans="1:4">
      <c r="A4" s="750" t="s">
        <v>6</v>
      </c>
      <c r="B4" s="540" t="s">
        <v>7</v>
      </c>
      <c r="C4" s="751">
        <v>3008.39</v>
      </c>
      <c r="D4" s="510">
        <v>6</v>
      </c>
    </row>
    <row r="5" ht="27.95" customHeight="1" spans="1:4">
      <c r="A5" s="750" t="s">
        <v>9</v>
      </c>
      <c r="B5" s="540" t="s">
        <v>7</v>
      </c>
      <c r="C5" s="752">
        <v>2372.85</v>
      </c>
      <c r="D5" s="440">
        <v>5.1</v>
      </c>
    </row>
    <row r="6" ht="27.95" customHeight="1" spans="1:4">
      <c r="A6" s="750" t="s">
        <v>10</v>
      </c>
      <c r="B6" s="540" t="s">
        <v>7</v>
      </c>
      <c r="C6" s="752">
        <v>769.97</v>
      </c>
      <c r="D6" s="440">
        <v>5</v>
      </c>
    </row>
    <row r="7" ht="27.95" customHeight="1" spans="1:4">
      <c r="A7" s="750" t="s">
        <v>11</v>
      </c>
      <c r="B7" s="540" t="s">
        <v>7</v>
      </c>
      <c r="C7" s="752">
        <v>1260.12</v>
      </c>
      <c r="D7" s="440">
        <v>12.8</v>
      </c>
    </row>
    <row r="8" ht="27.95" customHeight="1" spans="1:4">
      <c r="A8" s="750" t="s">
        <v>12</v>
      </c>
      <c r="B8" s="540" t="s">
        <v>7</v>
      </c>
      <c r="C8" s="752">
        <v>496.41</v>
      </c>
      <c r="D8" s="440">
        <v>56.3</v>
      </c>
    </row>
    <row r="9" ht="27.95" customHeight="1" spans="1:4">
      <c r="A9" s="753" t="s">
        <v>13</v>
      </c>
      <c r="B9" s="543" t="s">
        <v>14</v>
      </c>
      <c r="C9" s="751">
        <v>547.35</v>
      </c>
      <c r="D9" s="510">
        <v>-7.1</v>
      </c>
    </row>
    <row r="10" ht="27.95" customHeight="1" spans="1:4">
      <c r="A10" s="753" t="s">
        <v>15</v>
      </c>
      <c r="B10" s="543" t="s">
        <v>7</v>
      </c>
      <c r="C10" s="751">
        <v>1697.3</v>
      </c>
      <c r="D10" s="510">
        <v>10.3</v>
      </c>
    </row>
    <row r="11" ht="27.95" customHeight="1" spans="1:4">
      <c r="A11" s="753" t="s">
        <v>16</v>
      </c>
      <c r="B11" s="543" t="s">
        <v>7</v>
      </c>
      <c r="C11" s="751">
        <v>121.83</v>
      </c>
      <c r="D11" s="510">
        <v>15.4</v>
      </c>
    </row>
    <row r="12" ht="27.95" customHeight="1" spans="1:4">
      <c r="A12" s="753" t="s">
        <v>17</v>
      </c>
      <c r="B12" s="543" t="s">
        <v>7</v>
      </c>
      <c r="C12" s="751">
        <v>477.17</v>
      </c>
      <c r="D12" s="510">
        <v>11.9</v>
      </c>
    </row>
    <row r="13" ht="27.95" customHeight="1" spans="1:4">
      <c r="A13" s="753" t="s">
        <v>18</v>
      </c>
      <c r="B13" s="543" t="s">
        <v>7</v>
      </c>
      <c r="C13" s="751">
        <v>509.85</v>
      </c>
      <c r="D13" s="510">
        <v>8.2</v>
      </c>
    </row>
    <row r="14" ht="27.95" customHeight="1" spans="1:4">
      <c r="A14" s="753" t="s">
        <v>35</v>
      </c>
      <c r="B14" s="543" t="s">
        <v>7</v>
      </c>
      <c r="C14" s="754">
        <v>377.03</v>
      </c>
      <c r="D14" s="510">
        <v>9</v>
      </c>
    </row>
    <row r="15" ht="27.95" customHeight="1" spans="1:4">
      <c r="A15" s="753" t="s">
        <v>20</v>
      </c>
      <c r="B15" s="543" t="s">
        <v>7</v>
      </c>
      <c r="C15" s="754">
        <v>205.03</v>
      </c>
      <c r="D15" s="510">
        <v>-5.5</v>
      </c>
    </row>
    <row r="16" ht="27.95" customHeight="1" spans="1:4">
      <c r="A16" s="753" t="s">
        <v>21</v>
      </c>
      <c r="B16" s="543" t="s">
        <v>7</v>
      </c>
      <c r="C16" s="755">
        <v>172</v>
      </c>
      <c r="D16" s="510">
        <v>33.5</v>
      </c>
    </row>
    <row r="17" ht="27.95" customHeight="1" spans="1:4">
      <c r="A17" s="753" t="s">
        <v>22</v>
      </c>
      <c r="B17" s="543" t="s">
        <v>23</v>
      </c>
      <c r="C17" s="756">
        <v>8529</v>
      </c>
      <c r="D17" s="510">
        <v>5.4</v>
      </c>
    </row>
    <row r="18" ht="27.95" customHeight="1" spans="1:4">
      <c r="A18" s="753" t="s">
        <v>24</v>
      </c>
      <c r="B18" s="543" t="s">
        <v>7</v>
      </c>
      <c r="C18" s="751">
        <v>3343.59</v>
      </c>
      <c r="D18" s="510">
        <v>9.2</v>
      </c>
    </row>
    <row r="19" ht="27.95" customHeight="1" spans="1:4">
      <c r="A19" s="753" t="s">
        <v>25</v>
      </c>
      <c r="B19" s="540" t="s">
        <v>7</v>
      </c>
      <c r="C19" s="751">
        <v>2127.66</v>
      </c>
      <c r="D19" s="510">
        <v>8.4</v>
      </c>
    </row>
    <row r="20" ht="27.95" customHeight="1" spans="1:4">
      <c r="A20" s="750" t="s">
        <v>26</v>
      </c>
      <c r="B20" s="540" t="s">
        <v>7</v>
      </c>
      <c r="C20" s="751">
        <v>2164.16</v>
      </c>
      <c r="D20" s="510">
        <v>15.8</v>
      </c>
    </row>
    <row r="21" ht="27.95" customHeight="1" spans="1:4">
      <c r="A21" s="750" t="s">
        <v>27</v>
      </c>
      <c r="B21" s="540" t="s">
        <v>28</v>
      </c>
      <c r="C21" s="510">
        <v>101.6</v>
      </c>
      <c r="D21" s="510">
        <v>1.6</v>
      </c>
    </row>
    <row r="22" ht="27.95" customHeight="1" spans="1:4">
      <c r="A22" s="750" t="s">
        <v>29</v>
      </c>
      <c r="B22" s="540" t="s">
        <v>28</v>
      </c>
      <c r="C22" s="510">
        <v>103.4</v>
      </c>
      <c r="D22" s="510">
        <v>3.4</v>
      </c>
    </row>
    <row r="23" ht="27.95" customHeight="1" spans="1:4">
      <c r="A23" s="750" t="s">
        <v>30</v>
      </c>
      <c r="B23" s="540" t="s">
        <v>31</v>
      </c>
      <c r="C23" s="752">
        <v>196.43</v>
      </c>
      <c r="D23" s="510">
        <v>8.3</v>
      </c>
    </row>
    <row r="24" ht="27.95" customHeight="1" spans="1:4">
      <c r="A24" s="750" t="s">
        <v>32</v>
      </c>
      <c r="B24" s="540" t="s">
        <v>31</v>
      </c>
      <c r="C24" s="757">
        <v>119.75</v>
      </c>
      <c r="D24" s="758">
        <v>6</v>
      </c>
    </row>
    <row r="25" ht="21" customHeight="1" spans="1:4">
      <c r="A25" s="453" t="s">
        <v>33</v>
      </c>
      <c r="B25" s="453"/>
      <c r="C25" s="453"/>
      <c r="D25" s="453"/>
    </row>
  </sheetData>
  <mergeCells count="5">
    <mergeCell ref="A1:D1"/>
    <mergeCell ref="C2:D2"/>
    <mergeCell ref="A25:D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44"/>
  <sheetViews>
    <sheetView workbookViewId="0">
      <selection activeCell="G25" sqref="G25"/>
    </sheetView>
  </sheetViews>
  <sheetFormatPr defaultColWidth="9" defaultRowHeight="14.25" outlineLevelCol="3"/>
  <cols>
    <col min="1" max="1" width="41.5" style="246" customWidth="1"/>
    <col min="2" max="2" width="11.25" style="247" customWidth="1"/>
    <col min="3" max="3" width="13.125" style="283" customWidth="1"/>
    <col min="4" max="4" width="13.125" style="247" customWidth="1"/>
    <col min="5" max="16384" width="9" style="247"/>
  </cols>
  <sheetData>
    <row r="1" ht="34.5" customHeight="1" spans="1:4">
      <c r="A1" s="204" t="s">
        <v>481</v>
      </c>
      <c r="B1" s="204"/>
      <c r="C1" s="204"/>
      <c r="D1" s="204"/>
    </row>
    <row r="2" ht="20.25" customHeight="1" spans="1:4">
      <c r="A2" s="112"/>
      <c r="B2" s="112"/>
      <c r="C2" s="112"/>
      <c r="D2" s="90" t="s">
        <v>37</v>
      </c>
    </row>
    <row r="3" ht="28.5" customHeight="1" spans="1:4">
      <c r="A3" s="91" t="s">
        <v>445</v>
      </c>
      <c r="B3" s="149" t="s">
        <v>34</v>
      </c>
      <c r="C3" s="92" t="s">
        <v>5</v>
      </c>
      <c r="D3" s="149" t="s">
        <v>446</v>
      </c>
    </row>
    <row r="4" ht="18" customHeight="1" spans="1:4">
      <c r="A4" s="309" t="s">
        <v>482</v>
      </c>
      <c r="B4" s="343"/>
      <c r="C4" s="344"/>
      <c r="D4" s="241"/>
    </row>
    <row r="5" ht="18" customHeight="1" spans="1:4">
      <c r="A5" s="210" t="s">
        <v>448</v>
      </c>
      <c r="B5" s="345">
        <v>232.6002</v>
      </c>
      <c r="C5" s="239">
        <v>39.7</v>
      </c>
      <c r="D5" s="298" t="s">
        <v>8</v>
      </c>
    </row>
    <row r="6" ht="18" customHeight="1" spans="1:4">
      <c r="A6" s="210" t="s">
        <v>449</v>
      </c>
      <c r="B6" s="345">
        <v>3.5431</v>
      </c>
      <c r="C6" s="239">
        <v>49.7</v>
      </c>
      <c r="D6" s="232">
        <v>3</v>
      </c>
    </row>
    <row r="7" ht="18" customHeight="1" spans="1:4">
      <c r="A7" s="217" t="s">
        <v>450</v>
      </c>
      <c r="B7" s="345">
        <v>26.3473</v>
      </c>
      <c r="C7" s="239">
        <v>-16.2</v>
      </c>
      <c r="D7" s="232">
        <v>8</v>
      </c>
    </row>
    <row r="8" ht="18" customHeight="1" spans="1:4">
      <c r="A8" s="218" t="s">
        <v>451</v>
      </c>
      <c r="B8" s="345">
        <v>111.8906</v>
      </c>
      <c r="C8" s="239">
        <v>63.4</v>
      </c>
      <c r="D8" s="232">
        <v>2</v>
      </c>
    </row>
    <row r="9" ht="18" customHeight="1" spans="1:4">
      <c r="A9" s="217" t="s">
        <v>452</v>
      </c>
      <c r="B9" s="345">
        <v>23.1194</v>
      </c>
      <c r="C9" s="239">
        <v>-3.2</v>
      </c>
      <c r="D9" s="232">
        <v>5</v>
      </c>
    </row>
    <row r="10" ht="18" customHeight="1" spans="1:4">
      <c r="A10" s="217" t="s">
        <v>454</v>
      </c>
      <c r="B10" s="345">
        <v>3.4455</v>
      </c>
      <c r="C10" s="239">
        <v>-12.1</v>
      </c>
      <c r="D10" s="232">
        <v>6</v>
      </c>
    </row>
    <row r="11" ht="18" customHeight="1" spans="1:4">
      <c r="A11" s="217" t="s">
        <v>455</v>
      </c>
      <c r="B11" s="345">
        <v>2.5173</v>
      </c>
      <c r="C11" s="239">
        <v>5.7</v>
      </c>
      <c r="D11" s="232">
        <v>4</v>
      </c>
    </row>
    <row r="12" ht="18" customHeight="1" spans="1:4">
      <c r="A12" s="219" t="s">
        <v>456</v>
      </c>
      <c r="B12" s="345">
        <v>-3.9134</v>
      </c>
      <c r="C12" s="239">
        <v>-648.8</v>
      </c>
      <c r="D12" s="232">
        <v>10</v>
      </c>
    </row>
    <row r="13" ht="18" customHeight="1" spans="1:4">
      <c r="A13" s="219" t="s">
        <v>457</v>
      </c>
      <c r="B13" s="345">
        <v>0.7263</v>
      </c>
      <c r="C13" s="239">
        <v>-240.6</v>
      </c>
      <c r="D13" s="232">
        <v>9</v>
      </c>
    </row>
    <row r="14" ht="18" customHeight="1" spans="1:4">
      <c r="A14" s="219" t="s">
        <v>458</v>
      </c>
      <c r="B14" s="345">
        <v>6.226</v>
      </c>
      <c r="C14" s="239">
        <v>-14.5</v>
      </c>
      <c r="D14" s="232">
        <v>7</v>
      </c>
    </row>
    <row r="15" ht="18" customHeight="1" spans="1:4">
      <c r="A15" s="219" t="s">
        <v>468</v>
      </c>
      <c r="B15" s="345">
        <v>81.9371</v>
      </c>
      <c r="C15" s="239">
        <v>66.6</v>
      </c>
      <c r="D15" s="232">
        <v>1</v>
      </c>
    </row>
    <row r="16" ht="22.5" customHeight="1" spans="1:4">
      <c r="A16" s="205" t="s">
        <v>483</v>
      </c>
      <c r="B16" s="103"/>
      <c r="C16" s="239"/>
      <c r="D16" s="232"/>
    </row>
    <row r="17" ht="18" customHeight="1" spans="1:4">
      <c r="A17" s="210" t="s">
        <v>448</v>
      </c>
      <c r="B17" s="345">
        <v>20.055</v>
      </c>
      <c r="C17" s="239">
        <v>60</v>
      </c>
      <c r="D17" s="298" t="s">
        <v>8</v>
      </c>
    </row>
    <row r="18" ht="18" customHeight="1" spans="1:4">
      <c r="A18" s="210" t="s">
        <v>449</v>
      </c>
      <c r="B18" s="345">
        <v>2.0433</v>
      </c>
      <c r="C18" s="239">
        <v>-27.4</v>
      </c>
      <c r="D18" s="232">
        <v>9</v>
      </c>
    </row>
    <row r="19" ht="18" customHeight="1" spans="1:4">
      <c r="A19" s="217" t="s">
        <v>450</v>
      </c>
      <c r="B19" s="345">
        <v>26.3473</v>
      </c>
      <c r="C19" s="239">
        <v>-16.2</v>
      </c>
      <c r="D19" s="232">
        <v>7</v>
      </c>
    </row>
    <row r="20" ht="18" customHeight="1" spans="1:4">
      <c r="A20" s="218" t="s">
        <v>451</v>
      </c>
      <c r="B20" s="345">
        <v>0.7843</v>
      </c>
      <c r="C20" s="239">
        <v>203.5</v>
      </c>
      <c r="D20" s="232">
        <v>3</v>
      </c>
    </row>
    <row r="21" ht="18" customHeight="1" spans="1:4">
      <c r="A21" s="217" t="s">
        <v>452</v>
      </c>
      <c r="B21" s="345">
        <v>0.9622</v>
      </c>
      <c r="C21" s="239">
        <v>36</v>
      </c>
      <c r="D21" s="232">
        <v>5</v>
      </c>
    </row>
    <row r="22" ht="18" customHeight="1" spans="1:4">
      <c r="A22" s="217" t="s">
        <v>454</v>
      </c>
      <c r="B22" s="345">
        <v>0</v>
      </c>
      <c r="C22" s="213" t="s">
        <v>8</v>
      </c>
      <c r="D22" s="232" t="s">
        <v>8</v>
      </c>
    </row>
    <row r="23" ht="18" customHeight="1" spans="1:4">
      <c r="A23" s="217" t="s">
        <v>455</v>
      </c>
      <c r="B23" s="345">
        <v>0.5724</v>
      </c>
      <c r="C23" s="239">
        <v>-23.5</v>
      </c>
      <c r="D23" s="232">
        <v>8</v>
      </c>
    </row>
    <row r="24" ht="18" customHeight="1" spans="1:4">
      <c r="A24" s="219" t="s">
        <v>456</v>
      </c>
      <c r="B24" s="345">
        <v>5.6295</v>
      </c>
      <c r="C24" s="239">
        <v>600.4</v>
      </c>
      <c r="D24" s="232">
        <v>2</v>
      </c>
    </row>
    <row r="25" ht="18" customHeight="1" spans="1:4">
      <c r="A25" s="219" t="s">
        <v>457</v>
      </c>
      <c r="B25" s="345">
        <v>4.7069</v>
      </c>
      <c r="C25" s="239">
        <v>11.5</v>
      </c>
      <c r="D25" s="232">
        <v>6</v>
      </c>
    </row>
    <row r="26" ht="18" customHeight="1" spans="1:4">
      <c r="A26" s="219" t="s">
        <v>458</v>
      </c>
      <c r="B26" s="345">
        <v>0.969</v>
      </c>
      <c r="C26" s="239">
        <v>722.6</v>
      </c>
      <c r="D26" s="232">
        <v>1</v>
      </c>
    </row>
    <row r="27" ht="18" customHeight="1" spans="1:4">
      <c r="A27" s="219" t="s">
        <v>468</v>
      </c>
      <c r="B27" s="345">
        <v>1.6158</v>
      </c>
      <c r="C27" s="239">
        <v>67.1</v>
      </c>
      <c r="D27" s="232">
        <v>4</v>
      </c>
    </row>
    <row r="28" spans="1:4">
      <c r="A28" s="346"/>
      <c r="B28" s="346"/>
      <c r="C28" s="346"/>
      <c r="D28" s="346"/>
    </row>
    <row r="34" spans="1:1">
      <c r="A34" s="305"/>
    </row>
    <row r="35" spans="1:1">
      <c r="A35" s="305"/>
    </row>
    <row r="36" spans="1:1">
      <c r="A36" s="305"/>
    </row>
    <row r="37" spans="1:1">
      <c r="A37" s="306"/>
    </row>
    <row r="38" spans="1:1">
      <c r="A38" s="307"/>
    </row>
    <row r="39" spans="1:1">
      <c r="A39" s="307"/>
    </row>
    <row r="40" spans="1:1">
      <c r="A40" s="307"/>
    </row>
    <row r="41" spans="1:1">
      <c r="A41" s="307"/>
    </row>
    <row r="42" spans="1:1">
      <c r="A42" s="307"/>
    </row>
    <row r="43" spans="1:1">
      <c r="A43" s="287"/>
    </row>
    <row r="44" spans="1:1">
      <c r="A44" s="305"/>
    </row>
  </sheetData>
  <mergeCells count="1">
    <mergeCell ref="A1:D1"/>
  </mergeCells>
  <pageMargins left="0.75" right="0.75" top="0.588888888888889" bottom="0.588888888888889" header="0.509027777777778" footer="0.509027777777778"/>
  <pageSetup paperSize="9" orientation="portrait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E6" sqref="E6"/>
    </sheetView>
  </sheetViews>
  <sheetFormatPr defaultColWidth="9" defaultRowHeight="14.25" outlineLevelCol="4"/>
  <cols>
    <col min="1" max="1" width="39" style="45" customWidth="1"/>
    <col min="2" max="2" width="13.125" style="44" customWidth="1"/>
    <col min="3" max="3" width="13.125" style="308" customWidth="1"/>
    <col min="4" max="4" width="13.125" style="44" customWidth="1"/>
    <col min="5" max="5" width="9.75" style="44" customWidth="1"/>
    <col min="6" max="16384" width="9" style="44"/>
  </cols>
  <sheetData>
    <row r="1" ht="34.5" customHeight="1" spans="1:5">
      <c r="A1" s="204" t="s">
        <v>484</v>
      </c>
      <c r="B1" s="204"/>
      <c r="C1" s="204"/>
      <c r="D1" s="204"/>
    </row>
    <row r="2" ht="20.25" customHeight="1" spans="1:5">
      <c r="A2" s="112"/>
      <c r="B2" s="112"/>
      <c r="C2" s="112"/>
      <c r="D2" s="90" t="s">
        <v>37</v>
      </c>
    </row>
    <row r="3" ht="28.5" customHeight="1" spans="1:5">
      <c r="A3" s="91" t="s">
        <v>445</v>
      </c>
      <c r="B3" s="149" t="s">
        <v>34</v>
      </c>
      <c r="C3" s="92" t="s">
        <v>5</v>
      </c>
      <c r="D3" s="149" t="s">
        <v>446</v>
      </c>
      <c r="E3" s="52"/>
    </row>
    <row r="4" ht="18" customHeight="1" spans="1:5">
      <c r="A4" s="205" t="s">
        <v>485</v>
      </c>
      <c r="B4" s="220"/>
      <c r="C4" s="221"/>
      <c r="D4" s="232"/>
      <c r="E4" s="52"/>
    </row>
    <row r="5" ht="18" customHeight="1" spans="1:5">
      <c r="A5" s="210" t="s">
        <v>448</v>
      </c>
      <c r="B5" s="345">
        <v>422.2561</v>
      </c>
      <c r="C5" s="239">
        <v>24.6</v>
      </c>
      <c r="D5" s="298" t="s">
        <v>8</v>
      </c>
      <c r="E5" s="52"/>
    </row>
    <row r="6" ht="18" customHeight="1" spans="1:5">
      <c r="A6" s="210" t="s">
        <v>449</v>
      </c>
      <c r="B6" s="345">
        <v>7.0007</v>
      </c>
      <c r="C6" s="239">
        <v>33.7</v>
      </c>
      <c r="D6" s="232">
        <v>4</v>
      </c>
      <c r="E6" s="52"/>
    </row>
    <row r="7" ht="18" customHeight="1" spans="1:5">
      <c r="A7" s="217" t="s">
        <v>450</v>
      </c>
      <c r="B7" s="345">
        <v>130.5685</v>
      </c>
      <c r="C7" s="239">
        <v>-3.1</v>
      </c>
      <c r="D7" s="232">
        <v>7</v>
      </c>
      <c r="E7" s="52"/>
    </row>
    <row r="8" ht="18" customHeight="1" spans="1:5">
      <c r="A8" s="218" t="s">
        <v>451</v>
      </c>
      <c r="B8" s="345">
        <v>146.0018</v>
      </c>
      <c r="C8" s="239">
        <v>54.4</v>
      </c>
      <c r="D8" s="232">
        <v>2</v>
      </c>
      <c r="E8" s="52"/>
    </row>
    <row r="9" ht="18" customHeight="1" spans="1:5">
      <c r="A9" s="217" t="s">
        <v>452</v>
      </c>
      <c r="B9" s="345">
        <v>25.4053</v>
      </c>
      <c r="C9" s="239">
        <v>-2.4</v>
      </c>
      <c r="D9" s="232">
        <v>6</v>
      </c>
      <c r="E9" s="52"/>
    </row>
    <row r="10" ht="18" customHeight="1" spans="1:5">
      <c r="A10" s="217" t="s">
        <v>454</v>
      </c>
      <c r="B10" s="345">
        <v>6.442</v>
      </c>
      <c r="C10" s="239">
        <v>-5.4</v>
      </c>
      <c r="D10" s="232">
        <v>8</v>
      </c>
      <c r="E10" s="52"/>
    </row>
    <row r="11" ht="18" customHeight="1" spans="1:5">
      <c r="A11" s="217" t="s">
        <v>455</v>
      </c>
      <c r="B11" s="345">
        <v>2.9269</v>
      </c>
      <c r="C11" s="239">
        <v>19.2</v>
      </c>
      <c r="D11" s="232">
        <v>5</v>
      </c>
      <c r="E11" s="52"/>
    </row>
    <row r="12" ht="18" customHeight="1" spans="1:5">
      <c r="A12" s="219" t="s">
        <v>456</v>
      </c>
      <c r="B12" s="345">
        <v>-3.1445</v>
      </c>
      <c r="C12" s="239">
        <v>-307.8</v>
      </c>
      <c r="D12" s="232">
        <v>10</v>
      </c>
      <c r="E12" s="52"/>
    </row>
    <row r="13" ht="18" customHeight="1" spans="1:5">
      <c r="A13" s="219" t="s">
        <v>457</v>
      </c>
      <c r="B13" s="345">
        <v>4.266</v>
      </c>
      <c r="C13" s="239">
        <v>48.4</v>
      </c>
      <c r="D13" s="232">
        <v>3</v>
      </c>
      <c r="E13" s="52"/>
    </row>
    <row r="14" ht="18" customHeight="1" spans="1:5">
      <c r="A14" s="219" t="s">
        <v>458</v>
      </c>
      <c r="B14" s="345">
        <v>11.0972</v>
      </c>
      <c r="C14" s="239">
        <v>-19.6</v>
      </c>
      <c r="D14" s="232">
        <v>9</v>
      </c>
      <c r="E14" s="52"/>
    </row>
    <row r="15" ht="18" customHeight="1" spans="1:5">
      <c r="A15" s="219" t="s">
        <v>468</v>
      </c>
      <c r="B15" s="345">
        <v>106.1286</v>
      </c>
      <c r="C15" s="239">
        <v>61.2</v>
      </c>
      <c r="D15" s="232">
        <v>1</v>
      </c>
      <c r="E15" s="52"/>
    </row>
    <row r="16" ht="18" customHeight="1" spans="1:5">
      <c r="A16" s="309" t="s">
        <v>486</v>
      </c>
      <c r="B16" s="103"/>
      <c r="C16" s="344"/>
      <c r="D16" s="241"/>
    </row>
    <row r="17" ht="18" customHeight="1" spans="1:4">
      <c r="A17" s="210" t="s">
        <v>448</v>
      </c>
      <c r="B17" s="345">
        <v>2630.6758</v>
      </c>
      <c r="C17" s="239">
        <v>3.3</v>
      </c>
      <c r="D17" s="298" t="s">
        <v>8</v>
      </c>
    </row>
    <row r="18" ht="18" customHeight="1" spans="1:4">
      <c r="A18" s="210" t="s">
        <v>449</v>
      </c>
      <c r="B18" s="345">
        <v>10.3931</v>
      </c>
      <c r="C18" s="239">
        <v>-23.1</v>
      </c>
      <c r="D18" s="232">
        <v>10</v>
      </c>
    </row>
    <row r="19" ht="18" customHeight="1" spans="1:4">
      <c r="A19" s="217" t="s">
        <v>450</v>
      </c>
      <c r="B19" s="345">
        <v>373.5271</v>
      </c>
      <c r="C19" s="239">
        <v>18.6</v>
      </c>
      <c r="D19" s="232">
        <v>4</v>
      </c>
    </row>
    <row r="20" ht="18" customHeight="1" spans="1:4">
      <c r="A20" s="218" t="s">
        <v>451</v>
      </c>
      <c r="B20" s="345">
        <v>419.4466</v>
      </c>
      <c r="C20" s="239">
        <v>-5.4</v>
      </c>
      <c r="D20" s="232">
        <v>9</v>
      </c>
    </row>
    <row r="21" ht="18" customHeight="1" spans="1:4">
      <c r="A21" s="217" t="s">
        <v>452</v>
      </c>
      <c r="B21" s="345">
        <v>296.8172</v>
      </c>
      <c r="C21" s="239">
        <v>2.5</v>
      </c>
      <c r="D21" s="232">
        <v>6</v>
      </c>
    </row>
    <row r="22" ht="18" customHeight="1" spans="1:4">
      <c r="A22" s="217" t="s">
        <v>454</v>
      </c>
      <c r="B22" s="345">
        <v>73.9707</v>
      </c>
      <c r="C22" s="239">
        <v>20</v>
      </c>
      <c r="D22" s="232">
        <v>3</v>
      </c>
    </row>
    <row r="23" ht="18" customHeight="1" spans="1:4">
      <c r="A23" s="217" t="s">
        <v>455</v>
      </c>
      <c r="B23" s="345">
        <v>98.8521</v>
      </c>
      <c r="C23" s="239">
        <v>23.6</v>
      </c>
      <c r="D23" s="232">
        <v>1</v>
      </c>
    </row>
    <row r="24" ht="18" customHeight="1" spans="1:4">
      <c r="A24" s="219" t="s">
        <v>456</v>
      </c>
      <c r="B24" s="345">
        <v>202.3159</v>
      </c>
      <c r="C24" s="239">
        <v>11.4</v>
      </c>
      <c r="D24" s="232">
        <v>5</v>
      </c>
    </row>
    <row r="25" ht="18" customHeight="1" spans="1:4">
      <c r="A25" s="219" t="s">
        <v>457</v>
      </c>
      <c r="B25" s="345">
        <v>165.6742</v>
      </c>
      <c r="C25" s="239">
        <v>0.6</v>
      </c>
      <c r="D25" s="232">
        <v>7</v>
      </c>
    </row>
    <row r="26" ht="18" customHeight="1" spans="1:4">
      <c r="A26" s="219" t="s">
        <v>458</v>
      </c>
      <c r="B26" s="345">
        <v>141.6658</v>
      </c>
      <c r="C26" s="239">
        <v>21.4</v>
      </c>
      <c r="D26" s="232">
        <v>2</v>
      </c>
    </row>
    <row r="27" ht="18" customHeight="1" spans="1:4">
      <c r="A27" s="219" t="s">
        <v>468</v>
      </c>
      <c r="B27" s="345">
        <v>1026.555</v>
      </c>
      <c r="C27" s="239">
        <v>-0.4</v>
      </c>
      <c r="D27" s="232">
        <v>8</v>
      </c>
    </row>
    <row r="28" spans="1:4">
      <c r="A28" s="312"/>
      <c r="B28" s="312"/>
      <c r="C28" s="312"/>
      <c r="D28" s="312"/>
    </row>
    <row r="34" spans="1:1">
      <c r="A34" s="313"/>
    </row>
    <row r="35" spans="1:1">
      <c r="A35" s="313"/>
    </row>
    <row r="36" spans="1:1">
      <c r="A36" s="313"/>
    </row>
    <row r="37" spans="1:1">
      <c r="A37" s="314"/>
    </row>
    <row r="38" spans="1:1">
      <c r="A38" s="315"/>
    </row>
    <row r="39" spans="1:1">
      <c r="A39" s="315"/>
    </row>
    <row r="40" spans="1:1">
      <c r="A40" s="315"/>
    </row>
    <row r="41" spans="1:1">
      <c r="A41" s="315"/>
    </row>
    <row r="42" spans="1:1">
      <c r="A42" s="307"/>
    </row>
    <row r="43" spans="1:1">
      <c r="A43" s="52"/>
    </row>
    <row r="44" spans="1:1">
      <c r="A44" s="313"/>
    </row>
  </sheetData>
  <mergeCells count="1">
    <mergeCell ref="A1:D1"/>
  </mergeCells>
  <pageMargins left="0.75" right="0.75" top="0.588888888888889" bottom="0.588888888888889" header="0.509027777777778" footer="0.509027777777778"/>
  <pageSetup paperSize="9" orientation="portrait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G19" sqref="G19"/>
    </sheetView>
  </sheetViews>
  <sheetFormatPr defaultColWidth="9" defaultRowHeight="14.25" outlineLevelCol="4"/>
  <cols>
    <col min="1" max="1" width="39" style="45" customWidth="1"/>
    <col min="2" max="2" width="13.125" style="44" customWidth="1"/>
    <col min="3" max="3" width="13.125" style="308" customWidth="1"/>
    <col min="4" max="4" width="13.125" style="44" customWidth="1"/>
    <col min="5" max="5" width="9.75" style="44" customWidth="1"/>
    <col min="6" max="16384" width="9" style="44"/>
  </cols>
  <sheetData>
    <row r="1" ht="34.5" customHeight="1" spans="1:5">
      <c r="A1" s="204" t="s">
        <v>487</v>
      </c>
      <c r="B1" s="204"/>
      <c r="C1" s="204"/>
      <c r="D1" s="204"/>
    </row>
    <row r="2" ht="20.25" customHeight="1" spans="1:5">
      <c r="A2" s="112"/>
      <c r="B2" s="112"/>
      <c r="C2" s="112"/>
      <c r="D2" s="90" t="s">
        <v>37</v>
      </c>
    </row>
    <row r="3" ht="28.5" customHeight="1" spans="1:5">
      <c r="A3" s="91" t="s">
        <v>445</v>
      </c>
      <c r="B3" s="149" t="s">
        <v>34</v>
      </c>
      <c r="C3" s="92" t="s">
        <v>5</v>
      </c>
      <c r="D3" s="149" t="s">
        <v>446</v>
      </c>
      <c r="E3" s="52"/>
    </row>
    <row r="4" ht="18" customHeight="1" spans="1:5">
      <c r="A4" s="205" t="s">
        <v>488</v>
      </c>
      <c r="B4" s="220"/>
      <c r="C4" s="221"/>
      <c r="D4" s="232"/>
      <c r="E4" s="52"/>
    </row>
    <row r="5" ht="18" customHeight="1" spans="1:5">
      <c r="A5" s="210" t="s">
        <v>448</v>
      </c>
      <c r="B5" s="103">
        <v>1734.0745</v>
      </c>
      <c r="C5" s="239">
        <v>-2.7</v>
      </c>
      <c r="D5" s="298" t="s">
        <v>8</v>
      </c>
      <c r="E5" s="52"/>
    </row>
    <row r="6" ht="18" customHeight="1" spans="1:5">
      <c r="A6" s="210" t="s">
        <v>449</v>
      </c>
      <c r="B6" s="103">
        <v>62.3042</v>
      </c>
      <c r="C6" s="239">
        <v>-20.5</v>
      </c>
      <c r="D6" s="232">
        <v>10</v>
      </c>
      <c r="E6" s="52"/>
    </row>
    <row r="7" ht="18" customHeight="1" spans="1:5">
      <c r="A7" s="217" t="s">
        <v>450</v>
      </c>
      <c r="B7" s="103">
        <v>215.8689</v>
      </c>
      <c r="C7" s="239">
        <v>25</v>
      </c>
      <c r="D7" s="232">
        <v>2</v>
      </c>
      <c r="E7" s="52"/>
    </row>
    <row r="8" ht="18" customHeight="1" spans="1:5">
      <c r="A8" s="218" t="s">
        <v>451</v>
      </c>
      <c r="B8" s="103">
        <v>319.6245</v>
      </c>
      <c r="C8" s="239">
        <v>-15.7</v>
      </c>
      <c r="D8" s="232">
        <v>9</v>
      </c>
      <c r="E8" s="52"/>
    </row>
    <row r="9" ht="18" customHeight="1" spans="1:5">
      <c r="A9" s="217" t="s">
        <v>452</v>
      </c>
      <c r="B9" s="103">
        <v>172.8921</v>
      </c>
      <c r="C9" s="239">
        <v>-7.3</v>
      </c>
      <c r="D9" s="232">
        <v>7</v>
      </c>
      <c r="E9" s="52"/>
    </row>
    <row r="10" ht="18" customHeight="1" spans="1:5">
      <c r="A10" s="217" t="s">
        <v>454</v>
      </c>
      <c r="B10" s="103">
        <v>41.9074</v>
      </c>
      <c r="C10" s="239">
        <v>46.3</v>
      </c>
      <c r="D10" s="232">
        <v>1</v>
      </c>
      <c r="E10" s="52"/>
    </row>
    <row r="11" ht="18" customHeight="1" spans="1:5">
      <c r="A11" s="217" t="s">
        <v>455</v>
      </c>
      <c r="B11" s="103">
        <v>73.2868</v>
      </c>
      <c r="C11" s="239">
        <v>13.8</v>
      </c>
      <c r="D11" s="232">
        <v>4</v>
      </c>
      <c r="E11" s="52"/>
    </row>
    <row r="12" ht="18" customHeight="1" spans="1:5">
      <c r="A12" s="219" t="s">
        <v>456</v>
      </c>
      <c r="B12" s="103">
        <v>204.7188</v>
      </c>
      <c r="C12" s="239">
        <v>11.3</v>
      </c>
      <c r="D12" s="232">
        <v>5</v>
      </c>
      <c r="E12" s="52"/>
    </row>
    <row r="13" ht="18" customHeight="1" spans="1:5">
      <c r="A13" s="219" t="s">
        <v>457</v>
      </c>
      <c r="B13" s="103">
        <v>144.242</v>
      </c>
      <c r="C13" s="239">
        <v>2.5</v>
      </c>
      <c r="D13" s="232">
        <v>6</v>
      </c>
      <c r="E13" s="52"/>
    </row>
    <row r="14" ht="18" customHeight="1" spans="1:5">
      <c r="A14" s="219" t="s">
        <v>458</v>
      </c>
      <c r="B14" s="103">
        <v>91.2175</v>
      </c>
      <c r="C14" s="239">
        <v>24.4</v>
      </c>
      <c r="D14" s="232">
        <v>3</v>
      </c>
      <c r="E14" s="52"/>
    </row>
    <row r="15" ht="18" customHeight="1" spans="1:5">
      <c r="A15" s="219" t="s">
        <v>468</v>
      </c>
      <c r="B15" s="103">
        <v>568.9136</v>
      </c>
      <c r="C15" s="239">
        <v>-10.5</v>
      </c>
      <c r="D15" s="232">
        <v>8</v>
      </c>
      <c r="E15" s="52"/>
    </row>
    <row r="16" ht="18" customHeight="1" spans="1:5">
      <c r="A16" s="205" t="s">
        <v>489</v>
      </c>
      <c r="B16" s="103"/>
      <c r="C16" s="239"/>
      <c r="D16" s="232"/>
      <c r="E16" s="52"/>
    </row>
    <row r="17" ht="18" customHeight="1" spans="1:5">
      <c r="A17" s="210" t="s">
        <v>448</v>
      </c>
      <c r="B17" s="103">
        <v>161.1051</v>
      </c>
      <c r="C17" s="239">
        <v>-6.8</v>
      </c>
      <c r="D17" s="298" t="s">
        <v>8</v>
      </c>
      <c r="E17" s="52"/>
    </row>
    <row r="18" ht="18" customHeight="1" spans="1:5">
      <c r="A18" s="210" t="s">
        <v>449</v>
      </c>
      <c r="B18" s="103">
        <v>10.3931</v>
      </c>
      <c r="C18" s="239">
        <v>-23.1</v>
      </c>
      <c r="D18" s="232">
        <v>9</v>
      </c>
      <c r="E18" s="52"/>
    </row>
    <row r="19" ht="18" customHeight="1" spans="1:5">
      <c r="A19" s="217" t="s">
        <v>450</v>
      </c>
      <c r="B19" s="103">
        <v>29.4141</v>
      </c>
      <c r="C19" s="239">
        <v>20.2</v>
      </c>
      <c r="D19" s="232">
        <v>3</v>
      </c>
      <c r="E19" s="52"/>
    </row>
    <row r="20" ht="18" customHeight="1" spans="1:5">
      <c r="A20" s="218" t="s">
        <v>451</v>
      </c>
      <c r="B20" s="103">
        <v>14.4149</v>
      </c>
      <c r="C20" s="239">
        <v>9</v>
      </c>
      <c r="D20" s="232">
        <v>4</v>
      </c>
      <c r="E20" s="52"/>
    </row>
    <row r="21" ht="18" customHeight="1" spans="1:5">
      <c r="A21" s="217" t="s">
        <v>452</v>
      </c>
      <c r="B21" s="103">
        <v>12.1925</v>
      </c>
      <c r="C21" s="239">
        <v>-21.3</v>
      </c>
      <c r="D21" s="232">
        <v>8</v>
      </c>
      <c r="E21" s="52"/>
    </row>
    <row r="22" ht="18" customHeight="1" spans="1:5">
      <c r="A22" s="217" t="s">
        <v>454</v>
      </c>
      <c r="B22" s="103">
        <v>15.9656</v>
      </c>
      <c r="C22" s="239">
        <v>32.2</v>
      </c>
      <c r="D22" s="232">
        <v>2</v>
      </c>
      <c r="E22" s="52"/>
    </row>
    <row r="23" ht="18" customHeight="1" spans="1:5">
      <c r="A23" s="217" t="s">
        <v>455</v>
      </c>
      <c r="B23" s="103">
        <v>4.6109</v>
      </c>
      <c r="C23" s="239">
        <v>37.6</v>
      </c>
      <c r="D23" s="232">
        <v>1</v>
      </c>
      <c r="E23" s="52"/>
    </row>
    <row r="24" ht="18" customHeight="1" spans="1:5">
      <c r="A24" s="219" t="s">
        <v>456</v>
      </c>
      <c r="B24" s="103">
        <v>6.3714</v>
      </c>
      <c r="C24" s="239">
        <v>-46.3</v>
      </c>
      <c r="D24" s="232">
        <v>10</v>
      </c>
      <c r="E24" s="52"/>
    </row>
    <row r="25" ht="18" customHeight="1" spans="1:5">
      <c r="A25" s="219" t="s">
        <v>457</v>
      </c>
      <c r="B25" s="103">
        <v>17.1713</v>
      </c>
      <c r="C25" s="239">
        <v>-2.5</v>
      </c>
      <c r="D25" s="232">
        <v>5</v>
      </c>
      <c r="E25" s="52"/>
    </row>
    <row r="26" ht="18" customHeight="1" spans="1:5">
      <c r="A26" s="219" t="s">
        <v>458</v>
      </c>
      <c r="B26" s="103">
        <v>26.932</v>
      </c>
      <c r="C26" s="239">
        <v>-3</v>
      </c>
      <c r="D26" s="232">
        <v>6</v>
      </c>
      <c r="E26" s="52"/>
    </row>
    <row r="27" ht="18" customHeight="1" spans="1:5">
      <c r="A27" s="225" t="s">
        <v>468</v>
      </c>
      <c r="B27" s="103">
        <v>49.5864</v>
      </c>
      <c r="C27" s="239">
        <v>-12.7</v>
      </c>
      <c r="D27" s="232">
        <v>7</v>
      </c>
      <c r="E27" s="52"/>
    </row>
    <row r="28" spans="1:5">
      <c r="A28" s="312"/>
      <c r="B28" s="312"/>
      <c r="C28" s="312"/>
      <c r="D28" s="312"/>
    </row>
    <row r="34" spans="1:1">
      <c r="A34" s="313"/>
    </row>
    <row r="35" spans="1:1">
      <c r="A35" s="313"/>
    </row>
    <row r="36" spans="1:1">
      <c r="A36" s="313"/>
    </row>
    <row r="37" spans="1:1">
      <c r="A37" s="314"/>
    </row>
    <row r="38" spans="1:1">
      <c r="A38" s="315"/>
    </row>
    <row r="39" spans="1:1">
      <c r="A39" s="315"/>
    </row>
    <row r="40" spans="1:1">
      <c r="A40" s="315"/>
    </row>
    <row r="41" spans="1:1">
      <c r="A41" s="315"/>
    </row>
    <row r="42" spans="1:1">
      <c r="A42" s="307"/>
    </row>
    <row r="43" spans="1:1">
      <c r="A43" s="52"/>
    </row>
    <row r="44" spans="1:1">
      <c r="A44" s="313"/>
    </row>
  </sheetData>
  <mergeCells count="1">
    <mergeCell ref="A1:D1"/>
  </mergeCells>
  <pageMargins left="0.75" right="0.75" top="0.588888888888889" bottom="0.588888888888889" header="0.509027777777778" footer="0.509027777777778"/>
  <pageSetup paperSize="9" orientation="portrait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F20" sqref="F20"/>
    </sheetView>
  </sheetViews>
  <sheetFormatPr defaultColWidth="9" defaultRowHeight="14.25" outlineLevelCol="4"/>
  <cols>
    <col min="1" max="1" width="39" style="45" customWidth="1"/>
    <col min="2" max="2" width="13.125" customWidth="1"/>
    <col min="3" max="3" width="13.125" style="342" customWidth="1"/>
    <col min="4" max="4" width="13.125" customWidth="1"/>
    <col min="5" max="5" width="9.75" customWidth="1"/>
  </cols>
  <sheetData>
    <row r="1" ht="34.5" customHeight="1" spans="1:5">
      <c r="A1" s="204" t="s">
        <v>490</v>
      </c>
      <c r="B1" s="204"/>
      <c r="C1" s="204"/>
      <c r="D1" s="204"/>
      <c r="E1" s="44"/>
    </row>
    <row r="2" ht="20.25" customHeight="1" spans="1:5">
      <c r="A2" s="112"/>
      <c r="B2" s="112"/>
      <c r="C2" s="228" t="s">
        <v>37</v>
      </c>
      <c r="D2" s="228"/>
      <c r="E2" s="44"/>
    </row>
    <row r="3" ht="28.5" customHeight="1" spans="1:5">
      <c r="A3" s="91" t="s">
        <v>445</v>
      </c>
      <c r="B3" s="149" t="s">
        <v>34</v>
      </c>
      <c r="C3" s="92" t="s">
        <v>5</v>
      </c>
      <c r="D3" s="149" t="s">
        <v>446</v>
      </c>
      <c r="E3" s="52"/>
    </row>
    <row r="4" ht="18" customHeight="1" spans="1:5">
      <c r="A4" s="309" t="s">
        <v>491</v>
      </c>
      <c r="B4" s="343"/>
      <c r="C4" s="344"/>
      <c r="D4" s="241"/>
      <c r="E4" s="44"/>
    </row>
    <row r="5" ht="18" customHeight="1" spans="1:5">
      <c r="A5" s="210" t="s">
        <v>448</v>
      </c>
      <c r="B5" s="103">
        <v>80.1306</v>
      </c>
      <c r="C5" s="239">
        <v>-7.7</v>
      </c>
      <c r="D5" s="298" t="s">
        <v>8</v>
      </c>
      <c r="E5" s="44"/>
    </row>
    <row r="6" ht="18" customHeight="1" spans="1:5">
      <c r="A6" s="210" t="s">
        <v>449</v>
      </c>
      <c r="B6" s="103">
        <v>2.2801</v>
      </c>
      <c r="C6" s="239">
        <v>-4.8</v>
      </c>
      <c r="D6" s="232">
        <v>7</v>
      </c>
      <c r="E6" s="44"/>
    </row>
    <row r="7" ht="18" customHeight="1" spans="1:5">
      <c r="A7" s="217" t="s">
        <v>450</v>
      </c>
      <c r="B7" s="103">
        <v>22.6482</v>
      </c>
      <c r="C7" s="239">
        <v>11</v>
      </c>
      <c r="D7" s="232">
        <v>2</v>
      </c>
      <c r="E7" s="44"/>
    </row>
    <row r="8" ht="18" customHeight="1" spans="1:5">
      <c r="A8" s="218" t="s">
        <v>451</v>
      </c>
      <c r="B8" s="103">
        <v>4.6318</v>
      </c>
      <c r="C8" s="239">
        <v>-55.6</v>
      </c>
      <c r="D8" s="232">
        <v>10</v>
      </c>
      <c r="E8" s="44"/>
    </row>
    <row r="9" ht="18" customHeight="1" spans="1:5">
      <c r="A9" s="217" t="s">
        <v>452</v>
      </c>
      <c r="B9" s="103">
        <v>9.5487</v>
      </c>
      <c r="C9" s="239">
        <v>-28.5</v>
      </c>
      <c r="D9" s="232">
        <v>9</v>
      </c>
      <c r="E9" s="44"/>
    </row>
    <row r="10" ht="18" customHeight="1" spans="1:5">
      <c r="A10" s="217" t="s">
        <v>454</v>
      </c>
      <c r="B10" s="103">
        <v>6.2079</v>
      </c>
      <c r="C10" s="239">
        <v>5.5</v>
      </c>
      <c r="D10" s="232">
        <v>5</v>
      </c>
      <c r="E10" s="44"/>
    </row>
    <row r="11" ht="18" customHeight="1" spans="1:5">
      <c r="A11" s="217" t="s">
        <v>455</v>
      </c>
      <c r="B11" s="103">
        <v>1.2073</v>
      </c>
      <c r="C11" s="239">
        <v>17.9</v>
      </c>
      <c r="D11" s="232">
        <v>1</v>
      </c>
      <c r="E11" s="44"/>
    </row>
    <row r="12" ht="18" customHeight="1" spans="1:5">
      <c r="A12" s="219" t="s">
        <v>456</v>
      </c>
      <c r="B12" s="103">
        <v>4.9627</v>
      </c>
      <c r="C12" s="239">
        <v>5.6</v>
      </c>
      <c r="D12" s="232">
        <v>4</v>
      </c>
      <c r="E12" s="44"/>
    </row>
    <row r="13" ht="18" customHeight="1" spans="1:5">
      <c r="A13" s="219" t="s">
        <v>457</v>
      </c>
      <c r="B13" s="103">
        <v>11.0987</v>
      </c>
      <c r="C13" s="239">
        <v>-0.8</v>
      </c>
      <c r="D13" s="232">
        <v>6</v>
      </c>
      <c r="E13" s="44"/>
    </row>
    <row r="14" ht="18" customHeight="1" spans="1:5">
      <c r="A14" s="219" t="s">
        <v>458</v>
      </c>
      <c r="B14" s="103">
        <v>7.2192</v>
      </c>
      <c r="C14" s="239">
        <v>-11.7</v>
      </c>
      <c r="D14" s="232">
        <v>8</v>
      </c>
      <c r="E14" s="44"/>
    </row>
    <row r="15" ht="18" customHeight="1" spans="1:5">
      <c r="A15" s="219" t="s">
        <v>468</v>
      </c>
      <c r="B15" s="103">
        <v>28.0658</v>
      </c>
      <c r="C15" s="239">
        <v>7</v>
      </c>
      <c r="D15" s="232">
        <v>3</v>
      </c>
      <c r="E15" s="44"/>
    </row>
    <row r="16" ht="18" customHeight="1" spans="1:5">
      <c r="A16" s="205" t="s">
        <v>492</v>
      </c>
      <c r="B16" s="103"/>
      <c r="C16" s="239"/>
      <c r="D16" s="232"/>
      <c r="E16" s="52"/>
    </row>
    <row r="17" ht="18" customHeight="1" spans="1:5">
      <c r="A17" s="210" t="s">
        <v>448</v>
      </c>
      <c r="B17" s="103">
        <v>33.1839</v>
      </c>
      <c r="C17" s="239">
        <v>13.9</v>
      </c>
      <c r="D17" s="298" t="s">
        <v>8</v>
      </c>
      <c r="E17" s="52"/>
    </row>
    <row r="18" ht="18" customHeight="1" spans="1:5">
      <c r="A18" s="210" t="s">
        <v>449</v>
      </c>
      <c r="B18" s="103">
        <v>1.7147</v>
      </c>
      <c r="C18" s="239">
        <v>6.2</v>
      </c>
      <c r="D18" s="232">
        <v>8</v>
      </c>
      <c r="E18" s="52"/>
    </row>
    <row r="19" ht="18" customHeight="1" spans="1:5">
      <c r="A19" s="217" t="s">
        <v>450</v>
      </c>
      <c r="B19" s="103">
        <v>3.0962</v>
      </c>
      <c r="C19" s="239">
        <v>29.6</v>
      </c>
      <c r="D19" s="232">
        <v>5</v>
      </c>
      <c r="E19" s="52"/>
    </row>
    <row r="20" ht="18" customHeight="1" spans="1:5">
      <c r="A20" s="218" t="s">
        <v>451</v>
      </c>
      <c r="B20" s="103">
        <v>0.2441</v>
      </c>
      <c r="C20" s="239">
        <v>61.8</v>
      </c>
      <c r="D20" s="232">
        <v>1</v>
      </c>
      <c r="E20" s="52"/>
    </row>
    <row r="21" ht="18" customHeight="1" spans="1:5">
      <c r="A21" s="217" t="s">
        <v>452</v>
      </c>
      <c r="B21" s="103">
        <v>7.8558</v>
      </c>
      <c r="C21" s="239">
        <v>26.7</v>
      </c>
      <c r="D21" s="232">
        <v>6</v>
      </c>
      <c r="E21" s="52"/>
    </row>
    <row r="22" ht="18" customHeight="1" spans="1:5">
      <c r="A22" s="217" t="s">
        <v>454</v>
      </c>
      <c r="B22" s="103">
        <v>1.001</v>
      </c>
      <c r="C22" s="239">
        <v>-1.3</v>
      </c>
      <c r="D22" s="232">
        <v>10</v>
      </c>
      <c r="E22" s="52"/>
    </row>
    <row r="23" ht="18" customHeight="1" spans="1:5">
      <c r="A23" s="217" t="s">
        <v>455</v>
      </c>
      <c r="B23" s="103">
        <v>1.6589</v>
      </c>
      <c r="C23" s="239">
        <v>23.2</v>
      </c>
      <c r="D23" s="232">
        <v>7</v>
      </c>
      <c r="E23" s="52"/>
    </row>
    <row r="24" ht="18" customHeight="1" spans="1:5">
      <c r="A24" s="219" t="s">
        <v>456</v>
      </c>
      <c r="B24" s="103">
        <v>1.2093</v>
      </c>
      <c r="C24" s="239">
        <v>45.5</v>
      </c>
      <c r="D24" s="232">
        <v>4</v>
      </c>
      <c r="E24" s="52"/>
    </row>
    <row r="25" ht="18" customHeight="1" spans="1:5">
      <c r="A25" s="219" t="s">
        <v>457</v>
      </c>
      <c r="B25" s="103">
        <v>2.9486</v>
      </c>
      <c r="C25" s="239">
        <v>51.3</v>
      </c>
      <c r="D25" s="232">
        <v>2</v>
      </c>
      <c r="E25" s="52"/>
    </row>
    <row r="26" ht="18" customHeight="1" spans="1:5">
      <c r="A26" s="219" t="s">
        <v>458</v>
      </c>
      <c r="B26" s="103">
        <v>1.3962</v>
      </c>
      <c r="C26" s="239">
        <v>49.3</v>
      </c>
      <c r="D26" s="232">
        <v>3</v>
      </c>
      <c r="E26" s="52"/>
    </row>
    <row r="27" ht="18" customHeight="1" spans="1:5">
      <c r="A27" s="219" t="s">
        <v>468</v>
      </c>
      <c r="B27" s="103">
        <v>19.5451</v>
      </c>
      <c r="C27" s="239">
        <v>5.5</v>
      </c>
      <c r="D27" s="232">
        <v>9</v>
      </c>
      <c r="E27" s="52"/>
    </row>
    <row r="28" spans="1:5">
      <c r="A28" s="312"/>
      <c r="B28" s="312"/>
      <c r="C28" s="312"/>
      <c r="D28" s="312"/>
    </row>
    <row r="34" spans="1:1">
      <c r="A34" s="313"/>
    </row>
    <row r="35" spans="1:1">
      <c r="A35" s="313"/>
    </row>
    <row r="36" spans="1:1">
      <c r="A36" s="313"/>
    </row>
    <row r="37" spans="1:1">
      <c r="A37" s="314"/>
    </row>
    <row r="38" spans="1:1">
      <c r="A38" s="315"/>
    </row>
    <row r="39" spans="1:1">
      <c r="A39" s="315"/>
    </row>
    <row r="40" spans="1:1">
      <c r="A40" s="315"/>
    </row>
    <row r="41" spans="1:1">
      <c r="A41" s="315"/>
    </row>
    <row r="42" spans="1:1">
      <c r="A42" s="307"/>
    </row>
    <row r="43" spans="1:1">
      <c r="A43" s="52"/>
    </row>
    <row r="44" spans="1:1">
      <c r="A44" s="313"/>
    </row>
  </sheetData>
  <mergeCells count="2">
    <mergeCell ref="A1:D1"/>
    <mergeCell ref="C2:D2"/>
  </mergeCells>
  <pageMargins left="0.75" right="0.75" top="0.588888888888889" bottom="0.588888888888889" header="0.509027777777778" footer="0.509027777777778"/>
  <pageSetup paperSize="9" orientation="portrait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3"/>
  <sheetViews>
    <sheetView workbookViewId="0">
      <selection activeCell="E8" sqref="E8"/>
    </sheetView>
  </sheetViews>
  <sheetFormatPr defaultColWidth="9" defaultRowHeight="14.25" outlineLevelCol="4"/>
  <cols>
    <col min="1" max="1" width="44.5" style="246" customWidth="1"/>
    <col min="2" max="2" width="13.125" style="247" customWidth="1"/>
    <col min="3" max="3" width="13.125" style="283" customWidth="1"/>
    <col min="4" max="4" width="13.125" style="247" customWidth="1"/>
    <col min="5" max="5" width="9.75" style="247" customWidth="1"/>
    <col min="6" max="16384" width="9" style="247"/>
  </cols>
  <sheetData>
    <row r="1" ht="34.5" customHeight="1" spans="1:5">
      <c r="A1" s="204" t="s">
        <v>493</v>
      </c>
      <c r="B1" s="204"/>
      <c r="C1" s="204"/>
      <c r="D1" s="204"/>
    </row>
    <row r="2" ht="28.5" customHeight="1" spans="1:5">
      <c r="A2" s="333" t="s">
        <v>445</v>
      </c>
      <c r="B2" s="149" t="s">
        <v>34</v>
      </c>
      <c r="C2" s="285" t="s">
        <v>5</v>
      </c>
      <c r="D2" s="286" t="s">
        <v>446</v>
      </c>
      <c r="E2" s="287"/>
    </row>
    <row r="3" ht="15.95" customHeight="1" spans="1:5">
      <c r="A3" s="229" t="s">
        <v>494</v>
      </c>
      <c r="B3" s="334"/>
      <c r="C3" s="335"/>
      <c r="D3" s="232"/>
      <c r="E3" s="287"/>
    </row>
    <row r="4" ht="15.95" customHeight="1" spans="1:5">
      <c r="A4" s="233" t="s">
        <v>448</v>
      </c>
      <c r="B4" s="336">
        <v>123979</v>
      </c>
      <c r="C4" s="239">
        <v>-7.9</v>
      </c>
      <c r="D4" s="298" t="s">
        <v>8</v>
      </c>
      <c r="E4" s="287"/>
    </row>
    <row r="5" ht="15.95" customHeight="1" spans="1:5">
      <c r="A5" s="233" t="s">
        <v>449</v>
      </c>
      <c r="B5" s="336">
        <v>5254</v>
      </c>
      <c r="C5" s="239">
        <v>-14.6</v>
      </c>
      <c r="D5" s="232">
        <v>10</v>
      </c>
      <c r="E5" s="287"/>
    </row>
    <row r="6" ht="15.95" customHeight="1" spans="1:5">
      <c r="A6" s="219" t="s">
        <v>450</v>
      </c>
      <c r="B6" s="336">
        <v>18705</v>
      </c>
      <c r="C6" s="239">
        <v>-2.3</v>
      </c>
      <c r="D6" s="232">
        <v>3</v>
      </c>
      <c r="E6" s="287"/>
    </row>
    <row r="7" ht="15.95" customHeight="1" spans="1:5">
      <c r="A7" s="237" t="s">
        <v>451</v>
      </c>
      <c r="B7" s="336">
        <v>9607</v>
      </c>
      <c r="C7" s="239">
        <v>-7.5</v>
      </c>
      <c r="D7" s="232">
        <v>6</v>
      </c>
      <c r="E7" s="287"/>
    </row>
    <row r="8" ht="15.95" customHeight="1" spans="1:5">
      <c r="A8" s="219" t="s">
        <v>452</v>
      </c>
      <c r="B8" s="336">
        <v>13011</v>
      </c>
      <c r="C8" s="239">
        <v>-13.2</v>
      </c>
      <c r="D8" s="232">
        <v>9</v>
      </c>
      <c r="E8" s="287"/>
    </row>
    <row r="9" ht="15.95" customHeight="1" spans="1:5">
      <c r="A9" s="219" t="s">
        <v>454</v>
      </c>
      <c r="B9" s="336">
        <v>11784</v>
      </c>
      <c r="C9" s="239">
        <v>-2.1</v>
      </c>
      <c r="D9" s="232">
        <v>2</v>
      </c>
      <c r="E9" s="287"/>
    </row>
    <row r="10" ht="15.95" customHeight="1" spans="1:5">
      <c r="A10" s="219" t="s">
        <v>455</v>
      </c>
      <c r="B10" s="336">
        <v>2647</v>
      </c>
      <c r="C10" s="239">
        <v>-8</v>
      </c>
      <c r="D10" s="232">
        <v>7</v>
      </c>
      <c r="E10" s="287"/>
    </row>
    <row r="11" ht="15.95" customHeight="1" spans="1:5">
      <c r="A11" s="219" t="s">
        <v>456</v>
      </c>
      <c r="B11" s="336">
        <v>8242</v>
      </c>
      <c r="C11" s="239">
        <v>-7.1</v>
      </c>
      <c r="D11" s="232">
        <v>5</v>
      </c>
      <c r="E11" s="287"/>
    </row>
    <row r="12" ht="15.95" customHeight="1" spans="1:5">
      <c r="A12" s="219" t="s">
        <v>457</v>
      </c>
      <c r="B12" s="336">
        <v>13399</v>
      </c>
      <c r="C12" s="239">
        <v>-4.2</v>
      </c>
      <c r="D12" s="232">
        <v>4</v>
      </c>
      <c r="E12" s="287"/>
    </row>
    <row r="13" ht="15.95" customHeight="1" spans="1:5">
      <c r="A13" s="219" t="s">
        <v>458</v>
      </c>
      <c r="B13" s="336">
        <v>32361</v>
      </c>
      <c r="C13" s="239">
        <v>-12.7</v>
      </c>
      <c r="D13" s="232">
        <v>8</v>
      </c>
      <c r="E13" s="287"/>
    </row>
    <row r="14" ht="15.95" customHeight="1" spans="1:5">
      <c r="A14" s="219" t="s">
        <v>468</v>
      </c>
      <c r="B14" s="336">
        <v>20390</v>
      </c>
      <c r="C14" s="239">
        <v>-2</v>
      </c>
      <c r="D14" s="232">
        <v>1</v>
      </c>
      <c r="E14" s="287"/>
    </row>
    <row r="15" ht="15.95" customHeight="1" spans="1:5">
      <c r="A15" s="229" t="s">
        <v>495</v>
      </c>
      <c r="B15" s="337"/>
      <c r="C15" s="338"/>
      <c r="D15" s="339"/>
    </row>
    <row r="16" ht="15.95" customHeight="1" spans="1:5">
      <c r="A16" s="233" t="s">
        <v>448</v>
      </c>
      <c r="B16" s="311">
        <v>17.46</v>
      </c>
      <c r="C16" s="239">
        <v>2.8</v>
      </c>
      <c r="D16" s="298" t="s">
        <v>8</v>
      </c>
    </row>
    <row r="17" ht="15.95" customHeight="1" spans="1:4">
      <c r="A17" s="233" t="s">
        <v>449</v>
      </c>
      <c r="B17" s="311">
        <v>5.78</v>
      </c>
      <c r="C17" s="239">
        <v>1.6</v>
      </c>
      <c r="D17" s="232">
        <f t="shared" ref="D17:D26" si="0">RANK(C17,$C$17:$C$26,0)</f>
        <v>5</v>
      </c>
    </row>
    <row r="18" ht="15.95" customHeight="1" spans="1:4">
      <c r="A18" s="219" t="s">
        <v>450</v>
      </c>
      <c r="B18" s="311">
        <v>40.67</v>
      </c>
      <c r="C18" s="239">
        <v>-5</v>
      </c>
      <c r="D18" s="232">
        <f t="shared" si="0"/>
        <v>10</v>
      </c>
    </row>
    <row r="19" ht="15.95" customHeight="1" spans="1:4">
      <c r="A19" s="237" t="s">
        <v>451</v>
      </c>
      <c r="B19" s="311">
        <v>33.97</v>
      </c>
      <c r="C19" s="239">
        <v>11.1</v>
      </c>
      <c r="D19" s="232">
        <f t="shared" si="0"/>
        <v>1</v>
      </c>
    </row>
    <row r="20" ht="15.95" customHeight="1" spans="1:4">
      <c r="A20" s="219" t="s">
        <v>452</v>
      </c>
      <c r="B20" s="311">
        <v>18.63</v>
      </c>
      <c r="C20" s="239">
        <v>6.1</v>
      </c>
      <c r="D20" s="232">
        <f t="shared" si="0"/>
        <v>2</v>
      </c>
    </row>
    <row r="21" ht="15.95" customHeight="1" spans="1:4">
      <c r="A21" s="219" t="s">
        <v>454</v>
      </c>
      <c r="B21" s="311">
        <v>10.76</v>
      </c>
      <c r="C21" s="239">
        <v>-3.1</v>
      </c>
      <c r="D21" s="232">
        <f t="shared" si="0"/>
        <v>8</v>
      </c>
    </row>
    <row r="22" ht="15.95" customHeight="1" spans="1:4">
      <c r="A22" s="219" t="s">
        <v>455</v>
      </c>
      <c r="B22" s="311">
        <v>4.98</v>
      </c>
      <c r="C22" s="239">
        <v>0.2</v>
      </c>
      <c r="D22" s="232">
        <f t="shared" si="0"/>
        <v>6</v>
      </c>
    </row>
    <row r="23" ht="15.95" customHeight="1" spans="1:4">
      <c r="A23" s="219" t="s">
        <v>456</v>
      </c>
      <c r="B23" s="311">
        <v>-1.01</v>
      </c>
      <c r="C23" s="239">
        <v>-2.5</v>
      </c>
      <c r="D23" s="232">
        <f t="shared" si="0"/>
        <v>7</v>
      </c>
    </row>
    <row r="24" ht="15.95" customHeight="1" spans="1:4">
      <c r="A24" s="219" t="s">
        <v>457</v>
      </c>
      <c r="B24" s="311">
        <v>4.24</v>
      </c>
      <c r="C24" s="239">
        <v>1.7</v>
      </c>
      <c r="D24" s="232">
        <f t="shared" si="0"/>
        <v>4</v>
      </c>
    </row>
    <row r="25" ht="15.95" customHeight="1" spans="1:4">
      <c r="A25" s="219" t="s">
        <v>458</v>
      </c>
      <c r="B25" s="311">
        <v>9.83</v>
      </c>
      <c r="C25" s="239">
        <v>-3.1</v>
      </c>
      <c r="D25" s="232">
        <f t="shared" si="0"/>
        <v>8</v>
      </c>
    </row>
    <row r="26" ht="15.95" customHeight="1" spans="1:4">
      <c r="A26" s="225" t="s">
        <v>468</v>
      </c>
      <c r="B26" s="340">
        <v>12.01</v>
      </c>
      <c r="C26" s="244">
        <v>3.9</v>
      </c>
      <c r="D26" s="245">
        <f t="shared" si="0"/>
        <v>3</v>
      </c>
    </row>
    <row r="27" spans="1:4">
      <c r="A27" s="341"/>
      <c r="B27" s="341"/>
      <c r="C27" s="341"/>
      <c r="D27" s="341"/>
    </row>
    <row r="33" spans="1:1">
      <c r="A33" s="305"/>
    </row>
    <row r="34" spans="1:1">
      <c r="A34" s="305"/>
    </row>
    <row r="35" spans="1:1">
      <c r="A35" s="305"/>
    </row>
    <row r="36" spans="1:1">
      <c r="A36" s="306"/>
    </row>
    <row r="37" spans="1:1">
      <c r="A37" s="307"/>
    </row>
    <row r="38" spans="1:1">
      <c r="A38" s="307"/>
    </row>
    <row r="39" spans="1:1">
      <c r="A39" s="307"/>
    </row>
    <row r="40" spans="1:1">
      <c r="A40" s="307"/>
    </row>
    <row r="41" spans="1:1">
      <c r="A41" s="307"/>
    </row>
    <row r="42" spans="1:1">
      <c r="A42" s="287"/>
    </row>
    <row r="43" spans="1:1">
      <c r="A43" s="305"/>
    </row>
  </sheetData>
  <mergeCells count="1">
    <mergeCell ref="A1:D1"/>
  </mergeCells>
  <pageMargins left="0.55" right="0.55" top="0.979166666666667" bottom="0.979166666666667" header="0.509027777777778" footer="0.509027777777778"/>
  <pageSetup paperSize="9" orientation="portrait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28"/>
  <sheetViews>
    <sheetView workbookViewId="0">
      <selection activeCell="D2" sqref="D2"/>
    </sheetView>
  </sheetViews>
  <sheetFormatPr defaultColWidth="9" defaultRowHeight="14.25" outlineLevelCol="3"/>
  <cols>
    <col min="1" max="1" width="42.125" style="44" customWidth="1"/>
    <col min="2" max="2" width="12.25" style="44" customWidth="1"/>
    <col min="3" max="3" width="13.25" style="44" customWidth="1"/>
    <col min="4" max="4" width="15" style="44" customWidth="1"/>
    <col min="5" max="16384" width="9" style="44"/>
  </cols>
  <sheetData>
    <row r="1" ht="36" customHeight="1" spans="1:4">
      <c r="A1" s="204" t="s">
        <v>496</v>
      </c>
      <c r="B1" s="204"/>
      <c r="C1" s="204"/>
      <c r="D1" s="204"/>
    </row>
    <row r="2" ht="18" customHeight="1" spans="1:4">
      <c r="A2" s="316"/>
      <c r="B2" s="316"/>
      <c r="C2" s="316"/>
      <c r="D2" s="317" t="s">
        <v>422</v>
      </c>
    </row>
    <row r="3" ht="27.95" customHeight="1" spans="1:4">
      <c r="A3" s="318" t="s">
        <v>445</v>
      </c>
      <c r="B3" s="319" t="s">
        <v>34</v>
      </c>
      <c r="C3" s="320" t="s">
        <v>5</v>
      </c>
      <c r="D3" s="319" t="s">
        <v>446</v>
      </c>
    </row>
    <row r="4" ht="15.95" customHeight="1" spans="1:4">
      <c r="A4" s="321" t="s">
        <v>497</v>
      </c>
      <c r="B4" s="322"/>
      <c r="C4" s="323"/>
      <c r="D4" s="324"/>
    </row>
    <row r="5" ht="15.95" customHeight="1" spans="1:4">
      <c r="A5" s="325" t="s">
        <v>448</v>
      </c>
      <c r="B5" s="326">
        <v>117.35</v>
      </c>
      <c r="C5" s="327">
        <v>-2.6</v>
      </c>
      <c r="D5" s="328" t="s">
        <v>8</v>
      </c>
    </row>
    <row r="6" ht="15.95" customHeight="1" spans="1:4">
      <c r="A6" s="325" t="s">
        <v>449</v>
      </c>
      <c r="B6" s="326">
        <v>104.38</v>
      </c>
      <c r="C6" s="327">
        <v>2.1</v>
      </c>
      <c r="D6" s="324">
        <v>3</v>
      </c>
    </row>
    <row r="7" ht="15.95" customHeight="1" spans="1:4">
      <c r="A7" s="329" t="s">
        <v>450</v>
      </c>
      <c r="B7" s="326">
        <v>112.7</v>
      </c>
      <c r="C7" s="327">
        <v>1.8</v>
      </c>
      <c r="D7" s="324">
        <v>4</v>
      </c>
    </row>
    <row r="8" ht="15.95" customHeight="1" spans="1:4">
      <c r="A8" s="330" t="s">
        <v>451</v>
      </c>
      <c r="B8" s="326">
        <v>155.9</v>
      </c>
      <c r="C8" s="327">
        <v>-45.1</v>
      </c>
      <c r="D8" s="324">
        <v>10</v>
      </c>
    </row>
    <row r="9" ht="15.95" customHeight="1" spans="1:4">
      <c r="A9" s="329" t="s">
        <v>452</v>
      </c>
      <c r="B9" s="326">
        <v>118.09</v>
      </c>
      <c r="C9" s="327">
        <v>-2.9</v>
      </c>
      <c r="D9" s="324">
        <v>6</v>
      </c>
    </row>
    <row r="10" ht="15.95" customHeight="1" spans="1:4">
      <c r="A10" s="329" t="s">
        <v>454</v>
      </c>
      <c r="B10" s="326">
        <v>97.21</v>
      </c>
      <c r="C10" s="327">
        <v>3.9</v>
      </c>
      <c r="D10" s="324">
        <v>2</v>
      </c>
    </row>
    <row r="11" ht="15.95" customHeight="1" spans="1:4">
      <c r="A11" s="329" t="s">
        <v>455</v>
      </c>
      <c r="B11" s="326">
        <v>164.6</v>
      </c>
      <c r="C11" s="327">
        <v>-31.8</v>
      </c>
      <c r="D11" s="324">
        <v>9</v>
      </c>
    </row>
    <row r="12" ht="15.95" customHeight="1" spans="1:4">
      <c r="A12" s="331" t="s">
        <v>456</v>
      </c>
      <c r="B12" s="326">
        <v>105.8</v>
      </c>
      <c r="C12" s="327">
        <v>23.7</v>
      </c>
      <c r="D12" s="324">
        <v>1</v>
      </c>
    </row>
    <row r="13" ht="15.95" customHeight="1" spans="1:4">
      <c r="A13" s="331" t="s">
        <v>457</v>
      </c>
      <c r="B13" s="326">
        <v>89.77</v>
      </c>
      <c r="C13" s="327">
        <v>-20.6</v>
      </c>
      <c r="D13" s="324">
        <v>8</v>
      </c>
    </row>
    <row r="14" ht="15.95" customHeight="1" spans="1:4">
      <c r="A14" s="331" t="s">
        <v>458</v>
      </c>
      <c r="B14" s="326">
        <v>116.14</v>
      </c>
      <c r="C14" s="327">
        <v>-20.1</v>
      </c>
      <c r="D14" s="324">
        <v>7</v>
      </c>
    </row>
    <row r="15" s="52" customFormat="1" ht="15.95" customHeight="1" spans="1:4">
      <c r="A15" s="331" t="s">
        <v>468</v>
      </c>
      <c r="B15" s="326">
        <v>115.92</v>
      </c>
      <c r="C15" s="327">
        <v>1.1</v>
      </c>
      <c r="D15" s="324">
        <v>5</v>
      </c>
    </row>
    <row r="16" ht="15.95" customHeight="1" spans="1:4">
      <c r="A16" s="321" t="s">
        <v>498</v>
      </c>
      <c r="B16" s="326"/>
      <c r="C16" s="327"/>
      <c r="D16" s="324"/>
    </row>
    <row r="17" ht="15.95" customHeight="1" spans="1:4">
      <c r="A17" s="325" t="s">
        <v>448</v>
      </c>
      <c r="B17" s="326">
        <v>65.92</v>
      </c>
      <c r="C17" s="327">
        <v>-4.1</v>
      </c>
      <c r="D17" s="328" t="s">
        <v>8</v>
      </c>
    </row>
    <row r="18" ht="15.95" customHeight="1" spans="1:4">
      <c r="A18" s="325" t="s">
        <v>449</v>
      </c>
      <c r="B18" s="326">
        <v>46.12</v>
      </c>
      <c r="C18" s="327">
        <v>-6.8</v>
      </c>
      <c r="D18" s="324">
        <v>8</v>
      </c>
    </row>
    <row r="19" ht="15.95" customHeight="1" spans="1:4">
      <c r="A19" s="329" t="s">
        <v>450</v>
      </c>
      <c r="B19" s="326">
        <v>57.6</v>
      </c>
      <c r="C19" s="327">
        <v>2.3</v>
      </c>
      <c r="D19" s="324">
        <v>2</v>
      </c>
    </row>
    <row r="20" ht="15.95" customHeight="1" spans="1:4">
      <c r="A20" s="330" t="s">
        <v>451</v>
      </c>
      <c r="B20" s="326">
        <v>76.2</v>
      </c>
      <c r="C20" s="327">
        <v>-9.3</v>
      </c>
      <c r="D20" s="324">
        <v>10</v>
      </c>
    </row>
    <row r="21" ht="15.95" customHeight="1" spans="1:4">
      <c r="A21" s="329" t="s">
        <v>452</v>
      </c>
      <c r="B21" s="326">
        <v>58.37</v>
      </c>
      <c r="C21" s="327">
        <v>-6.9</v>
      </c>
      <c r="D21" s="324">
        <v>9</v>
      </c>
    </row>
    <row r="22" ht="15.95" customHeight="1" spans="1:4">
      <c r="A22" s="329" t="s">
        <v>454</v>
      </c>
      <c r="B22" s="326">
        <v>56.65</v>
      </c>
      <c r="C22" s="327">
        <v>10.2</v>
      </c>
      <c r="D22" s="324">
        <v>1</v>
      </c>
    </row>
    <row r="23" ht="15.95" customHeight="1" spans="1:4">
      <c r="A23" s="329" t="s">
        <v>455</v>
      </c>
      <c r="B23" s="326">
        <v>74.14</v>
      </c>
      <c r="C23" s="327">
        <v>-6.4</v>
      </c>
      <c r="D23" s="324">
        <v>7</v>
      </c>
    </row>
    <row r="24" ht="15.95" customHeight="1" spans="1:4">
      <c r="A24" s="331" t="s">
        <v>456</v>
      </c>
      <c r="B24" s="326">
        <v>101.19</v>
      </c>
      <c r="C24" s="327">
        <v>-0.1</v>
      </c>
      <c r="D24" s="324">
        <v>5</v>
      </c>
    </row>
    <row r="25" ht="15.95" customHeight="1" spans="1:4">
      <c r="A25" s="331" t="s">
        <v>457</v>
      </c>
      <c r="B25" s="326">
        <v>87.03</v>
      </c>
      <c r="C25" s="327">
        <v>1.6</v>
      </c>
      <c r="D25" s="324">
        <v>4</v>
      </c>
    </row>
    <row r="26" ht="15.95" customHeight="1" spans="1:4">
      <c r="A26" s="331" t="s">
        <v>458</v>
      </c>
      <c r="B26" s="326">
        <v>64.39</v>
      </c>
      <c r="C26" s="327">
        <v>1.6</v>
      </c>
      <c r="D26" s="324">
        <v>3</v>
      </c>
    </row>
    <row r="27" ht="15.95" customHeight="1" spans="1:4">
      <c r="A27" s="332" t="s">
        <v>468</v>
      </c>
      <c r="B27" s="326">
        <v>55.42</v>
      </c>
      <c r="C27" s="327">
        <v>-6.3</v>
      </c>
      <c r="D27" s="324">
        <v>6</v>
      </c>
    </row>
    <row r="28" spans="1:4">
      <c r="A28" s="312"/>
      <c r="B28" s="312"/>
      <c r="C28" s="312"/>
      <c r="D28" s="312"/>
    </row>
  </sheetData>
  <mergeCells count="1">
    <mergeCell ref="A1:D1"/>
  </mergeCells>
  <pageMargins left="0.75" right="0.75" top="1" bottom="1" header="0.509027777777778" footer="0.509027777777778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E24" sqref="E24"/>
    </sheetView>
  </sheetViews>
  <sheetFormatPr defaultColWidth="9" defaultRowHeight="14.25" outlineLevelCol="4"/>
  <cols>
    <col min="1" max="1" width="41" style="45" customWidth="1"/>
    <col min="2" max="2" width="13.125" style="44" customWidth="1"/>
    <col min="3" max="3" width="13.125" style="308" customWidth="1"/>
    <col min="4" max="4" width="13.125" style="44" customWidth="1"/>
    <col min="5" max="5" width="9.75" style="44" customWidth="1"/>
    <col min="6" max="16384" width="9" style="44"/>
  </cols>
  <sheetData>
    <row r="1" ht="34.5" customHeight="1" spans="1:5">
      <c r="A1" s="204" t="s">
        <v>499</v>
      </c>
      <c r="B1" s="204"/>
      <c r="C1" s="204"/>
      <c r="D1" s="204"/>
    </row>
    <row r="2" ht="20.25" customHeight="1" spans="1:5">
      <c r="A2" s="112"/>
      <c r="B2" s="112"/>
      <c r="C2" s="228" t="s">
        <v>422</v>
      </c>
      <c r="D2" s="228"/>
    </row>
    <row r="3" ht="28.5" customHeight="1" spans="1:5">
      <c r="A3" s="91" t="s">
        <v>445</v>
      </c>
      <c r="B3" s="149" t="s">
        <v>34</v>
      </c>
      <c r="C3" s="92" t="s">
        <v>5</v>
      </c>
      <c r="D3" s="149" t="s">
        <v>446</v>
      </c>
      <c r="E3" s="52"/>
    </row>
    <row r="4" ht="18" customHeight="1" spans="1:5">
      <c r="A4" s="309" t="s">
        <v>500</v>
      </c>
      <c r="B4" s="241"/>
      <c r="C4" s="310"/>
      <c r="D4" s="241"/>
    </row>
    <row r="5" ht="18" customHeight="1" spans="1:5">
      <c r="A5" s="210" t="s">
        <v>448</v>
      </c>
      <c r="B5" s="311">
        <v>2.37</v>
      </c>
      <c r="C5" s="239">
        <v>0</v>
      </c>
      <c r="D5" s="298" t="s">
        <v>8</v>
      </c>
    </row>
    <row r="6" ht="18" customHeight="1" spans="1:5">
      <c r="A6" s="210" t="s">
        <v>449</v>
      </c>
      <c r="B6" s="311">
        <v>0.98</v>
      </c>
      <c r="C6" s="239">
        <v>0.1</v>
      </c>
      <c r="D6" s="232">
        <v>6</v>
      </c>
    </row>
    <row r="7" ht="18" customHeight="1" spans="1:5">
      <c r="A7" s="217" t="s">
        <v>450</v>
      </c>
      <c r="B7" s="311">
        <v>2.82</v>
      </c>
      <c r="C7" s="239">
        <v>-0.1</v>
      </c>
      <c r="D7" s="232">
        <v>7</v>
      </c>
    </row>
    <row r="8" ht="18" customHeight="1" spans="1:5">
      <c r="A8" s="218" t="s">
        <v>451</v>
      </c>
      <c r="B8" s="311">
        <v>6.86</v>
      </c>
      <c r="C8" s="239">
        <v>1</v>
      </c>
      <c r="D8" s="232">
        <v>1</v>
      </c>
    </row>
    <row r="9" ht="18" customHeight="1" spans="1:5">
      <c r="A9" s="217" t="s">
        <v>452</v>
      </c>
      <c r="B9" s="311">
        <v>3.22</v>
      </c>
      <c r="C9" s="239">
        <v>0.3</v>
      </c>
      <c r="D9" s="232">
        <v>3</v>
      </c>
    </row>
    <row r="10" ht="18" customHeight="1" spans="1:5">
      <c r="A10" s="217" t="s">
        <v>454</v>
      </c>
      <c r="B10" s="311">
        <v>3.67</v>
      </c>
      <c r="C10" s="239">
        <v>-2.9</v>
      </c>
      <c r="D10" s="232">
        <v>10</v>
      </c>
    </row>
    <row r="11" ht="18" customHeight="1" spans="1:5">
      <c r="A11" s="217" t="s">
        <v>455</v>
      </c>
      <c r="B11" s="311">
        <v>0.88</v>
      </c>
      <c r="C11" s="239">
        <v>0.2</v>
      </c>
      <c r="D11" s="232">
        <v>4</v>
      </c>
    </row>
    <row r="12" ht="18" customHeight="1" spans="1:5">
      <c r="A12" s="219" t="s">
        <v>456</v>
      </c>
      <c r="B12" s="311">
        <v>0.38</v>
      </c>
      <c r="C12" s="239">
        <v>-0.1</v>
      </c>
      <c r="D12" s="232">
        <v>7</v>
      </c>
    </row>
    <row r="13" ht="18" customHeight="1" spans="1:5">
      <c r="A13" s="219" t="s">
        <v>457</v>
      </c>
      <c r="B13" s="311">
        <v>1.65</v>
      </c>
      <c r="C13" s="239">
        <v>0.5</v>
      </c>
      <c r="D13" s="232">
        <v>2</v>
      </c>
    </row>
    <row r="14" ht="18" customHeight="1" spans="1:5">
      <c r="A14" s="219" t="s">
        <v>458</v>
      </c>
      <c r="B14" s="311">
        <v>4.8</v>
      </c>
      <c r="C14" s="239">
        <v>-0.8</v>
      </c>
      <c r="D14" s="232">
        <v>9</v>
      </c>
    </row>
    <row r="15" ht="18" customHeight="1" spans="1:5">
      <c r="A15" s="219" t="s">
        <v>468</v>
      </c>
      <c r="B15" s="311">
        <v>2.22</v>
      </c>
      <c r="C15" s="239">
        <v>0.2</v>
      </c>
      <c r="D15" s="232">
        <v>4</v>
      </c>
    </row>
    <row r="16" ht="18" customHeight="1" spans="1:5">
      <c r="A16" s="205" t="s">
        <v>501</v>
      </c>
      <c r="B16" s="311"/>
      <c r="C16" s="239"/>
      <c r="D16" s="232"/>
      <c r="E16" s="52"/>
    </row>
    <row r="17" ht="18" customHeight="1" spans="1:5">
      <c r="A17" s="210" t="s">
        <v>448</v>
      </c>
      <c r="B17" s="311">
        <v>11.44</v>
      </c>
      <c r="C17" s="239">
        <v>2.9</v>
      </c>
      <c r="D17" s="298" t="s">
        <v>8</v>
      </c>
      <c r="E17" s="52"/>
    </row>
    <row r="18" ht="18" customHeight="1" spans="1:5">
      <c r="A18" s="210" t="s">
        <v>449</v>
      </c>
      <c r="B18" s="311">
        <v>4.96</v>
      </c>
      <c r="C18" s="239">
        <v>1.5</v>
      </c>
      <c r="D18" s="232">
        <v>4</v>
      </c>
      <c r="E18" s="52"/>
    </row>
    <row r="19" ht="18" customHeight="1" spans="1:5">
      <c r="A19" s="217" t="s">
        <v>450</v>
      </c>
      <c r="B19" s="311">
        <v>6.11</v>
      </c>
      <c r="C19" s="239">
        <v>-2.2</v>
      </c>
      <c r="D19" s="232">
        <v>8</v>
      </c>
      <c r="E19" s="52"/>
    </row>
    <row r="20" ht="18" customHeight="1" spans="1:5">
      <c r="A20" s="218" t="s">
        <v>451</v>
      </c>
      <c r="B20" s="311">
        <v>73.85</v>
      </c>
      <c r="C20" s="239">
        <v>26.2</v>
      </c>
      <c r="D20" s="232">
        <v>1</v>
      </c>
      <c r="E20" s="52"/>
    </row>
    <row r="21" ht="18" customHeight="1" spans="1:5">
      <c r="A21" s="217" t="s">
        <v>452</v>
      </c>
      <c r="B21" s="311">
        <v>13.75</v>
      </c>
      <c r="C21" s="239">
        <v>4.5</v>
      </c>
      <c r="D21" s="232">
        <v>2</v>
      </c>
      <c r="E21" s="52"/>
    </row>
    <row r="22" ht="18" customHeight="1" spans="1:5">
      <c r="A22" s="217" t="s">
        <v>454</v>
      </c>
      <c r="B22" s="311">
        <v>2.64</v>
      </c>
      <c r="C22" s="239">
        <v>0.5</v>
      </c>
      <c r="D22" s="232">
        <v>6</v>
      </c>
      <c r="E22" s="52"/>
    </row>
    <row r="23" ht="18" customHeight="1" spans="1:5">
      <c r="A23" s="217" t="s">
        <v>455</v>
      </c>
      <c r="B23" s="311">
        <v>11.47</v>
      </c>
      <c r="C23" s="239">
        <v>-2.7</v>
      </c>
      <c r="D23" s="232">
        <v>9</v>
      </c>
      <c r="E23" s="52"/>
    </row>
    <row r="24" ht="18" customHeight="1" spans="1:5">
      <c r="A24" s="219" t="s">
        <v>456</v>
      </c>
      <c r="B24" s="311">
        <v>-5.98</v>
      </c>
      <c r="C24" s="239">
        <v>-7.1</v>
      </c>
      <c r="D24" s="232">
        <v>10</v>
      </c>
      <c r="E24" s="52"/>
    </row>
    <row r="25" ht="18" customHeight="1" spans="1:5">
      <c r="A25" s="219" t="s">
        <v>457</v>
      </c>
      <c r="B25" s="311">
        <v>0.42</v>
      </c>
      <c r="C25" s="239">
        <v>0.8</v>
      </c>
      <c r="D25" s="232">
        <v>5</v>
      </c>
      <c r="E25" s="52"/>
    </row>
    <row r="26" ht="18" customHeight="1" spans="1:5">
      <c r="A26" s="219" t="s">
        <v>458</v>
      </c>
      <c r="B26" s="311">
        <v>1.85</v>
      </c>
      <c r="C26" s="239">
        <v>-0.1</v>
      </c>
      <c r="D26" s="232">
        <v>7</v>
      </c>
      <c r="E26" s="52"/>
    </row>
    <row r="27" ht="18" customHeight="1" spans="1:5">
      <c r="A27" s="219" t="s">
        <v>468</v>
      </c>
      <c r="B27" s="311">
        <v>13.35</v>
      </c>
      <c r="C27" s="239">
        <v>4.1</v>
      </c>
      <c r="D27" s="232">
        <v>3</v>
      </c>
      <c r="E27" s="52"/>
    </row>
    <row r="28" spans="1:5">
      <c r="A28" s="312"/>
      <c r="B28" s="312"/>
      <c r="C28" s="312"/>
      <c r="D28" s="312"/>
    </row>
    <row r="34" spans="1:1">
      <c r="A34" s="313"/>
    </row>
    <row r="35" spans="1:1">
      <c r="A35" s="313"/>
    </row>
    <row r="36" spans="1:1">
      <c r="A36" s="313"/>
    </row>
    <row r="37" spans="1:1">
      <c r="A37" s="314"/>
    </row>
    <row r="38" spans="1:1">
      <c r="A38" s="315"/>
    </row>
    <row r="39" spans="1:1">
      <c r="A39" s="315"/>
    </row>
    <row r="40" spans="1:1">
      <c r="A40" s="315"/>
    </row>
    <row r="41" spans="1:1">
      <c r="A41" s="315"/>
    </row>
    <row r="42" spans="1:1">
      <c r="A42" s="307"/>
    </row>
    <row r="43" spans="1:1">
      <c r="A43" s="52"/>
    </row>
    <row r="44" spans="1:1">
      <c r="A44" s="313"/>
    </row>
  </sheetData>
  <mergeCells count="2">
    <mergeCell ref="A1:D1"/>
    <mergeCell ref="C2:D2"/>
  </mergeCells>
  <pageMargins left="0.75" right="0.75" top="0.588888888888889" bottom="0.588888888888889" header="0.509027777777778" footer="0.509027777777778"/>
  <pageSetup paperSize="9" orientation="portrait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E44"/>
  <sheetViews>
    <sheetView workbookViewId="0">
      <selection activeCell="G21" sqref="G21"/>
    </sheetView>
  </sheetViews>
  <sheetFormatPr defaultColWidth="9" defaultRowHeight="14.25" outlineLevelCol="4"/>
  <cols>
    <col min="1" max="1" width="41" style="246" customWidth="1"/>
    <col min="2" max="2" width="13.125" style="247" customWidth="1"/>
    <col min="3" max="3" width="13.125" style="283" customWidth="1"/>
    <col min="4" max="4" width="13.125" style="247" customWidth="1"/>
    <col min="5" max="5" width="9.75" style="247" customWidth="1"/>
    <col min="6" max="16384" width="9" style="247"/>
  </cols>
  <sheetData>
    <row r="1" ht="34.5" customHeight="1" spans="1:5">
      <c r="A1" s="204" t="s">
        <v>502</v>
      </c>
      <c r="B1" s="204"/>
      <c r="C1" s="204"/>
      <c r="D1" s="204"/>
    </row>
    <row r="2" ht="20.25" customHeight="1" spans="1:5">
      <c r="A2" s="227"/>
      <c r="B2" s="227"/>
      <c r="C2" s="227"/>
      <c r="D2" s="284" t="s">
        <v>37</v>
      </c>
    </row>
    <row r="3" ht="28.5" customHeight="1" spans="1:5">
      <c r="A3" s="91" t="s">
        <v>445</v>
      </c>
      <c r="B3" s="149" t="s">
        <v>79</v>
      </c>
      <c r="C3" s="285" t="s">
        <v>5</v>
      </c>
      <c r="D3" s="286" t="s">
        <v>446</v>
      </c>
      <c r="E3" s="287"/>
    </row>
    <row r="4" ht="18" customHeight="1" spans="1:5">
      <c r="A4" s="240" t="s">
        <v>503</v>
      </c>
      <c r="B4" s="288"/>
      <c r="C4" s="289"/>
      <c r="D4" s="290"/>
      <c r="E4" s="287"/>
    </row>
    <row r="5" ht="18" customHeight="1" spans="1:5">
      <c r="A5" s="291" t="s">
        <v>448</v>
      </c>
      <c r="B5" s="107">
        <v>298.7004</v>
      </c>
      <c r="C5" s="109">
        <v>8.1</v>
      </c>
      <c r="D5" s="292" t="s">
        <v>8</v>
      </c>
      <c r="E5" s="287"/>
    </row>
    <row r="6" ht="18" customHeight="1" spans="1:5">
      <c r="A6" s="291" t="s">
        <v>449</v>
      </c>
      <c r="B6" s="107">
        <v>73.6926</v>
      </c>
      <c r="C6" s="109">
        <v>8.5</v>
      </c>
      <c r="D6" s="292">
        <v>5</v>
      </c>
      <c r="E6" s="287"/>
    </row>
    <row r="7" ht="18" customHeight="1" spans="1:5">
      <c r="A7" s="293" t="s">
        <v>450</v>
      </c>
      <c r="B7" s="107">
        <v>76.8636</v>
      </c>
      <c r="C7" s="109">
        <v>7.9</v>
      </c>
      <c r="D7" s="292">
        <v>6</v>
      </c>
      <c r="E7" s="287"/>
    </row>
    <row r="8" ht="18" customHeight="1" spans="1:5">
      <c r="A8" s="294" t="s">
        <v>451</v>
      </c>
      <c r="B8" s="107">
        <v>8.1158</v>
      </c>
      <c r="C8" s="109">
        <v>8.8</v>
      </c>
      <c r="D8" s="292">
        <v>3</v>
      </c>
      <c r="E8" s="287"/>
    </row>
    <row r="9" ht="18" customHeight="1" spans="1:5">
      <c r="A9" s="293" t="s">
        <v>452</v>
      </c>
      <c r="B9" s="107">
        <v>13.0054</v>
      </c>
      <c r="C9" s="109">
        <v>9.3</v>
      </c>
      <c r="D9" s="292">
        <v>1</v>
      </c>
      <c r="E9" s="287"/>
    </row>
    <row r="10" ht="18" customHeight="1" spans="1:5">
      <c r="A10" s="293" t="s">
        <v>453</v>
      </c>
      <c r="B10" s="107">
        <v>31.5897</v>
      </c>
      <c r="C10" s="238">
        <v>6.6</v>
      </c>
      <c r="D10" s="292">
        <v>9</v>
      </c>
      <c r="E10" s="287"/>
    </row>
    <row r="11" ht="18" customHeight="1" spans="1:5">
      <c r="A11" s="293" t="s">
        <v>454</v>
      </c>
      <c r="B11" s="107">
        <v>24.7211</v>
      </c>
      <c r="C11" s="238">
        <v>8.8</v>
      </c>
      <c r="D11" s="292">
        <v>3</v>
      </c>
      <c r="E11" s="287"/>
    </row>
    <row r="12" ht="18" customHeight="1" spans="1:5">
      <c r="A12" s="293" t="s">
        <v>455</v>
      </c>
      <c r="B12" s="107">
        <v>15.8771</v>
      </c>
      <c r="C12" s="238">
        <v>6.2</v>
      </c>
      <c r="D12" s="292">
        <v>10</v>
      </c>
      <c r="E12" s="287"/>
    </row>
    <row r="13" ht="18" customHeight="1" spans="1:5">
      <c r="A13" s="293" t="s">
        <v>456</v>
      </c>
      <c r="B13" s="107">
        <v>28.4471</v>
      </c>
      <c r="C13" s="238">
        <v>7.6</v>
      </c>
      <c r="D13" s="292">
        <v>7</v>
      </c>
      <c r="E13" s="287"/>
    </row>
    <row r="14" ht="18" customHeight="1" spans="1:5">
      <c r="A14" s="293" t="s">
        <v>457</v>
      </c>
      <c r="B14" s="107">
        <v>21.3837</v>
      </c>
      <c r="C14" s="238">
        <v>6.8</v>
      </c>
      <c r="D14" s="292">
        <v>8</v>
      </c>
      <c r="E14" s="287"/>
    </row>
    <row r="15" ht="18" customHeight="1" spans="1:5">
      <c r="A15" s="293" t="s">
        <v>458</v>
      </c>
      <c r="B15" s="107">
        <v>36.5947</v>
      </c>
      <c r="C15" s="238">
        <v>9.1</v>
      </c>
      <c r="D15" s="292">
        <v>2</v>
      </c>
      <c r="E15" s="287"/>
    </row>
    <row r="16" ht="18" customHeight="1" spans="1:5">
      <c r="A16" s="295" t="s">
        <v>504</v>
      </c>
      <c r="B16" s="107"/>
      <c r="C16" s="238"/>
      <c r="D16" s="292"/>
    </row>
    <row r="17" ht="18" customHeight="1" spans="1:4">
      <c r="A17" s="293" t="s">
        <v>448</v>
      </c>
      <c r="B17" s="107"/>
      <c r="C17" s="296">
        <v>16.1</v>
      </c>
      <c r="D17" s="232" t="s">
        <v>8</v>
      </c>
    </row>
    <row r="18" ht="18" customHeight="1" spans="1:4">
      <c r="A18" s="291" t="s">
        <v>449</v>
      </c>
      <c r="B18" s="107"/>
      <c r="C18" s="297">
        <v>14.1</v>
      </c>
      <c r="D18" s="298">
        <v>7</v>
      </c>
    </row>
    <row r="19" ht="18" customHeight="1" spans="1:4">
      <c r="A19" s="291" t="s">
        <v>450</v>
      </c>
      <c r="B19" s="107"/>
      <c r="C19" s="297">
        <v>21.1</v>
      </c>
      <c r="D19" s="299">
        <v>3</v>
      </c>
    </row>
    <row r="20" ht="18" customHeight="1" spans="1:4">
      <c r="A20" s="293" t="s">
        <v>451</v>
      </c>
      <c r="B20" s="107"/>
      <c r="C20" s="297">
        <v>29.8</v>
      </c>
      <c r="D20" s="299">
        <v>1</v>
      </c>
    </row>
    <row r="21" ht="18" customHeight="1" spans="1:4">
      <c r="A21" s="294" t="s">
        <v>452</v>
      </c>
      <c r="B21" s="107"/>
      <c r="C21" s="297">
        <v>14.5</v>
      </c>
      <c r="D21" s="299">
        <v>5</v>
      </c>
    </row>
    <row r="22" ht="18" customHeight="1" spans="1:4">
      <c r="A22" s="293" t="s">
        <v>453</v>
      </c>
      <c r="B22" s="107"/>
      <c r="C22" s="297">
        <v>6.3</v>
      </c>
      <c r="D22" s="299">
        <v>10</v>
      </c>
    </row>
    <row r="23" ht="18" customHeight="1" spans="1:4">
      <c r="A23" s="293" t="s">
        <v>454</v>
      </c>
      <c r="B23" s="107"/>
      <c r="C23" s="297">
        <v>12.3</v>
      </c>
      <c r="D23" s="299">
        <v>8</v>
      </c>
    </row>
    <row r="24" ht="18" customHeight="1" spans="1:4">
      <c r="A24" s="293" t="s">
        <v>455</v>
      </c>
      <c r="B24" s="107"/>
      <c r="C24" s="297">
        <v>21.2</v>
      </c>
      <c r="D24" s="299">
        <v>2</v>
      </c>
    </row>
    <row r="25" ht="18" customHeight="1" spans="1:4">
      <c r="A25" s="293" t="s">
        <v>456</v>
      </c>
      <c r="B25" s="107"/>
      <c r="C25" s="297">
        <v>14.4</v>
      </c>
      <c r="D25" s="299">
        <v>6</v>
      </c>
    </row>
    <row r="26" ht="18" customHeight="1" spans="1:4">
      <c r="A26" s="293" t="s">
        <v>467</v>
      </c>
      <c r="B26" s="107"/>
      <c r="C26" s="297">
        <v>-90.5</v>
      </c>
      <c r="D26" s="299" t="s">
        <v>8</v>
      </c>
    </row>
    <row r="27" ht="18" customHeight="1" spans="1:4">
      <c r="A27" s="293" t="s">
        <v>457</v>
      </c>
      <c r="B27" s="107"/>
      <c r="C27" s="297">
        <v>20.4</v>
      </c>
      <c r="D27" s="299">
        <v>4</v>
      </c>
    </row>
    <row r="28" ht="15" spans="1:4">
      <c r="A28" s="300" t="s">
        <v>458</v>
      </c>
      <c r="B28" s="301"/>
      <c r="C28" s="302">
        <v>11.1</v>
      </c>
      <c r="D28" s="303">
        <v>9</v>
      </c>
    </row>
    <row r="29" spans="1:4">
      <c r="A29" s="88"/>
      <c r="B29" s="304"/>
      <c r="C29" s="88"/>
      <c r="D29" s="88"/>
    </row>
    <row r="34" spans="1:1">
      <c r="A34" s="305"/>
    </row>
    <row r="35" spans="1:1">
      <c r="A35" s="305"/>
    </row>
    <row r="36" spans="1:1">
      <c r="A36" s="305"/>
    </row>
    <row r="37" spans="1:1">
      <c r="A37" s="306"/>
    </row>
    <row r="38" spans="1:1">
      <c r="A38" s="307"/>
    </row>
    <row r="39" spans="1:1">
      <c r="A39" s="307"/>
    </row>
    <row r="40" spans="1:1">
      <c r="A40" s="307"/>
    </row>
    <row r="41" spans="1:1">
      <c r="A41" s="307"/>
    </row>
    <row r="42" spans="1:1">
      <c r="A42" s="307"/>
    </row>
    <row r="43" spans="1:1">
      <c r="A43" s="287"/>
    </row>
    <row r="44" spans="1:1">
      <c r="A44" s="305"/>
    </row>
  </sheetData>
  <mergeCells count="1">
    <mergeCell ref="A1:D1"/>
  </mergeCells>
  <pageMargins left="0.75" right="0.75" top="0.588888888888889" bottom="0.588888888888889" header="0.509027777777778" footer="0.509027777777778"/>
  <pageSetup paperSize="9" scale="99" orientation="portrait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E28"/>
  <sheetViews>
    <sheetView workbookViewId="0">
      <selection activeCell="G18" sqref="G18"/>
    </sheetView>
  </sheetViews>
  <sheetFormatPr defaultColWidth="9" defaultRowHeight="14.25" outlineLevelCol="4"/>
  <cols>
    <col min="1" max="1" width="31.75" style="246" customWidth="1"/>
    <col min="2" max="2" width="13.125" style="247" customWidth="1"/>
    <col min="3" max="3" width="12.75" style="250" customWidth="1"/>
    <col min="4" max="4" width="16" style="247" customWidth="1"/>
    <col min="5" max="16384" width="9" style="247"/>
  </cols>
  <sheetData>
    <row r="1" ht="33.75" customHeight="1" spans="1:4">
      <c r="A1" s="204" t="s">
        <v>505</v>
      </c>
      <c r="B1" s="204"/>
      <c r="C1" s="251"/>
      <c r="D1" s="204"/>
    </row>
    <row r="2" ht="20.25" customHeight="1" spans="1:4">
      <c r="A2" s="252"/>
      <c r="B2" s="252"/>
      <c r="C2" s="253"/>
      <c r="D2" s="254" t="s">
        <v>37</v>
      </c>
    </row>
    <row r="3" ht="31.5" customHeight="1" spans="1:4">
      <c r="A3" s="255" t="s">
        <v>445</v>
      </c>
      <c r="B3" s="256" t="s">
        <v>79</v>
      </c>
      <c r="C3" s="257" t="s">
        <v>5</v>
      </c>
      <c r="D3" s="256" t="s">
        <v>446</v>
      </c>
    </row>
    <row r="4" ht="18" customHeight="1" spans="1:4">
      <c r="A4" s="258" t="s">
        <v>506</v>
      </c>
      <c r="B4" s="259"/>
      <c r="C4" s="260"/>
      <c r="D4" s="261"/>
    </row>
    <row r="5" ht="18" customHeight="1" spans="1:4">
      <c r="A5" s="262" t="s">
        <v>448</v>
      </c>
      <c r="B5" s="263"/>
      <c r="C5" s="264">
        <v>32.1</v>
      </c>
      <c r="D5" s="265" t="s">
        <v>8</v>
      </c>
    </row>
    <row r="6" ht="18" customHeight="1" spans="1:4">
      <c r="A6" s="262" t="s">
        <v>449</v>
      </c>
      <c r="B6" s="263"/>
      <c r="C6" s="264">
        <v>108.3</v>
      </c>
      <c r="D6" s="265">
        <f>RANK(C6,($C$6:$C$15),0)</f>
        <v>3</v>
      </c>
    </row>
    <row r="7" ht="18" customHeight="1" spans="1:4">
      <c r="A7" s="266" t="s">
        <v>450</v>
      </c>
      <c r="B7" s="263"/>
      <c r="C7" s="264">
        <v>-59.2</v>
      </c>
      <c r="D7" s="265">
        <f t="shared" ref="D7:D15" si="0">RANK(C7,($C$6:$C$15),0)</f>
        <v>10</v>
      </c>
    </row>
    <row r="8" ht="18" customHeight="1" spans="1:4">
      <c r="A8" s="267" t="s">
        <v>451</v>
      </c>
      <c r="B8" s="263"/>
      <c r="C8" s="264">
        <v>91328.3</v>
      </c>
      <c r="D8" s="265">
        <f t="shared" si="0"/>
        <v>1</v>
      </c>
    </row>
    <row r="9" ht="18" customHeight="1" spans="1:4">
      <c r="A9" s="266" t="s">
        <v>452</v>
      </c>
      <c r="B9" s="263"/>
      <c r="C9" s="264">
        <v>17.2</v>
      </c>
      <c r="D9" s="265">
        <f t="shared" si="0"/>
        <v>6</v>
      </c>
    </row>
    <row r="10" ht="18" customHeight="1" spans="1:4">
      <c r="A10" s="266" t="s">
        <v>453</v>
      </c>
      <c r="B10" s="263"/>
      <c r="C10" s="264">
        <v>70.8</v>
      </c>
      <c r="D10" s="265">
        <f t="shared" si="0"/>
        <v>4</v>
      </c>
    </row>
    <row r="11" ht="18" customHeight="1" spans="1:4">
      <c r="A11" s="266" t="s">
        <v>454</v>
      </c>
      <c r="B11" s="263"/>
      <c r="C11" s="264">
        <v>-45.3</v>
      </c>
      <c r="D11" s="265">
        <f t="shared" si="0"/>
        <v>9</v>
      </c>
    </row>
    <row r="12" ht="18" customHeight="1" spans="1:4">
      <c r="A12" s="266" t="s">
        <v>455</v>
      </c>
      <c r="B12" s="263"/>
      <c r="C12" s="264">
        <v>69.1</v>
      </c>
      <c r="D12" s="265">
        <f t="shared" si="0"/>
        <v>5</v>
      </c>
    </row>
    <row r="13" ht="18" customHeight="1" spans="1:4">
      <c r="A13" s="266" t="s">
        <v>456</v>
      </c>
      <c r="B13" s="263"/>
      <c r="C13" s="264">
        <v>-43.2</v>
      </c>
      <c r="D13" s="265">
        <f t="shared" si="0"/>
        <v>8</v>
      </c>
    </row>
    <row r="14" ht="18" customHeight="1" spans="1:4">
      <c r="A14" s="266" t="s">
        <v>457</v>
      </c>
      <c r="B14" s="263"/>
      <c r="C14" s="264">
        <v>4813.9</v>
      </c>
      <c r="D14" s="265">
        <f t="shared" si="0"/>
        <v>2</v>
      </c>
    </row>
    <row r="15" ht="18" customHeight="1" spans="1:4">
      <c r="A15" s="266" t="s">
        <v>458</v>
      </c>
      <c r="B15" s="263"/>
      <c r="C15" s="264">
        <v>-34.7</v>
      </c>
      <c r="D15" s="265">
        <f t="shared" si="0"/>
        <v>7</v>
      </c>
    </row>
    <row r="16" ht="18" customHeight="1" spans="1:4">
      <c r="A16" s="258" t="s">
        <v>507</v>
      </c>
      <c r="B16" s="268"/>
      <c r="C16" s="269"/>
      <c r="D16" s="270"/>
    </row>
    <row r="17" ht="18" customHeight="1" spans="1:5">
      <c r="A17" s="262" t="s">
        <v>448</v>
      </c>
      <c r="B17" s="263"/>
      <c r="C17" s="264">
        <v>129</v>
      </c>
      <c r="D17" s="271" t="s">
        <v>8</v>
      </c>
    </row>
    <row r="18" ht="18" customHeight="1" spans="1:5">
      <c r="A18" s="262" t="s">
        <v>449</v>
      </c>
      <c r="B18" s="263"/>
      <c r="C18" s="264">
        <v>-27.1</v>
      </c>
      <c r="D18" s="272">
        <f>RANK(C18,($C$18:$C$27),0)</f>
        <v>8</v>
      </c>
      <c r="E18" s="273"/>
    </row>
    <row r="19" ht="18" customHeight="1" spans="1:5">
      <c r="A19" s="266" t="s">
        <v>450</v>
      </c>
      <c r="B19" s="263"/>
      <c r="C19" s="264">
        <v>-41.6</v>
      </c>
      <c r="D19" s="272">
        <f t="shared" ref="D19:D27" si="1">RANK(C19,($C$18:$C$27),0)</f>
        <v>9</v>
      </c>
      <c r="E19" s="273"/>
    </row>
    <row r="20" ht="18" customHeight="1" spans="1:5">
      <c r="A20" s="267" t="s">
        <v>451</v>
      </c>
      <c r="B20" s="263"/>
      <c r="C20" s="264">
        <v>20466.7</v>
      </c>
      <c r="D20" s="272">
        <f t="shared" si="1"/>
        <v>1</v>
      </c>
      <c r="E20" s="273"/>
    </row>
    <row r="21" ht="18" customHeight="1" spans="1:5">
      <c r="A21" s="266" t="s">
        <v>452</v>
      </c>
      <c r="B21" s="263"/>
      <c r="C21" s="264">
        <v>107.6</v>
      </c>
      <c r="D21" s="272">
        <f t="shared" si="1"/>
        <v>4</v>
      </c>
      <c r="E21" s="273"/>
    </row>
    <row r="22" ht="18" customHeight="1" spans="1:5">
      <c r="A22" s="266" t="s">
        <v>453</v>
      </c>
      <c r="B22" s="263"/>
      <c r="C22" s="264">
        <v>487.2</v>
      </c>
      <c r="D22" s="272">
        <f t="shared" si="1"/>
        <v>3</v>
      </c>
      <c r="E22" s="273"/>
    </row>
    <row r="23" ht="18" customHeight="1" spans="1:5">
      <c r="A23" s="266" t="s">
        <v>454</v>
      </c>
      <c r="B23" s="263"/>
      <c r="C23" s="264">
        <v>21</v>
      </c>
      <c r="D23" s="272">
        <f t="shared" si="1"/>
        <v>6</v>
      </c>
    </row>
    <row r="24" ht="18" customHeight="1" spans="1:5">
      <c r="A24" s="266" t="s">
        <v>455</v>
      </c>
      <c r="B24" s="274"/>
      <c r="C24" s="275" t="s">
        <v>8</v>
      </c>
      <c r="D24" s="272" t="s">
        <v>8</v>
      </c>
    </row>
    <row r="25" ht="18" customHeight="1" spans="1:5">
      <c r="A25" s="266" t="s">
        <v>456</v>
      </c>
      <c r="B25" s="263"/>
      <c r="C25" s="264">
        <v>-2.4</v>
      </c>
      <c r="D25" s="272">
        <f t="shared" si="1"/>
        <v>7</v>
      </c>
    </row>
    <row r="26" ht="18" customHeight="1" spans="1:5">
      <c r="A26" s="266" t="s">
        <v>457</v>
      </c>
      <c r="B26" s="263"/>
      <c r="C26" s="264">
        <v>4813.9</v>
      </c>
      <c r="D26" s="272">
        <f t="shared" si="1"/>
        <v>2</v>
      </c>
    </row>
    <row r="27" ht="18" customHeight="1" spans="1:5">
      <c r="A27" s="276" t="s">
        <v>458</v>
      </c>
      <c r="B27" s="277"/>
      <c r="C27" s="278">
        <v>95</v>
      </c>
      <c r="D27" s="279">
        <f t="shared" si="1"/>
        <v>5</v>
      </c>
    </row>
    <row r="28" spans="1:5">
      <c r="A28" s="280"/>
      <c r="B28" s="281"/>
      <c r="C28" s="282"/>
      <c r="D28" s="280"/>
    </row>
  </sheetData>
  <mergeCells count="1">
    <mergeCell ref="A1:D1"/>
  </mergeCells>
  <printOptions horizontalCentered="1"/>
  <pageMargins left="0.75" right="0.75" top="0.588888888888889" bottom="0.588888888888889" header="0.509027777777778" footer="0.509027777777778"/>
  <pageSetup paperSize="9" scale="97" orientation="portrait"/>
  <headerFooter alignWithMargins="0" scaleWithDoc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E27"/>
  <sheetViews>
    <sheetView workbookViewId="0">
      <selection activeCell="F14" sqref="F14"/>
    </sheetView>
  </sheetViews>
  <sheetFormatPr defaultColWidth="9" defaultRowHeight="14.25" outlineLevelCol="4"/>
  <cols>
    <col min="1" max="1" width="36.75" style="246" customWidth="1"/>
    <col min="2" max="4" width="13.125" style="247" customWidth="1"/>
    <col min="5" max="16384" width="9" style="247"/>
  </cols>
  <sheetData>
    <row r="1" ht="33.75" customHeight="1" spans="1:5">
      <c r="A1" s="204" t="s">
        <v>508</v>
      </c>
      <c r="B1" s="204"/>
      <c r="C1" s="204"/>
      <c r="D1" s="204"/>
    </row>
    <row r="2" ht="31.5" customHeight="1" spans="1:5">
      <c r="A2" s="91" t="s">
        <v>445</v>
      </c>
      <c r="B2" s="149" t="s">
        <v>79</v>
      </c>
      <c r="C2" s="92" t="s">
        <v>5</v>
      </c>
      <c r="D2" s="149" t="s">
        <v>446</v>
      </c>
    </row>
    <row r="3" ht="18" customHeight="1" spans="1:5">
      <c r="A3" s="229" t="s">
        <v>509</v>
      </c>
      <c r="B3" s="230"/>
      <c r="C3" s="231"/>
      <c r="D3" s="232"/>
    </row>
    <row r="4" ht="18" customHeight="1" spans="1:5">
      <c r="A4" s="233" t="s">
        <v>448</v>
      </c>
      <c r="B4" s="234"/>
      <c r="C4" s="235">
        <v>17.8</v>
      </c>
      <c r="D4" s="232" t="s">
        <v>8</v>
      </c>
    </row>
    <row r="5" ht="18" customHeight="1" spans="1:5">
      <c r="A5" s="233" t="s">
        <v>449</v>
      </c>
      <c r="B5" s="236"/>
      <c r="C5" s="235">
        <v>23.2</v>
      </c>
      <c r="D5" s="232">
        <v>8</v>
      </c>
      <c r="E5" s="248"/>
    </row>
    <row r="6" ht="18" customHeight="1" spans="1:5">
      <c r="A6" s="219" t="s">
        <v>450</v>
      </c>
      <c r="B6" s="236"/>
      <c r="C6" s="235">
        <v>57.2</v>
      </c>
      <c r="D6" s="232">
        <v>3</v>
      </c>
      <c r="E6" s="248"/>
    </row>
    <row r="7" ht="18" customHeight="1" spans="1:5">
      <c r="A7" s="237" t="s">
        <v>451</v>
      </c>
      <c r="B7" s="236"/>
      <c r="C7" s="235">
        <v>34.2</v>
      </c>
      <c r="D7" s="232">
        <v>5</v>
      </c>
      <c r="E7" s="248"/>
    </row>
    <row r="8" ht="18" customHeight="1" spans="1:5">
      <c r="A8" s="219" t="s">
        <v>452</v>
      </c>
      <c r="B8" s="236"/>
      <c r="C8" s="235">
        <v>1919.9</v>
      </c>
      <c r="D8" s="232">
        <v>1</v>
      </c>
      <c r="E8" s="248"/>
    </row>
    <row r="9" ht="18" customHeight="1" spans="1:5">
      <c r="A9" s="219" t="s">
        <v>453</v>
      </c>
      <c r="B9" s="236"/>
      <c r="C9" s="238">
        <v>-35.1</v>
      </c>
      <c r="D9" s="232">
        <v>10</v>
      </c>
    </row>
    <row r="10" ht="18" customHeight="1" spans="1:5">
      <c r="A10" s="219" t="s">
        <v>454</v>
      </c>
      <c r="B10" s="103"/>
      <c r="C10" s="239">
        <v>-9.7</v>
      </c>
      <c r="D10" s="232">
        <v>9</v>
      </c>
    </row>
    <row r="11" ht="18" customHeight="1" spans="1:5">
      <c r="A11" s="219" t="s">
        <v>455</v>
      </c>
      <c r="B11" s="103"/>
      <c r="C11" s="239">
        <v>27.9</v>
      </c>
      <c r="D11" s="232">
        <v>7</v>
      </c>
    </row>
    <row r="12" ht="18" customHeight="1" spans="1:5">
      <c r="A12" s="219" t="s">
        <v>456</v>
      </c>
      <c r="B12" s="103"/>
      <c r="C12" s="239">
        <v>198.9</v>
      </c>
      <c r="D12" s="232">
        <v>2</v>
      </c>
    </row>
    <row r="13" ht="18" customHeight="1" spans="1:5">
      <c r="A13" s="219" t="s">
        <v>457</v>
      </c>
      <c r="B13" s="103"/>
      <c r="C13" s="239">
        <v>43.3</v>
      </c>
      <c r="D13" s="232">
        <v>4</v>
      </c>
    </row>
    <row r="14" ht="18" customHeight="1" spans="1:5">
      <c r="A14" s="219" t="s">
        <v>458</v>
      </c>
      <c r="B14" s="103"/>
      <c r="C14" s="239">
        <v>32.8</v>
      </c>
      <c r="D14" s="232">
        <v>6</v>
      </c>
    </row>
    <row r="15" ht="18" customHeight="1" spans="1:5">
      <c r="A15" s="240" t="s">
        <v>510</v>
      </c>
      <c r="B15" s="103"/>
      <c r="C15" s="152"/>
      <c r="D15" s="241"/>
    </row>
    <row r="16" ht="18" customHeight="1" spans="1:5">
      <c r="A16" s="210" t="s">
        <v>448</v>
      </c>
      <c r="B16" s="103">
        <v>68.7213</v>
      </c>
      <c r="C16" s="242">
        <v>-6.9</v>
      </c>
      <c r="D16" s="232" t="s">
        <v>8</v>
      </c>
    </row>
    <row r="17" ht="18" customHeight="1" spans="1:4">
      <c r="A17" s="210" t="s">
        <v>449</v>
      </c>
      <c r="B17" s="103">
        <v>8.8501</v>
      </c>
      <c r="C17" s="239">
        <v>-26.5</v>
      </c>
      <c r="D17" s="232">
        <v>7</v>
      </c>
    </row>
    <row r="18" ht="18" customHeight="1" spans="1:4">
      <c r="A18" s="217" t="s">
        <v>450</v>
      </c>
      <c r="B18" s="103">
        <v>5.4402</v>
      </c>
      <c r="C18" s="239">
        <v>-35.8</v>
      </c>
      <c r="D18" s="232">
        <v>9</v>
      </c>
    </row>
    <row r="19" ht="18" customHeight="1" spans="1:4">
      <c r="A19" s="218" t="s">
        <v>451</v>
      </c>
      <c r="B19" s="103">
        <v>1.6302</v>
      </c>
      <c r="C19" s="239">
        <v>415.9</v>
      </c>
      <c r="D19" s="232">
        <v>1</v>
      </c>
    </row>
    <row r="20" ht="18" customHeight="1" spans="1:4">
      <c r="A20" s="217" t="s">
        <v>452</v>
      </c>
      <c r="B20" s="103">
        <v>2.7173</v>
      </c>
      <c r="C20" s="239">
        <v>-7.9</v>
      </c>
      <c r="D20" s="232">
        <v>6</v>
      </c>
    </row>
    <row r="21" ht="18" customHeight="1" spans="1:4">
      <c r="A21" s="217" t="s">
        <v>453</v>
      </c>
      <c r="B21" s="103">
        <v>4.605</v>
      </c>
      <c r="C21" s="239">
        <v>-77.8</v>
      </c>
      <c r="D21" s="232">
        <v>10</v>
      </c>
    </row>
    <row r="22" ht="18" customHeight="1" spans="1:4">
      <c r="A22" s="217" t="s">
        <v>454</v>
      </c>
      <c r="B22" s="103">
        <v>11.5055</v>
      </c>
      <c r="C22" s="239">
        <v>-1.7</v>
      </c>
      <c r="D22" s="232">
        <v>5</v>
      </c>
    </row>
    <row r="23" ht="18" customHeight="1" spans="1:4">
      <c r="A23" s="219" t="s">
        <v>455</v>
      </c>
      <c r="B23" s="103">
        <v>5.6879</v>
      </c>
      <c r="C23" s="239">
        <v>177.7</v>
      </c>
      <c r="D23" s="232">
        <v>4</v>
      </c>
    </row>
    <row r="24" ht="18" customHeight="1" spans="1:4">
      <c r="A24" s="219" t="s">
        <v>456</v>
      </c>
      <c r="B24" s="103">
        <v>4.4112</v>
      </c>
      <c r="C24" s="239">
        <v>252.3</v>
      </c>
      <c r="D24" s="232">
        <v>3</v>
      </c>
    </row>
    <row r="25" ht="18" customHeight="1" spans="1:4">
      <c r="A25" s="219" t="s">
        <v>457</v>
      </c>
      <c r="B25" s="103">
        <v>15.723</v>
      </c>
      <c r="C25" s="239">
        <v>274.6</v>
      </c>
      <c r="D25" s="232">
        <v>2</v>
      </c>
    </row>
    <row r="26" ht="18" customHeight="1" spans="1:4">
      <c r="A26" s="225" t="s">
        <v>458</v>
      </c>
      <c r="B26" s="243">
        <v>10.5067</v>
      </c>
      <c r="C26" s="244">
        <v>-33</v>
      </c>
      <c r="D26" s="245">
        <v>8</v>
      </c>
    </row>
    <row r="27" spans="1:4">
      <c r="B27" s="249"/>
      <c r="C27" s="249"/>
      <c r="D27" s="249"/>
    </row>
  </sheetData>
  <mergeCells count="1">
    <mergeCell ref="A1:D1"/>
  </mergeCells>
  <pageMargins left="0.75" right="0.75" top="0.388888888888889" bottom="0.388888888888889" header="0.509027777777778" footer="0.509027777777778"/>
  <pageSetup paperSize="9" scale="96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19"/>
  <sheetViews>
    <sheetView zoomScale="80" zoomScaleNormal="80" workbookViewId="0">
      <selection activeCell="E27" sqref="E27"/>
    </sheetView>
  </sheetViews>
  <sheetFormatPr defaultColWidth="9" defaultRowHeight="14.25"/>
  <cols>
    <col min="1" max="1" width="27.875" customWidth="1"/>
    <col min="2" max="2" width="17.375" customWidth="1"/>
    <col min="3" max="3" width="15" customWidth="1"/>
    <col min="4" max="5" width="10.625" customWidth="1"/>
    <col min="6" max="6" width="12.6583333333333" customWidth="1"/>
    <col min="7" max="7" width="10.625" customWidth="1"/>
    <col min="8" max="8" width="12.625" customWidth="1"/>
    <col min="9" max="9" width="11.625" customWidth="1"/>
    <col min="10" max="11" width="12.625" customWidth="1"/>
    <col min="14" max="14" width="12.625" customWidth="1"/>
  </cols>
  <sheetData>
    <row r="1" ht="28.5" customHeight="1" spans="1:9">
      <c r="A1" s="86" t="s">
        <v>36</v>
      </c>
      <c r="B1" s="86"/>
      <c r="C1" s="86"/>
      <c r="D1" s="705"/>
      <c r="E1" s="706"/>
      <c r="F1" s="706"/>
      <c r="G1" s="706"/>
    </row>
    <row r="2" ht="20" customHeight="1" spans="1:9">
      <c r="A2" s="707"/>
      <c r="B2" s="707"/>
      <c r="C2" s="376" t="s">
        <v>37</v>
      </c>
      <c r="D2" s="128"/>
      <c r="E2" s="128"/>
      <c r="F2" s="128"/>
      <c r="G2" s="128"/>
      <c r="H2" s="128"/>
    </row>
    <row r="3" ht="35.25" customHeight="1" spans="1:9">
      <c r="A3" s="333" t="s">
        <v>38</v>
      </c>
      <c r="B3" s="285" t="s">
        <v>34</v>
      </c>
      <c r="C3" s="286" t="s">
        <v>5</v>
      </c>
      <c r="D3" s="128"/>
      <c r="E3" s="128"/>
      <c r="F3" s="128"/>
      <c r="G3" s="128"/>
      <c r="H3" s="128"/>
    </row>
    <row r="4" ht="32.1" customHeight="1" spans="1:9">
      <c r="A4" s="233" t="s">
        <v>39</v>
      </c>
      <c r="B4" s="708">
        <v>3008.39</v>
      </c>
      <c r="C4" s="709">
        <v>6</v>
      </c>
      <c r="D4" s="128"/>
      <c r="E4" s="128"/>
      <c r="F4" s="128"/>
      <c r="G4" s="128"/>
      <c r="H4" s="128"/>
      <c r="I4" s="122"/>
    </row>
    <row r="5" ht="32.1" customHeight="1" spans="1:9">
      <c r="A5" s="233" t="s">
        <v>40</v>
      </c>
      <c r="B5" s="710">
        <v>533.61</v>
      </c>
      <c r="C5" s="711">
        <v>4.5</v>
      </c>
      <c r="D5" s="128"/>
      <c r="E5" s="128"/>
      <c r="F5" s="128"/>
      <c r="G5" s="128"/>
      <c r="H5" s="128"/>
      <c r="I5" s="122"/>
    </row>
    <row r="6" ht="32.1" customHeight="1" spans="1:9">
      <c r="A6" s="233" t="s">
        <v>41</v>
      </c>
      <c r="B6" s="710">
        <v>1086.61</v>
      </c>
      <c r="C6" s="711">
        <v>5.2</v>
      </c>
      <c r="D6" s="128"/>
      <c r="E6" s="128"/>
      <c r="F6" s="128"/>
      <c r="G6" s="128"/>
      <c r="H6" s="128"/>
      <c r="I6" s="122"/>
    </row>
    <row r="7" ht="32.1" customHeight="1" spans="1:9">
      <c r="A7" s="233" t="s">
        <v>42</v>
      </c>
      <c r="B7" s="712">
        <v>157.71</v>
      </c>
      <c r="C7" s="713">
        <v>6.2</v>
      </c>
      <c r="D7" s="128"/>
      <c r="E7" s="128"/>
      <c r="F7" s="128"/>
      <c r="G7" s="128"/>
      <c r="H7" s="128"/>
      <c r="I7" s="122"/>
    </row>
    <row r="8" ht="32.1" customHeight="1" spans="1:9">
      <c r="A8" s="233" t="s">
        <v>43</v>
      </c>
      <c r="B8" s="714">
        <v>1388.16</v>
      </c>
      <c r="C8" s="715">
        <v>7.2</v>
      </c>
      <c r="D8" s="128"/>
      <c r="E8" s="128"/>
      <c r="F8" s="128"/>
      <c r="G8" s="128"/>
      <c r="H8" s="128"/>
      <c r="I8" s="122"/>
    </row>
    <row r="9" ht="32.1" customHeight="1" spans="1:9">
      <c r="A9" s="233" t="s">
        <v>44</v>
      </c>
      <c r="B9" s="716">
        <v>165.98</v>
      </c>
      <c r="C9" s="717">
        <v>6.2</v>
      </c>
      <c r="D9" s="128"/>
      <c r="E9" s="128"/>
      <c r="F9" s="128"/>
      <c r="G9" s="128"/>
      <c r="H9" s="128"/>
      <c r="I9" s="718"/>
    </row>
    <row r="10" ht="32.1" customHeight="1" spans="1:9">
      <c r="A10" s="233" t="s">
        <v>45</v>
      </c>
      <c r="B10" s="719">
        <v>261.88</v>
      </c>
      <c r="C10" s="720">
        <v>5.1</v>
      </c>
      <c r="D10" s="128"/>
      <c r="E10" s="128"/>
      <c r="F10" s="128"/>
      <c r="G10" s="128"/>
      <c r="H10" s="128"/>
      <c r="I10" s="718"/>
    </row>
    <row r="11" ht="32.1" customHeight="1" spans="1:9">
      <c r="A11" s="233" t="s">
        <v>46</v>
      </c>
      <c r="B11" s="721">
        <v>47.03</v>
      </c>
      <c r="C11" s="722">
        <v>3.1</v>
      </c>
      <c r="D11" s="128"/>
      <c r="E11" s="128"/>
      <c r="F11" s="128"/>
      <c r="G11" s="128"/>
      <c r="H11" s="128"/>
      <c r="I11" s="718"/>
    </row>
    <row r="12" ht="32.1" customHeight="1" spans="1:9">
      <c r="A12" s="233" t="s">
        <v>47</v>
      </c>
      <c r="B12" s="723">
        <v>96.2</v>
      </c>
      <c r="C12" s="724">
        <v>6.7</v>
      </c>
      <c r="D12" s="128"/>
      <c r="E12" s="128"/>
      <c r="F12" s="128"/>
      <c r="G12" s="128"/>
      <c r="H12" s="128"/>
      <c r="I12" s="718"/>
    </row>
    <row r="13" ht="32.1" customHeight="1" spans="1:9">
      <c r="A13" s="233" t="s">
        <v>48</v>
      </c>
      <c r="B13" s="725">
        <v>179.63</v>
      </c>
      <c r="C13" s="726">
        <v>2</v>
      </c>
      <c r="D13" s="128"/>
      <c r="E13" s="128"/>
      <c r="F13" s="128"/>
      <c r="G13" s="128"/>
      <c r="H13" s="128"/>
      <c r="I13" s="718"/>
    </row>
    <row r="14" ht="32.1" customHeight="1" spans="1:9">
      <c r="A14" s="233" t="s">
        <v>49</v>
      </c>
      <c r="B14" s="727">
        <v>163.3</v>
      </c>
      <c r="C14" s="728">
        <v>20.5</v>
      </c>
      <c r="D14" s="128"/>
      <c r="E14" s="128"/>
      <c r="F14" s="128"/>
      <c r="G14" s="128"/>
      <c r="H14" s="128"/>
      <c r="I14" s="718"/>
    </row>
    <row r="15" ht="32.1" customHeight="1" spans="1:9">
      <c r="A15" s="729" t="s">
        <v>50</v>
      </c>
      <c r="B15" s="730">
        <v>453.06</v>
      </c>
      <c r="C15" s="731">
        <v>7.7</v>
      </c>
      <c r="D15" s="128"/>
      <c r="E15" s="128"/>
      <c r="F15" s="128"/>
      <c r="G15" s="128"/>
      <c r="H15" s="128"/>
      <c r="I15" s="718"/>
    </row>
    <row r="16" ht="32.1" customHeight="1" spans="1:9">
      <c r="A16" s="732" t="s">
        <v>51</v>
      </c>
      <c r="B16" s="733">
        <v>546.36</v>
      </c>
      <c r="C16" s="734">
        <v>4.8</v>
      </c>
      <c r="D16" s="128"/>
      <c r="E16" s="128"/>
      <c r="F16" s="128"/>
      <c r="G16" s="128"/>
      <c r="H16" s="128"/>
      <c r="I16" s="718"/>
    </row>
    <row r="17" ht="32.1" customHeight="1" spans="1:9">
      <c r="A17" s="233" t="s">
        <v>52</v>
      </c>
      <c r="B17" s="735">
        <v>937.25</v>
      </c>
      <c r="C17" s="736">
        <v>4.8</v>
      </c>
      <c r="D17" s="128"/>
      <c r="E17" s="128"/>
      <c r="F17" s="128"/>
      <c r="G17" s="128"/>
      <c r="H17" s="128"/>
      <c r="I17" s="168"/>
    </row>
    <row r="18" ht="32.1" customHeight="1" spans="1:9">
      <c r="A18" s="737" t="s">
        <v>53</v>
      </c>
      <c r="B18" s="738" t="s">
        <v>54</v>
      </c>
      <c r="C18" s="739"/>
      <c r="D18" s="128"/>
      <c r="E18" s="128"/>
      <c r="F18" s="128"/>
      <c r="G18" s="128"/>
      <c r="H18" s="128"/>
      <c r="I18" s="718"/>
    </row>
    <row r="19" ht="21" customHeight="1" spans="1:9">
      <c r="A19" s="740" t="s">
        <v>55</v>
      </c>
      <c r="B19" s="740"/>
      <c r="C19" s="740"/>
      <c r="D19" s="128"/>
      <c r="E19" s="128"/>
      <c r="F19" s="128"/>
      <c r="G19" s="128"/>
      <c r="H19" s="128"/>
    </row>
  </sheetData>
  <mergeCells count="3">
    <mergeCell ref="A1:C1"/>
    <mergeCell ref="B18:C18"/>
    <mergeCell ref="A19:C19"/>
  </mergeCells>
  <printOptions horizontalCentered="1"/>
  <pageMargins left="0.75" right="0.75" top="0.979166666666667" bottom="0.979166666666667" header="0.509027777777778" footer="0.509027777777778"/>
  <pageSetup paperSize="9" orientation="portrait" blackAndWhite="1"/>
  <headerFooter alignWithMargins="0" scaleWithDoc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28"/>
  <sheetViews>
    <sheetView workbookViewId="0">
      <selection activeCell="F21" sqref="F21"/>
    </sheetView>
  </sheetViews>
  <sheetFormatPr defaultColWidth="9" defaultRowHeight="14.25" outlineLevelCol="5"/>
  <cols>
    <col min="1" max="1" width="32.75" style="45" customWidth="1"/>
    <col min="2" max="4" width="13.125" style="44" customWidth="1"/>
    <col min="5" max="16384" width="9" style="44"/>
  </cols>
  <sheetData>
    <row r="1" ht="33.75" customHeight="1" spans="1:6">
      <c r="A1" s="204" t="s">
        <v>511</v>
      </c>
      <c r="B1" s="204"/>
      <c r="C1" s="204"/>
      <c r="D1" s="204"/>
    </row>
    <row r="2" ht="20.25" customHeight="1" spans="1:6">
      <c r="A2" s="227"/>
      <c r="B2" s="227"/>
      <c r="C2" s="228" t="s">
        <v>37</v>
      </c>
      <c r="D2" s="228"/>
    </row>
    <row r="3" ht="31.5" customHeight="1" spans="1:6">
      <c r="A3" s="91" t="s">
        <v>445</v>
      </c>
      <c r="B3" s="149" t="s">
        <v>79</v>
      </c>
      <c r="C3" s="92" t="s">
        <v>5</v>
      </c>
      <c r="D3" s="149" t="s">
        <v>446</v>
      </c>
    </row>
    <row r="4" ht="18" customHeight="1" spans="1:6">
      <c r="A4" s="229" t="s">
        <v>512</v>
      </c>
      <c r="B4" s="230"/>
      <c r="C4" s="231"/>
      <c r="D4" s="232"/>
      <c r="E4" s="209"/>
    </row>
    <row r="5" ht="18" customHeight="1" spans="1:6">
      <c r="A5" s="233" t="s">
        <v>448</v>
      </c>
      <c r="B5" s="234">
        <v>24.8697</v>
      </c>
      <c r="C5" s="235">
        <v>11.8</v>
      </c>
      <c r="D5" s="232" t="s">
        <v>8</v>
      </c>
      <c r="F5" s="214"/>
    </row>
    <row r="6" ht="18" customHeight="1" spans="1:6">
      <c r="A6" s="233" t="s">
        <v>449</v>
      </c>
      <c r="B6" s="236">
        <v>0.6459</v>
      </c>
      <c r="C6" s="235">
        <v>-12.1</v>
      </c>
      <c r="D6" s="232">
        <v>8</v>
      </c>
      <c r="F6" s="214"/>
    </row>
    <row r="7" ht="18" customHeight="1" spans="1:6">
      <c r="A7" s="219" t="s">
        <v>450</v>
      </c>
      <c r="B7" s="236">
        <v>1.5358</v>
      </c>
      <c r="C7" s="235">
        <v>-13.2</v>
      </c>
      <c r="D7" s="232">
        <v>10</v>
      </c>
      <c r="F7" s="214"/>
    </row>
    <row r="8" ht="18" customHeight="1" spans="1:6">
      <c r="A8" s="237" t="s">
        <v>451</v>
      </c>
      <c r="B8" s="236">
        <v>0.5499</v>
      </c>
      <c r="C8" s="235">
        <v>7.3</v>
      </c>
      <c r="D8" s="232">
        <v>6</v>
      </c>
      <c r="F8" s="214"/>
    </row>
    <row r="9" ht="18" customHeight="1" spans="1:6">
      <c r="A9" s="219" t="s">
        <v>452</v>
      </c>
      <c r="B9" s="236">
        <v>1.5524</v>
      </c>
      <c r="C9" s="235">
        <v>22.8</v>
      </c>
      <c r="D9" s="232">
        <v>2</v>
      </c>
      <c r="F9" s="214"/>
    </row>
    <row r="10" ht="18" customHeight="1" spans="1:6">
      <c r="A10" s="219" t="s">
        <v>453</v>
      </c>
      <c r="B10" s="236">
        <v>3.8909</v>
      </c>
      <c r="C10" s="238">
        <v>71.9</v>
      </c>
      <c r="D10" s="232">
        <v>1</v>
      </c>
    </row>
    <row r="11" ht="18" customHeight="1" spans="1:6">
      <c r="A11" s="219" t="s">
        <v>454</v>
      </c>
      <c r="B11" s="103">
        <v>1.7609</v>
      </c>
      <c r="C11" s="239">
        <v>17.3</v>
      </c>
      <c r="D11" s="232">
        <v>3</v>
      </c>
    </row>
    <row r="12" ht="18" customHeight="1" spans="1:6">
      <c r="A12" s="219" t="s">
        <v>455</v>
      </c>
      <c r="B12" s="103">
        <v>1.0858</v>
      </c>
      <c r="C12" s="239">
        <v>14.8</v>
      </c>
      <c r="D12" s="232">
        <v>5</v>
      </c>
    </row>
    <row r="13" ht="18" customHeight="1" spans="1:6">
      <c r="A13" s="219" t="s">
        <v>456</v>
      </c>
      <c r="B13" s="103">
        <v>1.2456</v>
      </c>
      <c r="C13" s="239">
        <v>-2.4</v>
      </c>
      <c r="D13" s="232">
        <v>7</v>
      </c>
    </row>
    <row r="14" ht="18" customHeight="1" spans="1:6">
      <c r="A14" s="219" t="s">
        <v>457</v>
      </c>
      <c r="B14" s="103">
        <v>1.0078</v>
      </c>
      <c r="C14" s="239">
        <v>-12.8</v>
      </c>
      <c r="D14" s="232">
        <v>9</v>
      </c>
    </row>
    <row r="15" ht="18" customHeight="1" spans="1:6">
      <c r="A15" s="219" t="s">
        <v>458</v>
      </c>
      <c r="B15" s="103">
        <v>1.9454</v>
      </c>
      <c r="C15" s="239">
        <v>15.2</v>
      </c>
      <c r="D15" s="232">
        <v>4</v>
      </c>
    </row>
    <row r="16" ht="18" customHeight="1" spans="1:6">
      <c r="A16" s="240" t="s">
        <v>513</v>
      </c>
      <c r="B16" s="103"/>
      <c r="C16" s="152"/>
      <c r="D16" s="241"/>
    </row>
    <row r="17" ht="18" customHeight="1" spans="1:6">
      <c r="A17" s="210" t="s">
        <v>448</v>
      </c>
      <c r="B17" s="103">
        <v>66.731</v>
      </c>
      <c r="C17" s="242">
        <v>16</v>
      </c>
      <c r="D17" s="232" t="s">
        <v>8</v>
      </c>
    </row>
    <row r="18" ht="18" customHeight="1" spans="1:6">
      <c r="A18" s="210" t="s">
        <v>449</v>
      </c>
      <c r="B18" s="103">
        <v>1.9694</v>
      </c>
      <c r="C18" s="239">
        <v>6.2</v>
      </c>
      <c r="D18" s="232">
        <v>9</v>
      </c>
      <c r="F18" s="209"/>
    </row>
    <row r="19" ht="18" customHeight="1" spans="1:6">
      <c r="A19" s="217" t="s">
        <v>450</v>
      </c>
      <c r="B19" s="103">
        <v>3.2825</v>
      </c>
      <c r="C19" s="239">
        <v>17.8</v>
      </c>
      <c r="D19" s="232">
        <v>5</v>
      </c>
      <c r="F19" s="209"/>
    </row>
    <row r="20" ht="18" customHeight="1" spans="1:6">
      <c r="A20" s="218" t="s">
        <v>451</v>
      </c>
      <c r="B20" s="103">
        <v>1.7737</v>
      </c>
      <c r="C20" s="239">
        <v>9.9</v>
      </c>
      <c r="D20" s="232">
        <v>8</v>
      </c>
      <c r="F20" s="209"/>
    </row>
    <row r="21" ht="18" customHeight="1" spans="1:6">
      <c r="A21" s="217" t="s">
        <v>452</v>
      </c>
      <c r="B21" s="103">
        <v>2.7843</v>
      </c>
      <c r="C21" s="239">
        <v>27.2</v>
      </c>
      <c r="D21" s="232">
        <v>3</v>
      </c>
      <c r="F21" s="209"/>
    </row>
    <row r="22" ht="18" customHeight="1" spans="1:6">
      <c r="A22" s="217" t="s">
        <v>453</v>
      </c>
      <c r="B22" s="103">
        <v>3.2671</v>
      </c>
      <c r="C22" s="239">
        <v>14.1</v>
      </c>
      <c r="D22" s="232">
        <v>6</v>
      </c>
    </row>
    <row r="23" ht="18" customHeight="1" spans="1:6">
      <c r="A23" s="217" t="s">
        <v>454</v>
      </c>
      <c r="B23" s="103">
        <v>6.1535</v>
      </c>
      <c r="C23" s="239">
        <v>11</v>
      </c>
      <c r="D23" s="232">
        <v>7</v>
      </c>
    </row>
    <row r="24" ht="18" customHeight="1" spans="1:6">
      <c r="A24" s="219" t="s">
        <v>455</v>
      </c>
      <c r="B24" s="103">
        <v>5.6502</v>
      </c>
      <c r="C24" s="239">
        <v>23.7</v>
      </c>
      <c r="D24" s="232">
        <v>4</v>
      </c>
    </row>
    <row r="25" ht="18" customHeight="1" spans="1:6">
      <c r="A25" s="219" t="s">
        <v>456</v>
      </c>
      <c r="B25" s="103">
        <v>8.7633</v>
      </c>
      <c r="C25" s="239">
        <v>-7.5</v>
      </c>
      <c r="D25" s="232">
        <v>10</v>
      </c>
    </row>
    <row r="26" ht="18" customHeight="1" spans="1:6">
      <c r="A26" s="219" t="s">
        <v>457</v>
      </c>
      <c r="B26" s="103">
        <v>6.8898</v>
      </c>
      <c r="C26" s="239">
        <v>80.9</v>
      </c>
      <c r="D26" s="232">
        <v>1</v>
      </c>
    </row>
    <row r="27" ht="18" customHeight="1" spans="1:6">
      <c r="A27" s="225" t="s">
        <v>458</v>
      </c>
      <c r="B27" s="243">
        <v>10.4736</v>
      </c>
      <c r="C27" s="244">
        <v>27.9</v>
      </c>
      <c r="D27" s="245">
        <v>2</v>
      </c>
    </row>
    <row r="28" ht="21" customHeight="1" spans="1:6">
      <c r="A28" s="143" t="s">
        <v>514</v>
      </c>
      <c r="B28" s="143"/>
      <c r="C28" s="143"/>
      <c r="D28" s="143"/>
    </row>
  </sheetData>
  <mergeCells count="3">
    <mergeCell ref="A1:D1"/>
    <mergeCell ref="C2:D2"/>
    <mergeCell ref="A28:D28"/>
  </mergeCells>
  <pageMargins left="0.75" right="0.75" top="0.388888888888889" bottom="0.388888888888889" header="0.509027777777778" footer="0.509027777777778"/>
  <pageSetup paperSize="9" scale="96" orientation="portrait"/>
  <headerFooter alignWithMargins="0" scaleWithDoc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28"/>
  <sheetViews>
    <sheetView workbookViewId="0">
      <selection activeCell="A28" sqref="A28:D28"/>
    </sheetView>
  </sheetViews>
  <sheetFormatPr defaultColWidth="9" defaultRowHeight="14.25" outlineLevelCol="5"/>
  <cols>
    <col min="1" max="1" width="32.75" style="45" customWidth="1"/>
    <col min="2" max="4" width="13.125" style="44" customWidth="1"/>
    <col min="5" max="16384" width="9" style="44"/>
  </cols>
  <sheetData>
    <row r="1" ht="33.75" customHeight="1" spans="1:6">
      <c r="A1" s="204" t="s">
        <v>515</v>
      </c>
      <c r="B1" s="204"/>
      <c r="C1" s="204"/>
      <c r="D1" s="204"/>
    </row>
    <row r="2" ht="31.5" customHeight="1" spans="1:6">
      <c r="A2" s="91" t="s">
        <v>445</v>
      </c>
      <c r="B2" s="149" t="s">
        <v>79</v>
      </c>
      <c r="C2" s="92" t="s">
        <v>5</v>
      </c>
      <c r="D2" s="149" t="s">
        <v>446</v>
      </c>
    </row>
    <row r="3" ht="27" customHeight="1" spans="1:6">
      <c r="A3" s="205" t="s">
        <v>516</v>
      </c>
      <c r="B3" s="206"/>
      <c r="C3" s="207"/>
      <c r="D3" s="208"/>
      <c r="E3" s="209"/>
    </row>
    <row r="4" ht="18" customHeight="1" spans="1:6">
      <c r="A4" s="210" t="s">
        <v>448</v>
      </c>
      <c r="B4" s="211">
        <v>36.8029</v>
      </c>
      <c r="C4" s="212">
        <v>44.4</v>
      </c>
      <c r="D4" s="213" t="s">
        <v>8</v>
      </c>
      <c r="F4" s="214"/>
    </row>
    <row r="5" ht="18" customHeight="1" spans="1:6">
      <c r="A5" s="210" t="s">
        <v>449</v>
      </c>
      <c r="B5" s="215" t="s">
        <v>8</v>
      </c>
      <c r="C5" s="216" t="s">
        <v>8</v>
      </c>
      <c r="D5" s="213" t="s">
        <v>8</v>
      </c>
      <c r="F5" s="214"/>
    </row>
    <row r="6" ht="18" customHeight="1" spans="1:6">
      <c r="A6" s="217" t="s">
        <v>450</v>
      </c>
      <c r="B6" s="215" t="s">
        <v>8</v>
      </c>
      <c r="C6" s="216" t="s">
        <v>8</v>
      </c>
      <c r="D6" s="213" t="s">
        <v>8</v>
      </c>
      <c r="F6" s="214"/>
    </row>
    <row r="7" ht="18" customHeight="1" spans="1:6">
      <c r="A7" s="218" t="s">
        <v>451</v>
      </c>
      <c r="B7" s="215" t="s">
        <v>8</v>
      </c>
      <c r="C7" s="216" t="s">
        <v>8</v>
      </c>
      <c r="D7" s="213" t="s">
        <v>8</v>
      </c>
      <c r="F7" s="214"/>
    </row>
    <row r="8" ht="18" customHeight="1" spans="1:6">
      <c r="A8" s="217" t="s">
        <v>452</v>
      </c>
      <c r="B8" s="215" t="s">
        <v>8</v>
      </c>
      <c r="C8" s="216" t="s">
        <v>8</v>
      </c>
      <c r="D8" s="213" t="s">
        <v>8</v>
      </c>
      <c r="F8" s="214"/>
    </row>
    <row r="9" ht="18" customHeight="1" spans="1:6">
      <c r="A9" s="217" t="s">
        <v>453</v>
      </c>
      <c r="B9" s="215" t="s">
        <v>8</v>
      </c>
      <c r="C9" s="216" t="s">
        <v>8</v>
      </c>
      <c r="D9" s="213" t="s">
        <v>8</v>
      </c>
    </row>
    <row r="10" ht="18" customHeight="1" spans="1:6">
      <c r="A10" s="217" t="s">
        <v>454</v>
      </c>
      <c r="B10" s="215" t="s">
        <v>8</v>
      </c>
      <c r="C10" s="216" t="s">
        <v>8</v>
      </c>
      <c r="D10" s="213" t="s">
        <v>8</v>
      </c>
    </row>
    <row r="11" ht="18" customHeight="1" spans="1:6">
      <c r="A11" s="219" t="s">
        <v>455</v>
      </c>
      <c r="B11" s="215" t="s">
        <v>8</v>
      </c>
      <c r="C11" s="216" t="s">
        <v>8</v>
      </c>
      <c r="D11" s="213" t="s">
        <v>8</v>
      </c>
    </row>
    <row r="12" ht="18" customHeight="1" spans="1:6">
      <c r="A12" s="219" t="s">
        <v>456</v>
      </c>
      <c r="B12" s="215" t="s">
        <v>8</v>
      </c>
      <c r="C12" s="216" t="s">
        <v>8</v>
      </c>
      <c r="D12" s="213" t="s">
        <v>8</v>
      </c>
    </row>
    <row r="13" ht="18" customHeight="1" spans="1:6">
      <c r="A13" s="219" t="s">
        <v>457</v>
      </c>
      <c r="B13" s="215" t="s">
        <v>8</v>
      </c>
      <c r="C13" s="216" t="s">
        <v>8</v>
      </c>
      <c r="D13" s="213" t="s">
        <v>8</v>
      </c>
    </row>
    <row r="14" ht="18" customHeight="1" spans="1:6">
      <c r="A14" s="219" t="s">
        <v>458</v>
      </c>
      <c r="B14" s="215" t="s">
        <v>8</v>
      </c>
      <c r="C14" s="216" t="s">
        <v>8</v>
      </c>
      <c r="D14" s="213" t="s">
        <v>8</v>
      </c>
    </row>
    <row r="15" ht="26.1" customHeight="1" spans="1:6">
      <c r="A15" s="205" t="s">
        <v>517</v>
      </c>
      <c r="B15" s="220"/>
      <c r="C15" s="221"/>
      <c r="D15" s="213"/>
    </row>
    <row r="16" ht="18" customHeight="1" spans="1:6">
      <c r="A16" s="210" t="s">
        <v>448</v>
      </c>
      <c r="B16" s="222">
        <v>1197</v>
      </c>
      <c r="C16" s="223">
        <v>5.7</v>
      </c>
      <c r="D16" s="213" t="s">
        <v>8</v>
      </c>
    </row>
    <row r="17" ht="18" customHeight="1" spans="1:6">
      <c r="A17" s="210" t="s">
        <v>449</v>
      </c>
      <c r="B17" s="222">
        <v>0</v>
      </c>
      <c r="C17" s="223">
        <v>-100</v>
      </c>
      <c r="D17" s="213" t="s">
        <v>8</v>
      </c>
      <c r="F17" s="209"/>
    </row>
    <row r="18" ht="18" customHeight="1" spans="1:6">
      <c r="A18" s="217" t="s">
        <v>450</v>
      </c>
      <c r="B18" s="222">
        <v>0</v>
      </c>
      <c r="C18" s="223">
        <v>-100</v>
      </c>
      <c r="D18" s="213" t="s">
        <v>8</v>
      </c>
      <c r="F18" s="209"/>
    </row>
    <row r="19" ht="18" customHeight="1" spans="1:6">
      <c r="A19" s="218" t="s">
        <v>451</v>
      </c>
      <c r="B19" s="222">
        <v>126</v>
      </c>
      <c r="C19" s="224" t="s">
        <v>8</v>
      </c>
      <c r="D19" s="213" t="s">
        <v>8</v>
      </c>
      <c r="F19" s="209"/>
    </row>
    <row r="20" ht="18" customHeight="1" spans="1:6">
      <c r="A20" s="217" t="s">
        <v>452</v>
      </c>
      <c r="B20" s="222">
        <v>474</v>
      </c>
      <c r="C20" s="223">
        <v>4209.1</v>
      </c>
      <c r="D20" s="213" t="s">
        <v>8</v>
      </c>
      <c r="F20" s="209"/>
    </row>
    <row r="21" ht="18" customHeight="1" spans="1:6">
      <c r="A21" s="217" t="s">
        <v>453</v>
      </c>
      <c r="B21" s="222">
        <v>0</v>
      </c>
      <c r="C21" s="213" t="s">
        <v>8</v>
      </c>
      <c r="D21" s="213" t="s">
        <v>8</v>
      </c>
    </row>
    <row r="22" ht="18" customHeight="1" spans="1:6">
      <c r="A22" s="217" t="s">
        <v>454</v>
      </c>
      <c r="B22" s="222">
        <v>577</v>
      </c>
      <c r="C22" s="224" t="s">
        <v>8</v>
      </c>
      <c r="D22" s="213" t="s">
        <v>8</v>
      </c>
    </row>
    <row r="23" ht="18" customHeight="1" spans="1:6">
      <c r="A23" s="219" t="s">
        <v>455</v>
      </c>
      <c r="B23" s="222">
        <v>0</v>
      </c>
      <c r="C23" s="223">
        <v>-100</v>
      </c>
      <c r="D23" s="213" t="s">
        <v>8</v>
      </c>
    </row>
    <row r="24" ht="18" customHeight="1" spans="1:6">
      <c r="A24" s="219" t="s">
        <v>456</v>
      </c>
      <c r="B24" s="222">
        <v>0</v>
      </c>
      <c r="C24" s="224" t="s">
        <v>8</v>
      </c>
      <c r="D24" s="213" t="s">
        <v>8</v>
      </c>
    </row>
    <row r="25" ht="18" customHeight="1" spans="1:6">
      <c r="A25" s="219" t="s">
        <v>467</v>
      </c>
      <c r="B25" s="213" t="s">
        <v>8</v>
      </c>
      <c r="C25" s="213" t="s">
        <v>8</v>
      </c>
      <c r="D25" s="213" t="s">
        <v>8</v>
      </c>
    </row>
    <row r="26" ht="18" customHeight="1" spans="1:6">
      <c r="A26" s="219" t="s">
        <v>457</v>
      </c>
      <c r="B26" s="222">
        <v>0</v>
      </c>
      <c r="C26" s="223">
        <v>-100</v>
      </c>
      <c r="D26" s="213" t="s">
        <v>8</v>
      </c>
    </row>
    <row r="27" ht="18" customHeight="1" spans="1:6">
      <c r="A27" s="225" t="s">
        <v>458</v>
      </c>
      <c r="B27" s="222">
        <v>20</v>
      </c>
      <c r="C27" s="213" t="s">
        <v>8</v>
      </c>
      <c r="D27" s="213" t="s">
        <v>8</v>
      </c>
    </row>
    <row r="28" ht="18" customHeight="1" spans="1:6">
      <c r="A28" s="226" t="s">
        <v>514</v>
      </c>
      <c r="B28" s="226"/>
      <c r="C28" s="226"/>
      <c r="D28" s="226"/>
    </row>
  </sheetData>
  <mergeCells count="2">
    <mergeCell ref="A1:D1"/>
    <mergeCell ref="A28:D28"/>
  </mergeCells>
  <pageMargins left="0.75" right="0.75" top="0.388888888888889" bottom="0.388888888888889" header="0.509027777777778" footer="0.509027777777778"/>
  <pageSetup paperSize="9" scale="96" orientation="portrait"/>
  <headerFooter alignWithMargins="0" scaleWithDoc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O27"/>
  <sheetViews>
    <sheetView workbookViewId="0">
      <selection activeCell="K11" sqref="K11"/>
    </sheetView>
  </sheetViews>
  <sheetFormatPr defaultColWidth="9" defaultRowHeight="14.25"/>
  <cols>
    <col min="1" max="1" width="16.375" customWidth="1"/>
    <col min="2" max="2" width="13" customWidth="1"/>
    <col min="3" max="3" width="9.375" customWidth="1"/>
    <col min="4" max="4" width="8.625" customWidth="1"/>
    <col min="5" max="5" width="14.625" customWidth="1"/>
    <col min="6" max="6" width="10.5" customWidth="1"/>
    <col min="7" max="7" width="8.625" customWidth="1"/>
  </cols>
  <sheetData>
    <row r="1" ht="24" spans="1:15">
      <c r="A1" t="s">
        <v>518</v>
      </c>
      <c r="G1" s="174"/>
    </row>
    <row r="2" ht="29.1" customHeight="1" spans="1:15">
      <c r="A2" t="s">
        <v>37</v>
      </c>
    </row>
    <row r="3" s="171" customFormat="1" ht="30" customHeight="1" spans="1:15">
      <c r="A3" t="s">
        <v>519</v>
      </c>
      <c r="B3" t="s">
        <v>520</v>
      </c>
      <c r="C3"/>
      <c r="D3"/>
      <c r="E3" t="s">
        <v>521</v>
      </c>
      <c r="F3"/>
      <c r="G3"/>
    </row>
    <row r="4" s="172" customFormat="1" ht="36" customHeight="1" spans="1:15">
      <c r="A4"/>
      <c r="B4" s="175" t="s">
        <v>522</v>
      </c>
      <c r="C4" s="176" t="s">
        <v>523</v>
      </c>
      <c r="D4" s="177" t="s">
        <v>446</v>
      </c>
      <c r="E4" s="175" t="s">
        <v>522</v>
      </c>
      <c r="F4" s="178" t="s">
        <v>523</v>
      </c>
      <c r="G4" s="178" t="s">
        <v>446</v>
      </c>
      <c r="H4" s="179"/>
      <c r="O4" s="180"/>
    </row>
    <row r="5" s="172" customFormat="1" ht="25.5" customHeight="1" spans="1:15">
      <c r="A5" s="181" t="s">
        <v>524</v>
      </c>
      <c r="B5" s="182" t="s">
        <v>8</v>
      </c>
      <c r="C5" s="182" t="s">
        <v>8</v>
      </c>
      <c r="D5" s="182" t="s">
        <v>8</v>
      </c>
      <c r="E5" s="183" t="s">
        <v>8</v>
      </c>
      <c r="F5" s="184" t="s">
        <v>8</v>
      </c>
      <c r="G5" s="182" t="s">
        <v>8</v>
      </c>
      <c r="I5" s="185"/>
      <c r="J5" s="185"/>
      <c r="K5" s="186"/>
      <c r="O5" s="180"/>
    </row>
    <row r="6" s="172" customFormat="1" ht="23.1" customHeight="1" spans="1:15">
      <c r="A6" s="181" t="s">
        <v>525</v>
      </c>
      <c r="B6" s="187">
        <v>4837.68</v>
      </c>
      <c r="C6" s="11">
        <v>6.2</v>
      </c>
      <c r="D6" s="182" t="s">
        <v>8</v>
      </c>
      <c r="E6" s="187">
        <v>716.8</v>
      </c>
      <c r="F6" s="188">
        <v>-5.3</v>
      </c>
      <c r="G6" s="182" t="s">
        <v>8</v>
      </c>
      <c r="I6" s="185"/>
      <c r="J6" s="189"/>
      <c r="O6" s="190"/>
    </row>
    <row r="7" ht="23.1" customHeight="1" spans="1:15">
      <c r="A7" s="172" t="s">
        <v>526</v>
      </c>
      <c r="B7" s="187" t="e">
        <v>#REF!</v>
      </c>
      <c r="C7" s="11" t="e">
        <v>#REF!</v>
      </c>
      <c r="D7" s="191" t="e">
        <f t="shared" ref="D7:D27" si="0">RANK(C7,$C$7:$C$27,0)</f>
        <v>#REF!</v>
      </c>
      <c r="E7" s="187" t="e">
        <v>#REF!</v>
      </c>
      <c r="F7" s="188" t="e">
        <v>#REF!</v>
      </c>
      <c r="G7" s="182" t="e">
        <f t="shared" ref="G7:G27" si="1">RANK(F7,$F$7:$F$27,0)</f>
        <v>#REF!</v>
      </c>
      <c r="I7" s="192"/>
      <c r="J7" s="193"/>
      <c r="K7" s="194"/>
      <c r="L7" s="195"/>
      <c r="O7" s="196"/>
    </row>
    <row r="8" ht="23.1" customHeight="1" spans="1:15">
      <c r="A8" s="172" t="s">
        <v>527</v>
      </c>
      <c r="B8" s="187" t="e">
        <v>#REF!</v>
      </c>
      <c r="C8" s="11" t="e">
        <v>#REF!</v>
      </c>
      <c r="D8" s="191" t="e">
        <f t="shared" si="0"/>
        <v>#REF!</v>
      </c>
      <c r="E8" s="187" t="e">
        <v>#REF!</v>
      </c>
      <c r="F8" s="188" t="e">
        <v>#REF!</v>
      </c>
      <c r="G8" s="182" t="e">
        <f t="shared" si="1"/>
        <v>#REF!</v>
      </c>
      <c r="I8" s="192"/>
      <c r="J8" s="193"/>
      <c r="K8" s="194"/>
      <c r="L8" s="195"/>
      <c r="O8" s="196"/>
    </row>
    <row r="9" ht="23.1" customHeight="1" spans="1:15">
      <c r="A9" s="172" t="s">
        <v>528</v>
      </c>
      <c r="B9" s="187" t="e">
        <v>#REF!</v>
      </c>
      <c r="C9" s="11" t="e">
        <v>#REF!</v>
      </c>
      <c r="D9" s="191" t="e">
        <f t="shared" si="0"/>
        <v>#REF!</v>
      </c>
      <c r="E9" s="187" t="e">
        <v>#REF!</v>
      </c>
      <c r="F9" s="188" t="e">
        <v>#REF!</v>
      </c>
      <c r="G9" s="182" t="e">
        <f t="shared" si="1"/>
        <v>#REF!</v>
      </c>
      <c r="I9" s="192"/>
      <c r="J9" s="193"/>
      <c r="K9" s="194"/>
      <c r="L9" s="195"/>
      <c r="O9" s="196"/>
    </row>
    <row r="10" ht="23.1" customHeight="1" spans="1:15">
      <c r="A10" s="172" t="s">
        <v>529</v>
      </c>
      <c r="B10" s="187" t="e">
        <v>#REF!</v>
      </c>
      <c r="C10" s="11" t="e">
        <v>#REF!</v>
      </c>
      <c r="D10" s="191" t="e">
        <f t="shared" si="0"/>
        <v>#REF!</v>
      </c>
      <c r="E10" s="187" t="e">
        <v>#REF!</v>
      </c>
      <c r="F10" s="188" t="e">
        <v>#REF!</v>
      </c>
      <c r="G10" s="182" t="e">
        <f t="shared" si="1"/>
        <v>#REF!</v>
      </c>
      <c r="I10" s="192"/>
      <c r="J10" s="193"/>
      <c r="K10" s="194"/>
      <c r="L10" s="195"/>
      <c r="O10" s="196"/>
    </row>
    <row r="11" ht="23.1" customHeight="1" spans="1:15">
      <c r="A11" s="172" t="s">
        <v>530</v>
      </c>
      <c r="B11" s="187" t="e">
        <v>#REF!</v>
      </c>
      <c r="C11" s="11" t="e">
        <v>#REF!</v>
      </c>
      <c r="D11" s="191" t="e">
        <f t="shared" si="0"/>
        <v>#REF!</v>
      </c>
      <c r="E11" s="187" t="e">
        <v>#REF!</v>
      </c>
      <c r="F11" s="188" t="e">
        <v>#REF!</v>
      </c>
      <c r="G11" s="182" t="e">
        <f t="shared" si="1"/>
        <v>#REF!</v>
      </c>
      <c r="I11" s="192"/>
      <c r="J11" s="193"/>
      <c r="K11" s="194"/>
      <c r="L11" s="195"/>
      <c r="O11" s="196"/>
    </row>
    <row r="12" ht="23.1" customHeight="1" spans="1:15">
      <c r="A12" s="172" t="s">
        <v>531</v>
      </c>
      <c r="B12" s="187" t="e">
        <v>#REF!</v>
      </c>
      <c r="C12" s="11" t="e">
        <v>#REF!</v>
      </c>
      <c r="D12" s="191" t="e">
        <f t="shared" si="0"/>
        <v>#REF!</v>
      </c>
      <c r="E12" s="187" t="e">
        <v>#REF!</v>
      </c>
      <c r="F12" s="188" t="e">
        <v>#REF!</v>
      </c>
      <c r="G12" s="182" t="e">
        <f t="shared" si="1"/>
        <v>#REF!</v>
      </c>
      <c r="I12" s="192"/>
      <c r="J12" s="193"/>
      <c r="K12" s="194"/>
      <c r="L12" s="195"/>
      <c r="O12" s="196"/>
    </row>
    <row r="13" ht="23.1" customHeight="1" spans="1:15">
      <c r="A13" s="172" t="s">
        <v>532</v>
      </c>
      <c r="B13" s="187" t="e">
        <v>#REF!</v>
      </c>
      <c r="C13" s="11" t="e">
        <v>#REF!</v>
      </c>
      <c r="D13" s="191" t="e">
        <f t="shared" si="0"/>
        <v>#REF!</v>
      </c>
      <c r="E13" s="187" t="e">
        <v>#REF!</v>
      </c>
      <c r="F13" s="188" t="e">
        <v>#REF!</v>
      </c>
      <c r="G13" s="182" t="e">
        <f t="shared" si="1"/>
        <v>#REF!</v>
      </c>
      <c r="I13" s="192"/>
      <c r="J13" s="193"/>
      <c r="K13" s="194"/>
      <c r="L13" s="195"/>
      <c r="O13" s="196"/>
    </row>
    <row r="14" ht="23.1" customHeight="1" spans="1:15">
      <c r="A14" s="172" t="s">
        <v>533</v>
      </c>
      <c r="B14" s="187" t="e">
        <v>#REF!</v>
      </c>
      <c r="C14" s="11" t="e">
        <v>#REF!</v>
      </c>
      <c r="D14" s="191" t="e">
        <f t="shared" si="0"/>
        <v>#REF!</v>
      </c>
      <c r="E14" s="187" t="e">
        <v>#REF!</v>
      </c>
      <c r="F14" s="188" t="e">
        <v>#REF!</v>
      </c>
      <c r="G14" s="182" t="e">
        <f t="shared" si="1"/>
        <v>#REF!</v>
      </c>
      <c r="I14" s="192"/>
      <c r="J14" s="193"/>
      <c r="K14" s="194"/>
      <c r="L14" s="195"/>
      <c r="O14" s="196"/>
    </row>
    <row r="15" ht="23.1" customHeight="1" spans="1:15">
      <c r="A15" s="172" t="s">
        <v>534</v>
      </c>
      <c r="B15" s="187" t="e">
        <v>#REF!</v>
      </c>
      <c r="C15" s="11">
        <v>-1.2</v>
      </c>
      <c r="D15" s="191" t="e">
        <f t="shared" si="0"/>
        <v>#REF!</v>
      </c>
      <c r="E15" s="187" t="e">
        <v>#REF!</v>
      </c>
      <c r="F15" s="188" t="e">
        <v>#REF!</v>
      </c>
      <c r="G15" s="182" t="e">
        <f t="shared" si="1"/>
        <v>#REF!</v>
      </c>
      <c r="I15" s="192"/>
      <c r="J15" s="193"/>
      <c r="K15" s="194"/>
      <c r="L15" s="195"/>
      <c r="O15" s="196"/>
    </row>
    <row r="16" ht="23.1" customHeight="1" spans="1:15">
      <c r="A16" s="172" t="s">
        <v>535</v>
      </c>
      <c r="B16" s="187" t="e">
        <v>#REF!</v>
      </c>
      <c r="C16" s="11" t="e">
        <v>#REF!</v>
      </c>
      <c r="D16" s="191" t="e">
        <f t="shared" si="0"/>
        <v>#REF!</v>
      </c>
      <c r="E16" s="187" t="e">
        <v>#REF!</v>
      </c>
      <c r="F16" s="188" t="e">
        <v>#REF!</v>
      </c>
      <c r="G16" s="182" t="e">
        <f t="shared" si="1"/>
        <v>#REF!</v>
      </c>
      <c r="I16" s="192"/>
      <c r="J16" s="193"/>
      <c r="K16" s="194"/>
      <c r="L16" s="195"/>
      <c r="O16" s="196"/>
    </row>
    <row r="17" ht="23.1" customHeight="1" spans="1:15">
      <c r="A17" s="172" t="s">
        <v>536</v>
      </c>
      <c r="B17" s="187" t="e">
        <v>#REF!</v>
      </c>
      <c r="C17" s="11" t="e">
        <v>#REF!</v>
      </c>
      <c r="D17" s="191" t="e">
        <f t="shared" si="0"/>
        <v>#REF!</v>
      </c>
      <c r="E17" s="187" t="e">
        <v>#REF!</v>
      </c>
      <c r="F17" s="188" t="e">
        <v>#REF!</v>
      </c>
      <c r="G17" s="182" t="e">
        <f t="shared" si="1"/>
        <v>#REF!</v>
      </c>
      <c r="I17" s="192"/>
      <c r="J17" s="193"/>
      <c r="K17" s="194"/>
      <c r="L17" s="195"/>
      <c r="O17" s="196"/>
    </row>
    <row r="18" ht="23.1" customHeight="1" spans="1:15">
      <c r="A18" s="172" t="s">
        <v>537</v>
      </c>
      <c r="B18" s="187" t="e">
        <v>#REF!</v>
      </c>
      <c r="C18" s="11" t="e">
        <v>#REF!</v>
      </c>
      <c r="D18" s="191" t="e">
        <f t="shared" si="0"/>
        <v>#REF!</v>
      </c>
      <c r="E18" s="187" t="e">
        <v>#REF!</v>
      </c>
      <c r="F18" s="188" t="e">
        <v>#REF!</v>
      </c>
      <c r="G18" s="182" t="e">
        <f t="shared" si="1"/>
        <v>#REF!</v>
      </c>
      <c r="I18" s="192"/>
      <c r="J18" s="193"/>
      <c r="K18" s="194"/>
      <c r="L18" s="195"/>
      <c r="O18" s="196"/>
    </row>
    <row r="19" ht="23.1" customHeight="1" spans="1:15">
      <c r="A19" s="172" t="s">
        <v>538</v>
      </c>
      <c r="B19" s="187" t="e">
        <v>#REF!</v>
      </c>
      <c r="C19" s="11" t="e">
        <v>#REF!</v>
      </c>
      <c r="D19" s="191" t="e">
        <f t="shared" si="0"/>
        <v>#REF!</v>
      </c>
      <c r="E19" s="187" t="e">
        <v>#REF!</v>
      </c>
      <c r="F19" s="188" t="e">
        <v>#REF!</v>
      </c>
      <c r="G19" s="182" t="e">
        <f t="shared" si="1"/>
        <v>#REF!</v>
      </c>
      <c r="I19" s="192"/>
      <c r="J19" s="193"/>
      <c r="K19" s="194"/>
      <c r="L19" s="195"/>
      <c r="O19" s="196"/>
    </row>
    <row r="20" ht="23.1" customHeight="1" spans="1:15">
      <c r="A20" s="172" t="s">
        <v>539</v>
      </c>
      <c r="B20" s="187" t="e">
        <v>#REF!</v>
      </c>
      <c r="C20" s="11" t="e">
        <v>#REF!</v>
      </c>
      <c r="D20" s="191" t="e">
        <f t="shared" si="0"/>
        <v>#REF!</v>
      </c>
      <c r="E20" s="187" t="e">
        <v>#REF!</v>
      </c>
      <c r="F20" s="188" t="e">
        <v>#REF!</v>
      </c>
      <c r="G20" s="182" t="e">
        <f t="shared" si="1"/>
        <v>#REF!</v>
      </c>
      <c r="I20" s="192"/>
      <c r="J20" s="193"/>
      <c r="K20" s="194"/>
      <c r="L20" s="195"/>
      <c r="O20" s="196"/>
    </row>
    <row r="21" ht="23.1" customHeight="1" spans="1:15">
      <c r="A21" s="172" t="s">
        <v>540</v>
      </c>
      <c r="B21" s="187" t="e">
        <v>#REF!</v>
      </c>
      <c r="C21" s="11" t="e">
        <v>#REF!</v>
      </c>
      <c r="D21" s="191" t="e">
        <f t="shared" si="0"/>
        <v>#REF!</v>
      </c>
      <c r="E21" s="187" t="e">
        <v>#REF!</v>
      </c>
      <c r="F21" s="188" t="e">
        <v>#REF!</v>
      </c>
      <c r="G21" s="182" t="e">
        <f t="shared" si="1"/>
        <v>#REF!</v>
      </c>
      <c r="I21" s="192"/>
      <c r="J21" s="193"/>
      <c r="K21" s="194"/>
      <c r="L21" s="195"/>
      <c r="O21" s="196"/>
    </row>
    <row r="22" ht="23.1" customHeight="1" spans="1:15">
      <c r="A22" s="172" t="s">
        <v>541</v>
      </c>
      <c r="B22" s="187" t="e">
        <v>#REF!</v>
      </c>
      <c r="C22" s="11" t="e">
        <v>#REF!</v>
      </c>
      <c r="D22" s="191" t="e">
        <f t="shared" si="0"/>
        <v>#REF!</v>
      </c>
      <c r="E22" s="187" t="e">
        <v>#REF!</v>
      </c>
      <c r="F22" s="188" t="e">
        <v>#REF!</v>
      </c>
      <c r="G22" s="182" t="e">
        <f t="shared" si="1"/>
        <v>#REF!</v>
      </c>
      <c r="I22" s="192"/>
      <c r="J22" s="193"/>
      <c r="K22" s="194"/>
      <c r="L22" s="195"/>
      <c r="O22" s="196"/>
    </row>
    <row r="23" ht="23.1" customHeight="1" spans="1:15">
      <c r="A23" s="172" t="s">
        <v>542</v>
      </c>
      <c r="B23" s="187" t="e">
        <v>#REF!</v>
      </c>
      <c r="C23" s="11" t="e">
        <v>#REF!</v>
      </c>
      <c r="D23" s="191" t="e">
        <f t="shared" si="0"/>
        <v>#REF!</v>
      </c>
      <c r="E23" s="187" t="e">
        <v>#REF!</v>
      </c>
      <c r="F23" s="188" t="e">
        <v>#REF!</v>
      </c>
      <c r="G23" s="182" t="e">
        <f t="shared" si="1"/>
        <v>#REF!</v>
      </c>
      <c r="I23" s="192"/>
      <c r="J23" s="193"/>
      <c r="K23" s="194"/>
      <c r="L23" s="195"/>
      <c r="O23" s="196"/>
    </row>
    <row r="24" ht="23.1" customHeight="1" spans="1:15">
      <c r="A24" s="172" t="s">
        <v>543</v>
      </c>
      <c r="B24" s="187" t="e">
        <v>#REF!</v>
      </c>
      <c r="C24" s="11" t="e">
        <v>#REF!</v>
      </c>
      <c r="D24" s="191" t="e">
        <f t="shared" si="0"/>
        <v>#REF!</v>
      </c>
      <c r="E24" s="187" t="e">
        <v>#REF!</v>
      </c>
      <c r="F24" s="188" t="e">
        <v>#REF!</v>
      </c>
      <c r="G24" s="182" t="e">
        <f t="shared" si="1"/>
        <v>#REF!</v>
      </c>
      <c r="I24" s="192"/>
      <c r="J24" s="193"/>
      <c r="K24" s="194"/>
      <c r="L24" s="195"/>
      <c r="O24" s="196"/>
    </row>
    <row r="25" ht="23.1" customHeight="1" spans="1:15">
      <c r="A25" s="172" t="s">
        <v>544</v>
      </c>
      <c r="B25" s="187" t="e">
        <v>#REF!</v>
      </c>
      <c r="C25" s="11" t="e">
        <v>#REF!</v>
      </c>
      <c r="D25" s="191" t="e">
        <f t="shared" si="0"/>
        <v>#REF!</v>
      </c>
      <c r="E25" s="187" t="e">
        <v>#REF!</v>
      </c>
      <c r="F25" s="188" t="e">
        <v>#REF!</v>
      </c>
      <c r="G25" s="182" t="e">
        <f t="shared" si="1"/>
        <v>#REF!</v>
      </c>
      <c r="I25" s="192"/>
      <c r="J25" s="193"/>
      <c r="K25" s="194"/>
      <c r="L25" s="195"/>
      <c r="O25" s="196"/>
    </row>
    <row r="26" ht="23.1" customHeight="1" spans="1:15">
      <c r="A26" s="172" t="s">
        <v>545</v>
      </c>
      <c r="B26" s="187" t="e">
        <v>#REF!</v>
      </c>
      <c r="C26" s="11" t="e">
        <v>#REF!</v>
      </c>
      <c r="D26" s="191" t="e">
        <f t="shared" si="0"/>
        <v>#REF!</v>
      </c>
      <c r="E26" s="187" t="e">
        <v>#REF!</v>
      </c>
      <c r="F26" s="188" t="e">
        <v>#REF!</v>
      </c>
      <c r="G26" s="182" t="e">
        <f t="shared" si="1"/>
        <v>#REF!</v>
      </c>
      <c r="I26" s="192"/>
      <c r="J26" s="193"/>
      <c r="K26" s="194"/>
      <c r="L26" s="195"/>
      <c r="O26" s="196"/>
    </row>
    <row r="27" s="173" customFormat="1" ht="23.1" customHeight="1" spans="1:15">
      <c r="A27" s="197" t="s">
        <v>546</v>
      </c>
      <c r="B27" s="198" t="e">
        <v>#REF!</v>
      </c>
      <c r="C27" s="199" t="e">
        <v>#REF!</v>
      </c>
      <c r="D27" s="200" t="e">
        <f t="shared" si="0"/>
        <v>#REF!</v>
      </c>
      <c r="E27" s="198" t="e">
        <v>#REF!</v>
      </c>
      <c r="F27" s="201" t="e">
        <v>#REF!</v>
      </c>
      <c r="G27" s="202" t="e">
        <f t="shared" si="1"/>
        <v>#REF!</v>
      </c>
      <c r="H27" s="203"/>
      <c r="I27" s="192"/>
      <c r="J27" s="193"/>
      <c r="K27" s="194"/>
      <c r="L27" s="203"/>
      <c r="M27" s="203"/>
      <c r="N27" s="203"/>
      <c r="O27" s="190"/>
    </row>
  </sheetData>
  <mergeCells count="5">
    <mergeCell ref="A1:F1"/>
    <mergeCell ref="A2:G2"/>
    <mergeCell ref="B3:D3"/>
    <mergeCell ref="E3:G3"/>
    <mergeCell ref="A3:A4"/>
  </mergeCells>
  <pageMargins left="0.75" right="0.75" top="1" bottom="1" header="0.509027777777778" footer="0.509027777777778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V31"/>
  <sheetViews>
    <sheetView topLeftCell="A4" workbookViewId="0">
      <selection activeCell="G31" sqref="G31"/>
    </sheetView>
  </sheetViews>
  <sheetFormatPr defaultColWidth="9" defaultRowHeight="14.25"/>
  <cols>
    <col min="1" max="1" width="14.375" style="45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547</v>
      </c>
      <c r="B1" s="3"/>
      <c r="C1" s="3"/>
      <c r="D1" s="3"/>
      <c r="E1" s="3"/>
      <c r="F1" s="3"/>
      <c r="G1" s="46"/>
    </row>
    <row r="2" ht="20.25" customHeight="1" spans="1:7">
      <c r="A2" s="155"/>
      <c r="B2" s="155"/>
      <c r="C2" s="62" t="s">
        <v>548</v>
      </c>
      <c r="D2" s="62"/>
      <c r="E2" s="62"/>
      <c r="F2" s="62"/>
      <c r="G2" s="46"/>
    </row>
    <row r="3" s="44" customFormat="1" ht="31.5" customHeight="1" spans="1:7">
      <c r="A3" t="s">
        <v>549</v>
      </c>
      <c r="B3" t="s">
        <v>10</v>
      </c>
      <c r="C3"/>
      <c r="D3" s="156"/>
      <c r="E3" s="157"/>
      <c r="F3" s="158"/>
      <c r="G3" s="52"/>
    </row>
    <row r="4" s="44" customFormat="1" ht="31.5" customHeight="1" spans="1:7">
      <c r="A4"/>
      <c r="B4" s="7" t="s">
        <v>550</v>
      </c>
      <c r="C4" s="8" t="s">
        <v>551</v>
      </c>
      <c r="D4" s="159"/>
      <c r="E4" s="160"/>
      <c r="F4" s="161"/>
      <c r="G4" s="52"/>
    </row>
    <row r="5" ht="18" customHeight="1" spans="1:7">
      <c r="A5" s="162">
        <v>2016</v>
      </c>
      <c r="B5" s="163"/>
      <c r="C5" s="82"/>
      <c r="D5" s="164"/>
      <c r="E5" s="164"/>
      <c r="F5" s="164"/>
    </row>
    <row r="6" ht="18" customHeight="1" spans="1:7">
      <c r="A6" s="162">
        <v>6</v>
      </c>
      <c r="B6" s="163">
        <f>ROUND(3143799,0)</f>
        <v>3143799</v>
      </c>
      <c r="C6" s="165">
        <f>ROUND(10.5,1)</f>
        <v>10.5</v>
      </c>
      <c r="D6" s="164"/>
      <c r="E6" s="164"/>
      <c r="F6" s="164"/>
    </row>
    <row r="7" ht="18" customHeight="1" spans="1:7">
      <c r="A7" s="162">
        <v>7</v>
      </c>
      <c r="B7" s="163">
        <f>ROUND(3788981,0)</f>
        <v>3788981</v>
      </c>
      <c r="C7" s="166">
        <f>ROUND(10.6,1)</f>
        <v>10.6</v>
      </c>
      <c r="D7" s="164"/>
      <c r="E7" s="164"/>
      <c r="F7" s="164"/>
    </row>
    <row r="8" ht="18" customHeight="1" spans="1:7">
      <c r="A8" s="162">
        <v>8</v>
      </c>
      <c r="B8" s="163">
        <f>ROUND(4431853,0)</f>
        <v>4431853</v>
      </c>
      <c r="C8" s="166">
        <f>ROUND(10.6,1)</f>
        <v>10.6</v>
      </c>
      <c r="D8" s="164"/>
      <c r="E8" s="164"/>
      <c r="F8" s="164"/>
    </row>
    <row r="9" ht="18" customHeight="1" spans="1:7">
      <c r="A9" s="162">
        <v>9</v>
      </c>
      <c r="B9" s="163">
        <f>ROUND(5129609,0)</f>
        <v>5129609</v>
      </c>
      <c r="C9" s="166">
        <f>ROUND(11,1)</f>
        <v>11</v>
      </c>
      <c r="D9" s="164"/>
      <c r="E9" s="164"/>
      <c r="F9" s="164"/>
    </row>
    <row r="10" ht="18" customHeight="1" spans="1:7">
      <c r="A10" s="162">
        <v>10</v>
      </c>
      <c r="B10" s="163">
        <f>ROUND(5824115,0)</f>
        <v>5824115</v>
      </c>
      <c r="C10" s="166">
        <f>ROUND(11.5,1)</f>
        <v>11.5</v>
      </c>
      <c r="D10" s="164"/>
      <c r="E10" s="164"/>
      <c r="F10" s="164"/>
    </row>
    <row r="11" spans="1:7">
      <c r="A11" s="162">
        <v>11</v>
      </c>
      <c r="B11" s="163">
        <f>ROUND(6614788,0)</f>
        <v>6614788</v>
      </c>
      <c r="C11" s="166">
        <f>ROUND(11.7,1)</f>
        <v>11.7</v>
      </c>
    </row>
    <row r="12" spans="1:7">
      <c r="A12" s="167">
        <v>12</v>
      </c>
      <c r="B12" s="42">
        <f>ROUND(7665202,0)</f>
        <v>7665202</v>
      </c>
      <c r="C12" s="21">
        <f>ROUND(11.5,1)</f>
        <v>11.5</v>
      </c>
    </row>
    <row r="13" ht="18" customHeight="1" spans="1:7">
      <c r="A13" s="162">
        <v>2017</v>
      </c>
      <c r="B13" s="163"/>
      <c r="C13" s="165"/>
      <c r="D13" s="164"/>
      <c r="E13" s="164"/>
      <c r="F13" s="164"/>
    </row>
    <row r="14" spans="1:7">
      <c r="A14" s="162">
        <v>2</v>
      </c>
      <c r="B14" s="16">
        <f>ROUND(1142507,0)</f>
        <v>1142507</v>
      </c>
      <c r="C14" s="168">
        <f>ROUND(7.5,1)</f>
        <v>7.5</v>
      </c>
    </row>
    <row r="15" spans="1:7">
      <c r="A15" s="15">
        <v>3</v>
      </c>
      <c r="B15" s="16">
        <f>ROUND(1799926,0)</f>
        <v>1799926</v>
      </c>
      <c r="C15" s="21">
        <f>ROUND(7.7,1)</f>
        <v>7.7</v>
      </c>
    </row>
    <row r="16" spans="1:7">
      <c r="A16" s="15">
        <v>4</v>
      </c>
      <c r="B16" s="16">
        <f>ROUND(2404934,0)</f>
        <v>2404934</v>
      </c>
      <c r="C16" s="21">
        <f>ROUND(8.1,1)</f>
        <v>8.1</v>
      </c>
    </row>
    <row r="17" spans="1:256">
      <c r="A17" s="15">
        <v>5</v>
      </c>
      <c r="B17" s="16">
        <f>ROUND(3144236,0)</f>
        <v>3144236</v>
      </c>
      <c r="C17" s="21">
        <f>ROUND(7.5,1)</f>
        <v>7.5</v>
      </c>
    </row>
    <row r="18" spans="1:256">
      <c r="A18" s="15">
        <v>6</v>
      </c>
      <c r="B18" s="16">
        <f>ROUND(4030867,0)</f>
        <v>4030867</v>
      </c>
      <c r="C18" s="21">
        <f>ROUND(8.5,)</f>
        <v>9</v>
      </c>
    </row>
    <row r="19" spans="1:256">
      <c r="A19" s="15">
        <v>7</v>
      </c>
      <c r="B19" s="163">
        <f>ROUND(4819573,0)</f>
        <v>4819573</v>
      </c>
      <c r="C19" s="165">
        <f>ROUND(8.8,1)</f>
        <v>8.8</v>
      </c>
    </row>
    <row r="20" spans="1:256">
      <c r="A20" s="169">
        <v>8</v>
      </c>
      <c r="B20" s="42">
        <f>ROUND(5627416,0)</f>
        <v>5627416</v>
      </c>
      <c r="C20" s="21">
        <f>ROUND(9.1,1)</f>
        <v>9.1</v>
      </c>
    </row>
    <row r="21" spans="1:256">
      <c r="A21" s="169">
        <v>9</v>
      </c>
      <c r="B21" s="42">
        <f>ROUND(6503597,0)</f>
        <v>6503597</v>
      </c>
      <c r="C21" s="165">
        <f>ROUND(9.6,1)</f>
        <v>9.6</v>
      </c>
    </row>
    <row r="22" spans="1:256">
      <c r="A22" s="169">
        <v>10</v>
      </c>
      <c r="B22" s="42">
        <f>ROUND(7316245,0)</f>
        <v>7316245</v>
      </c>
      <c r="C22" s="21">
        <f>ROUND(9.3,1)</f>
        <v>9.3</v>
      </c>
    </row>
    <row r="23" spans="1:256">
      <c r="A23" s="170">
        <v>11</v>
      </c>
      <c r="B23" s="16">
        <f>ROUND(8208997,0)</f>
        <v>8208997</v>
      </c>
      <c r="C23" s="21">
        <f>ROUND(9.1,1)</f>
        <v>9.1</v>
      </c>
    </row>
    <row r="24" spans="1:256">
      <c r="A24" s="170">
        <v>12</v>
      </c>
      <c r="B24" s="16">
        <f>ROUND(8357945,0)</f>
        <v>8357945</v>
      </c>
      <c r="C24" s="21">
        <f>ROUND(8.5,1)</f>
        <v>8.5</v>
      </c>
    </row>
    <row r="25" spans="1:256">
      <c r="A25" s="15">
        <v>2018</v>
      </c>
      <c r="B25" s="16"/>
      <c r="C25" s="21"/>
    </row>
    <row r="26" spans="1:256">
      <c r="A26" s="15">
        <v>2</v>
      </c>
      <c r="B26" s="16">
        <f>ROUND(1129112,0)</f>
        <v>1129112</v>
      </c>
      <c r="C26" s="21">
        <f>ROUND(0.2,1)</f>
        <v>0.2</v>
      </c>
    </row>
    <row r="27" spans="1:256">
      <c r="A27" s="15">
        <v>3</v>
      </c>
      <c r="B27" s="16">
        <f>ROUND(1788963,0)</f>
        <v>1788963</v>
      </c>
      <c r="C27" s="21">
        <f>ROUND(2.9,1)</f>
        <v>2.9</v>
      </c>
    </row>
    <row r="28" spans="1:256">
      <c r="A28" s="15">
        <v>4</v>
      </c>
      <c r="B28" s="42">
        <f>ROUND(2439875,0)</f>
        <v>2439875</v>
      </c>
      <c r="C28" s="21">
        <f>ROUND(3.8,1)</f>
        <v>3.8</v>
      </c>
    </row>
    <row r="29" spans="1:256">
      <c r="A29" s="15">
        <v>5</v>
      </c>
      <c r="B29" s="42">
        <v>3086749</v>
      </c>
      <c r="C29" s="21">
        <v>4.1</v>
      </c>
    </row>
    <row r="30" spans="1:256">
      <c r="A30" s="22">
        <v>6</v>
      </c>
      <c r="B30" s="43">
        <v>3845140</v>
      </c>
      <c r="C30" s="24">
        <v>4.7</v>
      </c>
    </row>
    <row r="31" spans="1:256"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  <c r="BB31" s="169"/>
      <c r="BC31" s="169"/>
      <c r="BD31" s="169"/>
      <c r="BE31" s="169"/>
      <c r="BF31" s="169"/>
      <c r="BG31" s="169"/>
      <c r="BH31" s="169"/>
      <c r="BI31" s="169"/>
      <c r="BJ31" s="169"/>
      <c r="BK31" s="169"/>
      <c r="BL31" s="169"/>
      <c r="BM31" s="169"/>
      <c r="BN31" s="169"/>
      <c r="BO31" s="169"/>
      <c r="BP31" s="169"/>
      <c r="BQ31" s="169"/>
      <c r="BR31" s="169"/>
      <c r="BS31" s="169"/>
      <c r="BT31" s="169"/>
      <c r="BU31" s="169"/>
      <c r="BV31" s="169"/>
      <c r="BW31" s="169"/>
      <c r="BX31" s="169"/>
      <c r="BY31" s="169"/>
      <c r="BZ31" s="169"/>
      <c r="CA31" s="169"/>
      <c r="CB31" s="169"/>
      <c r="CC31" s="169"/>
      <c r="CD31" s="169"/>
      <c r="CE31" s="169"/>
      <c r="CF31" s="169"/>
      <c r="CG31" s="169"/>
      <c r="CH31" s="169"/>
      <c r="CI31" s="169"/>
      <c r="CJ31" s="169"/>
      <c r="CK31" s="169"/>
      <c r="CL31" s="169"/>
      <c r="CM31" s="169"/>
      <c r="CN31" s="169"/>
      <c r="CO31" s="169"/>
      <c r="CP31" s="169"/>
      <c r="CQ31" s="169"/>
      <c r="CR31" s="169"/>
      <c r="CS31" s="169"/>
      <c r="CT31" s="169"/>
      <c r="CU31" s="169"/>
      <c r="CV31" s="169"/>
      <c r="CW31" s="169"/>
      <c r="CX31" s="169"/>
      <c r="CY31" s="169"/>
      <c r="CZ31" s="169"/>
      <c r="DA31" s="169"/>
      <c r="DB31" s="169"/>
      <c r="DC31" s="169"/>
      <c r="DD31" s="169"/>
      <c r="DE31" s="169"/>
      <c r="DF31" s="169"/>
      <c r="DG31" s="169"/>
      <c r="DH31" s="169"/>
      <c r="DI31" s="169"/>
      <c r="DJ31" s="169"/>
      <c r="DK31" s="169"/>
      <c r="DL31" s="169"/>
      <c r="DM31" s="169"/>
      <c r="DN31" s="169"/>
      <c r="DO31" s="169"/>
      <c r="DP31" s="169"/>
      <c r="DQ31" s="169"/>
      <c r="DR31" s="169"/>
      <c r="DS31" s="169"/>
      <c r="DT31" s="169"/>
      <c r="DU31" s="169"/>
      <c r="DV31" s="169"/>
      <c r="DW31" s="169"/>
      <c r="DX31" s="169"/>
      <c r="DY31" s="169"/>
      <c r="DZ31" s="169"/>
      <c r="EA31" s="169"/>
      <c r="EB31" s="169"/>
      <c r="EC31" s="169"/>
      <c r="ED31" s="169"/>
      <c r="EE31" s="169"/>
      <c r="EF31" s="169"/>
      <c r="EG31" s="169"/>
      <c r="EH31" s="169"/>
      <c r="EI31" s="169"/>
      <c r="EJ31" s="169"/>
      <c r="EK31" s="169"/>
      <c r="EL31" s="169"/>
      <c r="EM31" s="169"/>
      <c r="EN31" s="169"/>
      <c r="EO31" s="169"/>
      <c r="EP31" s="169"/>
      <c r="EQ31" s="169"/>
      <c r="ER31" s="169"/>
      <c r="ES31" s="169"/>
      <c r="ET31" s="169"/>
      <c r="EU31" s="169"/>
      <c r="EV31" s="169"/>
      <c r="EW31" s="169"/>
      <c r="EX31" s="169"/>
      <c r="EY31" s="169"/>
      <c r="EZ31" s="169"/>
      <c r="FA31" s="169"/>
      <c r="FB31" s="169"/>
      <c r="FC31" s="169"/>
      <c r="FD31" s="169"/>
      <c r="FE31" s="169"/>
      <c r="FF31" s="169"/>
      <c r="FG31" s="169"/>
      <c r="FH31" s="169"/>
      <c r="FI31" s="169"/>
      <c r="FJ31" s="169"/>
      <c r="FK31" s="169"/>
      <c r="FL31" s="169"/>
      <c r="FM31" s="169"/>
      <c r="FN31" s="169"/>
      <c r="FO31" s="169"/>
      <c r="FP31" s="169"/>
      <c r="FQ31" s="169"/>
      <c r="FR31" s="169"/>
      <c r="FS31" s="169"/>
      <c r="FT31" s="169"/>
      <c r="FU31" s="169"/>
      <c r="FV31" s="169"/>
      <c r="FW31" s="169"/>
      <c r="FX31" s="169"/>
      <c r="FY31" s="169"/>
      <c r="FZ31" s="169"/>
      <c r="GA31" s="169"/>
      <c r="GB31" s="169"/>
      <c r="GC31" s="169"/>
      <c r="GD31" s="169"/>
      <c r="GE31" s="169"/>
      <c r="GF31" s="169"/>
      <c r="GG31" s="169"/>
      <c r="GH31" s="169"/>
      <c r="GI31" s="169"/>
      <c r="GJ31" s="169"/>
      <c r="GK31" s="169"/>
      <c r="GL31" s="169"/>
      <c r="GM31" s="169"/>
      <c r="GN31" s="169"/>
      <c r="GO31" s="169"/>
      <c r="GP31" s="169"/>
      <c r="GQ31" s="169"/>
      <c r="GR31" s="169"/>
      <c r="GS31" s="169"/>
      <c r="GT31" s="169"/>
      <c r="GU31" s="169"/>
      <c r="GV31" s="169"/>
      <c r="GW31" s="169"/>
      <c r="GX31" s="169"/>
      <c r="GY31" s="169"/>
      <c r="GZ31" s="169"/>
      <c r="HA31" s="169"/>
      <c r="HB31" s="169"/>
      <c r="HC31" s="169"/>
      <c r="HD31" s="169"/>
      <c r="HE31" s="169"/>
      <c r="HF31" s="169"/>
      <c r="HG31" s="169"/>
      <c r="HH31" s="169"/>
      <c r="HI31" s="169"/>
      <c r="HJ31" s="169"/>
      <c r="HK31" s="169"/>
      <c r="HL31" s="169"/>
      <c r="HM31" s="169"/>
      <c r="HN31" s="169"/>
      <c r="HO31" s="169"/>
      <c r="HP31" s="169"/>
      <c r="HQ31" s="169"/>
      <c r="HR31" s="169"/>
      <c r="HS31" s="169"/>
      <c r="HT31" s="169"/>
      <c r="HU31" s="169"/>
      <c r="HV31" s="169"/>
      <c r="HW31" s="169"/>
      <c r="HX31" s="169"/>
      <c r="HY31" s="169"/>
      <c r="HZ31" s="169"/>
      <c r="IA31" s="169"/>
      <c r="IB31" s="169"/>
      <c r="IC31" s="169"/>
      <c r="ID31" s="169"/>
      <c r="IE31" s="169"/>
      <c r="IF31" s="169"/>
      <c r="IG31" s="169"/>
      <c r="IH31" s="169"/>
      <c r="II31" s="169"/>
      <c r="IJ31" s="169"/>
      <c r="IK31" s="169"/>
      <c r="IL31" s="169"/>
      <c r="IM31" s="169"/>
      <c r="IN31" s="169"/>
      <c r="IO31" s="169"/>
      <c r="IP31" s="169"/>
      <c r="IQ31" s="169"/>
      <c r="IR31" s="169"/>
      <c r="IS31" s="169"/>
      <c r="IT31" s="169"/>
      <c r="IU31" s="169"/>
      <c r="IV31" s="169"/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31"/>
  <sheetViews>
    <sheetView workbookViewId="0">
      <selection activeCell="I7" sqref="I7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7" customHeight="1" spans="1:5">
      <c r="A1" s="86" t="s">
        <v>10</v>
      </c>
      <c r="B1" s="86"/>
      <c r="C1" s="86"/>
      <c r="D1" s="86"/>
      <c r="E1" s="86"/>
    </row>
    <row r="2" ht="15" spans="1:5">
      <c r="A2" s="88"/>
      <c r="B2" s="88"/>
      <c r="C2" s="88"/>
      <c r="D2" s="88"/>
      <c r="E2" s="90" t="s">
        <v>37</v>
      </c>
    </row>
    <row r="3" ht="18" customHeight="1" spans="1:5">
      <c r="A3" s="91" t="s">
        <v>552</v>
      </c>
      <c r="B3" s="92" t="s">
        <v>553</v>
      </c>
      <c r="C3" s="92"/>
      <c r="D3" s="92" t="s">
        <v>554</v>
      </c>
      <c r="E3" s="149"/>
    </row>
    <row r="4" ht="18" customHeight="1" spans="1:5">
      <c r="A4" s="95"/>
      <c r="B4" s="96" t="s">
        <v>555</v>
      </c>
      <c r="C4" s="96" t="s">
        <v>556</v>
      </c>
      <c r="D4" s="96" t="s">
        <v>555</v>
      </c>
      <c r="E4" s="150" t="s">
        <v>556</v>
      </c>
    </row>
    <row r="5" spans="1:5">
      <c r="A5" s="99" t="s">
        <v>371</v>
      </c>
      <c r="B5" s="100"/>
      <c r="C5" s="100"/>
      <c r="D5" s="100"/>
      <c r="E5" s="151"/>
    </row>
    <row r="6" spans="1:5">
      <c r="A6" s="99" t="s">
        <v>77</v>
      </c>
      <c r="B6" s="103">
        <v>88.0656</v>
      </c>
      <c r="C6" s="152">
        <v>5.8</v>
      </c>
      <c r="D6" s="103">
        <v>114.2507</v>
      </c>
      <c r="E6" s="153">
        <v>7.5</v>
      </c>
    </row>
    <row r="7" spans="1:5">
      <c r="A7" s="99" t="s">
        <v>557</v>
      </c>
      <c r="B7" s="103">
        <v>139.582</v>
      </c>
      <c r="C7" s="152">
        <v>8.8</v>
      </c>
      <c r="D7" s="103">
        <v>179.9926</v>
      </c>
      <c r="E7" s="153">
        <v>7.7</v>
      </c>
    </row>
    <row r="8" spans="1:5">
      <c r="A8" s="99" t="s">
        <v>558</v>
      </c>
      <c r="B8" s="103">
        <v>185.228</v>
      </c>
      <c r="C8" s="152">
        <v>9.4</v>
      </c>
      <c r="D8" s="103">
        <v>240.4934</v>
      </c>
      <c r="E8" s="153">
        <v>8.1</v>
      </c>
    </row>
    <row r="9" spans="1:5">
      <c r="A9" s="99" t="s">
        <v>559</v>
      </c>
      <c r="B9" s="103">
        <v>242.3485</v>
      </c>
      <c r="C9" s="152">
        <v>10.2</v>
      </c>
      <c r="D9" s="103">
        <v>314.4236</v>
      </c>
      <c r="E9" s="153">
        <v>7.5</v>
      </c>
    </row>
    <row r="10" spans="1:5">
      <c r="A10" s="99" t="s">
        <v>560</v>
      </c>
      <c r="B10" s="106">
        <v>314.3799</v>
      </c>
      <c r="C10" s="152">
        <v>10.5</v>
      </c>
      <c r="D10" s="107">
        <v>403.0867</v>
      </c>
      <c r="E10" s="108">
        <v>9</v>
      </c>
    </row>
    <row r="11" spans="1:5">
      <c r="A11" s="99" t="s">
        <v>561</v>
      </c>
      <c r="B11" s="106">
        <v>378.8981</v>
      </c>
      <c r="C11" s="152">
        <v>10.6</v>
      </c>
      <c r="D11" s="107">
        <v>481.9573</v>
      </c>
      <c r="E11" s="153">
        <v>8.8</v>
      </c>
    </row>
    <row r="12" spans="1:5">
      <c r="A12" s="99" t="s">
        <v>562</v>
      </c>
      <c r="B12" s="106">
        <v>443.1853</v>
      </c>
      <c r="C12" s="152">
        <v>10.6</v>
      </c>
      <c r="D12" s="107">
        <v>562.7416</v>
      </c>
      <c r="E12" s="153">
        <v>9.1</v>
      </c>
    </row>
    <row r="13" spans="1:5">
      <c r="A13" s="99" t="s">
        <v>563</v>
      </c>
      <c r="B13" s="106">
        <v>512.9609</v>
      </c>
      <c r="C13" s="109">
        <v>11</v>
      </c>
      <c r="D13" s="107">
        <v>650.3597</v>
      </c>
      <c r="E13" s="153">
        <v>9.6</v>
      </c>
    </row>
    <row r="14" spans="1:5">
      <c r="A14" s="99" t="s">
        <v>564</v>
      </c>
      <c r="B14" s="103">
        <v>582.4115</v>
      </c>
      <c r="C14" s="152">
        <v>11.5</v>
      </c>
      <c r="D14" s="103">
        <v>731.6245</v>
      </c>
      <c r="E14" s="153">
        <v>9.3</v>
      </c>
    </row>
    <row r="15" spans="1:5">
      <c r="A15" s="99" t="s">
        <v>565</v>
      </c>
      <c r="B15" s="103">
        <v>661.4788</v>
      </c>
      <c r="C15" s="152">
        <v>11.7</v>
      </c>
      <c r="D15" s="103">
        <v>820.8997</v>
      </c>
      <c r="E15" s="153">
        <v>9.1</v>
      </c>
    </row>
    <row r="16" spans="1:5">
      <c r="A16" s="99" t="s">
        <v>566</v>
      </c>
      <c r="B16" s="103">
        <v>766.5202</v>
      </c>
      <c r="C16" s="152">
        <v>11.5</v>
      </c>
      <c r="D16" s="103">
        <v>835.7945</v>
      </c>
      <c r="E16" s="153">
        <v>8.5</v>
      </c>
    </row>
    <row r="17" ht="18" customHeight="1" spans="1:5">
      <c r="A17" s="95" t="s">
        <v>552</v>
      </c>
      <c r="B17" s="96" t="s">
        <v>34</v>
      </c>
      <c r="C17" s="96"/>
      <c r="D17" s="96" t="s">
        <v>567</v>
      </c>
      <c r="E17" s="150"/>
    </row>
    <row r="18" ht="18" customHeight="1" spans="1:5">
      <c r="A18" s="95"/>
      <c r="B18" s="96" t="s">
        <v>555</v>
      </c>
      <c r="C18" s="96" t="s">
        <v>556</v>
      </c>
      <c r="D18" s="96" t="s">
        <v>555</v>
      </c>
      <c r="E18" s="150" t="s">
        <v>556</v>
      </c>
    </row>
    <row r="19" spans="1:5">
      <c r="A19" s="112" t="s">
        <v>371</v>
      </c>
      <c r="B19" s="144"/>
      <c r="C19" s="144"/>
      <c r="D19" s="147"/>
      <c r="E19" s="154"/>
    </row>
    <row r="20" spans="1:5">
      <c r="A20" s="112" t="s">
        <v>77</v>
      </c>
      <c r="B20" s="116">
        <v>112.9112</v>
      </c>
      <c r="C20" s="117">
        <v>0.2</v>
      </c>
      <c r="D20" s="116">
        <v>108.21</v>
      </c>
      <c r="E20" s="118">
        <v>3.7</v>
      </c>
    </row>
    <row r="21" spans="1:5">
      <c r="A21" s="112" t="s">
        <v>557</v>
      </c>
      <c r="B21" s="116">
        <v>178.8963</v>
      </c>
      <c r="C21" s="117">
        <v>2.9</v>
      </c>
      <c r="D21" s="119"/>
      <c r="E21" s="120"/>
    </row>
    <row r="22" spans="1:5">
      <c r="A22" s="112" t="s">
        <v>558</v>
      </c>
      <c r="B22" s="116">
        <v>243.9875</v>
      </c>
      <c r="C22" s="117">
        <v>3.8</v>
      </c>
      <c r="D22" s="119"/>
      <c r="E22" s="120"/>
    </row>
    <row r="23" spans="1:5">
      <c r="A23" s="112" t="s">
        <v>559</v>
      </c>
      <c r="B23" s="116">
        <v>308.6749</v>
      </c>
      <c r="C23" s="117">
        <v>4.1</v>
      </c>
      <c r="D23" s="119"/>
      <c r="E23" s="120"/>
    </row>
    <row r="24" spans="1:5">
      <c r="A24" s="112" t="s">
        <v>560</v>
      </c>
      <c r="B24" s="116">
        <v>384.514</v>
      </c>
      <c r="C24" s="117">
        <v>4.7</v>
      </c>
      <c r="D24" s="119"/>
      <c r="E24" s="120"/>
    </row>
    <row r="25" spans="1:5">
      <c r="A25" s="112" t="s">
        <v>561</v>
      </c>
      <c r="B25" s="116">
        <v>452.674</v>
      </c>
      <c r="C25" s="117">
        <v>3.7</v>
      </c>
      <c r="D25" s="119"/>
      <c r="E25" s="120"/>
    </row>
    <row r="26" spans="1:5">
      <c r="A26" s="112" t="s">
        <v>562</v>
      </c>
      <c r="B26" s="116">
        <v>518.2177</v>
      </c>
      <c r="C26" s="117">
        <v>2.2</v>
      </c>
      <c r="D26" s="119"/>
      <c r="E26" s="120"/>
    </row>
    <row r="27" spans="1:5">
      <c r="A27" s="112" t="s">
        <v>563</v>
      </c>
      <c r="B27" s="116">
        <v>593.4615</v>
      </c>
      <c r="C27" s="117">
        <v>4.1</v>
      </c>
      <c r="D27" s="119"/>
      <c r="E27" s="121"/>
    </row>
    <row r="28" spans="1:5">
      <c r="A28" s="112" t="s">
        <v>564</v>
      </c>
      <c r="B28" s="116">
        <v>635.9812</v>
      </c>
      <c r="C28" s="117">
        <v>4.3</v>
      </c>
      <c r="D28" s="119"/>
      <c r="E28" s="121"/>
    </row>
    <row r="29" spans="1:5">
      <c r="A29" s="112" t="s">
        <v>565</v>
      </c>
      <c r="B29" s="116">
        <v>705.7427</v>
      </c>
      <c r="C29" s="117">
        <v>4.8</v>
      </c>
      <c r="D29" s="119"/>
      <c r="E29" s="121"/>
    </row>
    <row r="30" ht="15" spans="1:5">
      <c r="A30" s="123" t="s">
        <v>566</v>
      </c>
      <c r="B30" s="124">
        <v>769.97</v>
      </c>
      <c r="C30" s="125">
        <v>5</v>
      </c>
      <c r="D30" s="126"/>
      <c r="E30" s="127"/>
    </row>
    <row r="31" spans="1:5">
      <c r="A31" s="128"/>
      <c r="B31" s="128"/>
      <c r="C31" s="128"/>
      <c r="D31" s="128"/>
      <c r="E31" s="128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09027777777778" footer="0.509027777777778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30"/>
  <sheetViews>
    <sheetView workbookViewId="0">
      <selection activeCell="I25" sqref="I25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7" customHeight="1" spans="1:5">
      <c r="A1" s="86" t="s">
        <v>11</v>
      </c>
      <c r="B1" s="86"/>
      <c r="C1" s="87"/>
      <c r="D1" s="86"/>
      <c r="E1" s="87"/>
    </row>
    <row r="2" ht="20" customHeight="1" spans="1:5">
      <c r="A2" s="88"/>
      <c r="B2" s="88"/>
      <c r="C2" s="89"/>
      <c r="D2" s="88"/>
      <c r="E2" s="141" t="s">
        <v>37</v>
      </c>
    </row>
    <row r="3" ht="18" customHeight="1" spans="1:5">
      <c r="A3" s="91" t="s">
        <v>552</v>
      </c>
      <c r="B3" s="92" t="s">
        <v>553</v>
      </c>
      <c r="C3" s="93"/>
      <c r="D3" s="92" t="s">
        <v>554</v>
      </c>
      <c r="E3" s="94"/>
    </row>
    <row r="4" ht="18" customHeight="1" spans="1:5">
      <c r="A4" s="95"/>
      <c r="B4" s="96" t="s">
        <v>555</v>
      </c>
      <c r="C4" s="110" t="s">
        <v>556</v>
      </c>
      <c r="D4" s="96" t="s">
        <v>555</v>
      </c>
      <c r="E4" s="111" t="s">
        <v>556</v>
      </c>
    </row>
    <row r="5" spans="1:5">
      <c r="A5" s="99" t="s">
        <v>371</v>
      </c>
      <c r="B5" s="100"/>
      <c r="C5" s="101"/>
      <c r="D5" s="100"/>
      <c r="E5" s="102"/>
    </row>
    <row r="6" spans="1:5">
      <c r="A6" s="99" t="s">
        <v>77</v>
      </c>
      <c r="B6" s="103">
        <v>75.6403</v>
      </c>
      <c r="C6" s="104">
        <v>11.1</v>
      </c>
      <c r="D6" s="103">
        <v>79.6488</v>
      </c>
      <c r="E6" s="105">
        <v>5.3</v>
      </c>
    </row>
    <row r="7" spans="1:5">
      <c r="A7" s="99" t="s">
        <v>557</v>
      </c>
      <c r="B7" s="103">
        <v>146.0309</v>
      </c>
      <c r="C7" s="104">
        <v>6</v>
      </c>
      <c r="D7" s="103">
        <v>157.5746</v>
      </c>
      <c r="E7" s="105">
        <v>7.9</v>
      </c>
    </row>
    <row r="8" spans="1:5">
      <c r="A8" s="99" t="s">
        <v>558</v>
      </c>
      <c r="B8" s="103">
        <v>207.1341</v>
      </c>
      <c r="C8" s="104">
        <v>5</v>
      </c>
      <c r="D8" s="103">
        <v>205.6743</v>
      </c>
      <c r="E8" s="105">
        <v>-0.7</v>
      </c>
    </row>
    <row r="9" spans="1:5">
      <c r="A9" s="99" t="s">
        <v>559</v>
      </c>
      <c r="B9" s="103">
        <v>307.9283</v>
      </c>
      <c r="C9" s="104">
        <v>7.2</v>
      </c>
      <c r="D9" s="103">
        <v>288.9968</v>
      </c>
      <c r="E9" s="105">
        <v>-6.1</v>
      </c>
    </row>
    <row r="10" spans="1:5">
      <c r="A10" s="99" t="s">
        <v>560</v>
      </c>
      <c r="B10" s="106">
        <v>509.6563</v>
      </c>
      <c r="C10" s="104">
        <v>15.1</v>
      </c>
      <c r="D10" s="107">
        <v>560.4382</v>
      </c>
      <c r="E10" s="108">
        <v>10</v>
      </c>
    </row>
    <row r="11" spans="1:5">
      <c r="A11" s="99" t="s">
        <v>561</v>
      </c>
      <c r="B11" s="106">
        <v>626.3505</v>
      </c>
      <c r="C11" s="104">
        <v>16.3</v>
      </c>
      <c r="D11" s="107">
        <v>686.4511</v>
      </c>
      <c r="E11" s="105">
        <v>9.6</v>
      </c>
    </row>
    <row r="12" spans="1:5">
      <c r="A12" s="99" t="s">
        <v>562</v>
      </c>
      <c r="B12" s="106">
        <v>737.2203</v>
      </c>
      <c r="C12" s="104">
        <v>24.8</v>
      </c>
      <c r="D12" s="107">
        <v>809.6944</v>
      </c>
      <c r="E12" s="105">
        <v>9.8</v>
      </c>
    </row>
    <row r="13" spans="1:5">
      <c r="A13" s="99" t="s">
        <v>563</v>
      </c>
      <c r="B13" s="106">
        <v>871.7492</v>
      </c>
      <c r="C13" s="109">
        <v>23.5</v>
      </c>
      <c r="D13" s="107">
        <v>977.2404</v>
      </c>
      <c r="E13" s="105">
        <v>12.1</v>
      </c>
    </row>
    <row r="14" spans="1:5">
      <c r="A14" s="99" t="s">
        <v>564</v>
      </c>
      <c r="B14" s="103">
        <v>1021.5452</v>
      </c>
      <c r="C14" s="104">
        <v>22.6</v>
      </c>
      <c r="D14" s="103">
        <v>1136.7531</v>
      </c>
      <c r="E14" s="105">
        <v>11.3</v>
      </c>
    </row>
    <row r="15" spans="1:5">
      <c r="A15" s="99" t="s">
        <v>565</v>
      </c>
      <c r="B15" s="103">
        <v>1200.0485</v>
      </c>
      <c r="C15" s="104">
        <v>23.9</v>
      </c>
      <c r="D15" s="103">
        <v>1337.6063</v>
      </c>
      <c r="E15" s="105">
        <v>11.5</v>
      </c>
    </row>
    <row r="16" spans="1:5">
      <c r="A16" s="99" t="s">
        <v>566</v>
      </c>
      <c r="B16" s="103">
        <v>1531.5995</v>
      </c>
      <c r="C16" s="104">
        <v>16.6</v>
      </c>
      <c r="D16" s="103">
        <v>1641.5341</v>
      </c>
      <c r="E16" s="105">
        <v>7.2</v>
      </c>
    </row>
    <row r="17" ht="18" customHeight="1" spans="1:5">
      <c r="A17" s="95" t="s">
        <v>552</v>
      </c>
      <c r="B17" s="96" t="s">
        <v>34</v>
      </c>
      <c r="C17" s="110"/>
      <c r="D17" s="96" t="s">
        <v>567</v>
      </c>
      <c r="E17" s="111"/>
    </row>
    <row r="18" ht="18" customHeight="1" spans="1:5">
      <c r="A18" s="95"/>
      <c r="B18" s="96" t="s">
        <v>555</v>
      </c>
      <c r="C18" s="110" t="s">
        <v>556</v>
      </c>
      <c r="D18" s="96" t="s">
        <v>555</v>
      </c>
      <c r="E18" s="111" t="s">
        <v>556</v>
      </c>
    </row>
    <row r="19" spans="1:5">
      <c r="A19" s="112" t="s">
        <v>371</v>
      </c>
      <c r="B19" s="144"/>
      <c r="C19" s="145"/>
      <c r="D19" s="147"/>
      <c r="E19" s="148"/>
    </row>
    <row r="20" spans="1:5">
      <c r="A20" s="112" t="s">
        <v>77</v>
      </c>
      <c r="B20" s="116">
        <v>84.4761</v>
      </c>
      <c r="C20" s="117">
        <v>8.8</v>
      </c>
      <c r="D20" s="119"/>
      <c r="E20" s="118">
        <v>16.1</v>
      </c>
    </row>
    <row r="21" spans="1:5">
      <c r="A21" s="112" t="s">
        <v>557</v>
      </c>
      <c r="B21" s="116">
        <v>202.0022</v>
      </c>
      <c r="C21" s="117">
        <v>31.6</v>
      </c>
      <c r="D21" s="119"/>
      <c r="E21" s="120"/>
    </row>
    <row r="22" spans="1:5">
      <c r="A22" s="112" t="s">
        <v>558</v>
      </c>
      <c r="B22" s="116">
        <v>263.9275</v>
      </c>
      <c r="C22" s="117">
        <v>31</v>
      </c>
      <c r="D22" s="119"/>
      <c r="E22" s="120"/>
    </row>
    <row r="23" spans="1:5">
      <c r="A23" s="112" t="s">
        <v>559</v>
      </c>
      <c r="B23" s="116">
        <v>339.1968</v>
      </c>
      <c r="C23" s="117">
        <v>19.6</v>
      </c>
      <c r="D23" s="119"/>
      <c r="E23" s="120"/>
    </row>
    <row r="24" spans="1:5">
      <c r="A24" s="112" t="s">
        <v>560</v>
      </c>
      <c r="B24" s="116">
        <v>551.5829</v>
      </c>
      <c r="C24" s="117">
        <v>13.6</v>
      </c>
      <c r="D24" s="119"/>
      <c r="E24" s="120"/>
    </row>
    <row r="25" spans="1:5">
      <c r="A25" s="112" t="s">
        <v>561</v>
      </c>
      <c r="B25" s="116">
        <v>617.6436</v>
      </c>
      <c r="C25" s="117">
        <v>8.1</v>
      </c>
      <c r="D25" s="119"/>
      <c r="E25" s="120"/>
    </row>
    <row r="26" spans="1:5">
      <c r="A26" s="112" t="s">
        <v>562</v>
      </c>
      <c r="B26" s="116">
        <v>691.7895</v>
      </c>
      <c r="C26" s="117">
        <v>6.8</v>
      </c>
      <c r="D26" s="119"/>
      <c r="E26" s="120"/>
    </row>
    <row r="27" spans="1:5">
      <c r="A27" s="112" t="s">
        <v>563</v>
      </c>
      <c r="B27" s="116">
        <v>822.5954</v>
      </c>
      <c r="C27" s="117">
        <v>10.3</v>
      </c>
      <c r="D27" s="119"/>
      <c r="E27" s="121"/>
    </row>
    <row r="28" spans="1:5">
      <c r="A28" s="112" t="s">
        <v>564</v>
      </c>
      <c r="B28" s="116">
        <v>934.2435</v>
      </c>
      <c r="C28" s="117">
        <v>11.3</v>
      </c>
      <c r="D28" s="119"/>
      <c r="E28" s="121"/>
    </row>
    <row r="29" spans="1:5">
      <c r="A29" s="112" t="s">
        <v>565</v>
      </c>
      <c r="B29" s="116">
        <v>1085.1949</v>
      </c>
      <c r="C29" s="117">
        <v>13.7</v>
      </c>
      <c r="D29" s="119"/>
      <c r="E29" s="121"/>
    </row>
    <row r="30" ht="15" spans="1:5">
      <c r="A30" s="123" t="s">
        <v>566</v>
      </c>
      <c r="B30" s="124">
        <v>1260.1176</v>
      </c>
      <c r="C30" s="125">
        <v>12.8</v>
      </c>
      <c r="D30" s="126"/>
      <c r="E30" s="127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09027777777778" footer="0.509027777777778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31"/>
  <sheetViews>
    <sheetView workbookViewId="0">
      <selection activeCell="I23" sqref="I23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7" customHeight="1" spans="1:5">
      <c r="A1" s="86" t="s">
        <v>15</v>
      </c>
      <c r="B1" s="86"/>
      <c r="C1" s="87"/>
      <c r="D1" s="86"/>
      <c r="E1" s="87"/>
    </row>
    <row r="2" ht="18" customHeight="1" spans="1:5">
      <c r="A2" s="88"/>
      <c r="B2" s="88"/>
      <c r="C2" s="89"/>
      <c r="D2" s="88"/>
      <c r="E2" s="141" t="s">
        <v>37</v>
      </c>
    </row>
    <row r="3" ht="18" customHeight="1" spans="1:5">
      <c r="A3" s="91" t="s">
        <v>552</v>
      </c>
      <c r="B3" s="92" t="s">
        <v>553</v>
      </c>
      <c r="C3" s="93"/>
      <c r="D3" s="92" t="s">
        <v>554</v>
      </c>
      <c r="E3" s="94"/>
    </row>
    <row r="4" ht="18" customHeight="1" spans="1:5">
      <c r="A4" s="95"/>
      <c r="B4" s="96" t="s">
        <v>555</v>
      </c>
      <c r="C4" s="110" t="s">
        <v>556</v>
      </c>
      <c r="D4" s="96" t="s">
        <v>555</v>
      </c>
      <c r="E4" s="111" t="s">
        <v>556</v>
      </c>
    </row>
    <row r="5" spans="1:5">
      <c r="A5" s="99" t="s">
        <v>371</v>
      </c>
      <c r="B5" s="100"/>
      <c r="C5" s="101"/>
      <c r="D5" s="100"/>
      <c r="E5" s="102"/>
    </row>
    <row r="6" spans="1:5">
      <c r="A6" s="99" t="s">
        <v>77</v>
      </c>
      <c r="B6" s="103">
        <v>223.3322</v>
      </c>
      <c r="C6" s="104">
        <v>9</v>
      </c>
      <c r="D6" s="103">
        <v>252.0522</v>
      </c>
      <c r="E6" s="105">
        <v>12</v>
      </c>
    </row>
    <row r="7" spans="1:5">
      <c r="A7" s="99" t="s">
        <v>557</v>
      </c>
      <c r="B7" s="103">
        <v>331.636</v>
      </c>
      <c r="C7" s="104">
        <v>9</v>
      </c>
      <c r="D7" s="103">
        <v>375.5066</v>
      </c>
      <c r="E7" s="105">
        <v>12.1</v>
      </c>
    </row>
    <row r="8" spans="1:5">
      <c r="A8" s="99" t="s">
        <v>558</v>
      </c>
      <c r="B8" s="103">
        <v>440.1999</v>
      </c>
      <c r="C8" s="104">
        <v>8.9</v>
      </c>
      <c r="D8" s="103">
        <v>496.8495</v>
      </c>
      <c r="E8" s="105">
        <v>11.8</v>
      </c>
    </row>
    <row r="9" spans="1:5">
      <c r="A9" s="99" t="s">
        <v>559</v>
      </c>
      <c r="B9" s="103">
        <v>557.7986</v>
      </c>
      <c r="C9" s="104">
        <v>8.9</v>
      </c>
      <c r="D9" s="103">
        <v>624.7711</v>
      </c>
      <c r="E9" s="105">
        <v>11.5</v>
      </c>
    </row>
    <row r="10" spans="1:5">
      <c r="A10" s="99" t="s">
        <v>560</v>
      </c>
      <c r="B10" s="106">
        <v>676.0206</v>
      </c>
      <c r="C10" s="104">
        <v>8.8</v>
      </c>
      <c r="D10" s="107">
        <v>754.3984</v>
      </c>
      <c r="E10" s="108">
        <v>11.1</v>
      </c>
    </row>
    <row r="11" spans="1:5">
      <c r="A11" s="99" t="s">
        <v>561</v>
      </c>
      <c r="B11" s="106">
        <v>797.589</v>
      </c>
      <c r="C11" s="104">
        <v>9</v>
      </c>
      <c r="D11" s="107">
        <v>886.5132</v>
      </c>
      <c r="E11" s="105">
        <v>10.8</v>
      </c>
    </row>
    <row r="12" spans="1:5">
      <c r="A12" s="99" t="s">
        <v>562</v>
      </c>
      <c r="B12" s="106">
        <v>919.3703</v>
      </c>
      <c r="C12" s="104">
        <v>8.9</v>
      </c>
      <c r="D12" s="107">
        <v>1016.5674</v>
      </c>
      <c r="E12" s="105">
        <v>10.2</v>
      </c>
    </row>
    <row r="13" spans="1:5">
      <c r="A13" s="99" t="s">
        <v>563</v>
      </c>
      <c r="B13" s="106">
        <v>1045.7008</v>
      </c>
      <c r="C13" s="109">
        <v>9.3</v>
      </c>
      <c r="D13" s="107">
        <v>1155.8877</v>
      </c>
      <c r="E13" s="105">
        <v>10.2</v>
      </c>
    </row>
    <row r="14" spans="1:5">
      <c r="A14" s="99" t="s">
        <v>564</v>
      </c>
      <c r="B14" s="103">
        <v>1178.216</v>
      </c>
      <c r="C14" s="104">
        <v>9.5</v>
      </c>
      <c r="D14" s="103">
        <v>1296.2204</v>
      </c>
      <c r="E14" s="105">
        <v>10.2</v>
      </c>
    </row>
    <row r="15" spans="1:5">
      <c r="A15" s="99" t="s">
        <v>565</v>
      </c>
      <c r="B15" s="103">
        <v>1302.5842</v>
      </c>
      <c r="C15" s="104">
        <v>9.4</v>
      </c>
      <c r="D15" s="103">
        <v>1433.9245</v>
      </c>
      <c r="E15" s="105">
        <v>10.2</v>
      </c>
    </row>
    <row r="16" spans="1:5">
      <c r="A16" s="99" t="s">
        <v>566</v>
      </c>
      <c r="B16" s="103">
        <v>1432.957</v>
      </c>
      <c r="C16" s="104">
        <v>9.5</v>
      </c>
      <c r="D16" s="103">
        <v>1578.0802</v>
      </c>
      <c r="E16" s="105">
        <v>10.1</v>
      </c>
    </row>
    <row r="17" ht="18" customHeight="1" spans="1:5">
      <c r="A17" s="95" t="s">
        <v>552</v>
      </c>
      <c r="B17" s="96" t="s">
        <v>34</v>
      </c>
      <c r="C17" s="110"/>
      <c r="D17" s="96" t="s">
        <v>567</v>
      </c>
      <c r="E17" s="111"/>
    </row>
    <row r="18" ht="18" customHeight="1" spans="1:5">
      <c r="A18" s="95"/>
      <c r="B18" s="96" t="s">
        <v>555</v>
      </c>
      <c r="C18" s="110" t="s">
        <v>556</v>
      </c>
      <c r="D18" s="96" t="s">
        <v>555</v>
      </c>
      <c r="E18" s="111" t="s">
        <v>556</v>
      </c>
    </row>
    <row r="19" spans="1:5">
      <c r="A19" s="112" t="s">
        <v>371</v>
      </c>
      <c r="B19" s="144"/>
      <c r="C19" s="145"/>
      <c r="D19" s="147"/>
      <c r="E19" s="148"/>
    </row>
    <row r="20" spans="1:5">
      <c r="A20" s="112" t="s">
        <v>77</v>
      </c>
      <c r="B20" s="116">
        <v>276.1961</v>
      </c>
      <c r="C20" s="117">
        <v>10.1</v>
      </c>
      <c r="D20" s="116">
        <v>298.7</v>
      </c>
      <c r="E20" s="118">
        <v>8.1</v>
      </c>
    </row>
    <row r="21" spans="1:5">
      <c r="A21" s="112" t="s">
        <v>557</v>
      </c>
      <c r="B21" s="116">
        <v>412.0563</v>
      </c>
      <c r="C21" s="117">
        <v>10.1</v>
      </c>
      <c r="D21" s="119"/>
      <c r="E21" s="120"/>
    </row>
    <row r="22" spans="1:5">
      <c r="A22" s="112" t="s">
        <v>558</v>
      </c>
      <c r="B22" s="116">
        <v>546.284</v>
      </c>
      <c r="C22" s="117">
        <v>10.1</v>
      </c>
      <c r="D22" s="119"/>
      <c r="E22" s="120"/>
    </row>
    <row r="23" spans="1:5">
      <c r="A23" s="112" t="s">
        <v>559</v>
      </c>
      <c r="B23" s="116">
        <v>682.9174</v>
      </c>
      <c r="C23" s="117">
        <v>10</v>
      </c>
      <c r="D23" s="119"/>
      <c r="E23" s="120"/>
    </row>
    <row r="24" spans="1:5">
      <c r="A24" s="112" t="s">
        <v>560</v>
      </c>
      <c r="B24" s="116">
        <v>821.4416</v>
      </c>
      <c r="C24" s="117">
        <v>10</v>
      </c>
      <c r="D24" s="119"/>
      <c r="E24" s="120"/>
    </row>
    <row r="25" spans="1:5">
      <c r="A25" s="112" t="s">
        <v>561</v>
      </c>
      <c r="B25" s="116">
        <v>965.6007</v>
      </c>
      <c r="C25" s="117">
        <v>10.2</v>
      </c>
      <c r="D25" s="119"/>
      <c r="E25" s="120"/>
    </row>
    <row r="26" spans="1:5">
      <c r="A26" s="112" t="s">
        <v>562</v>
      </c>
      <c r="B26" s="116">
        <v>1106.5086</v>
      </c>
      <c r="C26" s="117">
        <v>10.3</v>
      </c>
      <c r="D26" s="119"/>
      <c r="E26" s="120"/>
    </row>
    <row r="27" spans="1:5">
      <c r="A27" s="112" t="s">
        <v>563</v>
      </c>
      <c r="B27" s="116">
        <v>1255.6134</v>
      </c>
      <c r="C27" s="117">
        <v>10.4</v>
      </c>
      <c r="D27" s="119"/>
      <c r="E27" s="121"/>
    </row>
    <row r="28" spans="1:5">
      <c r="A28" s="112" t="s">
        <v>564</v>
      </c>
      <c r="B28" s="116">
        <v>1404.109</v>
      </c>
      <c r="C28" s="117">
        <v>10.3</v>
      </c>
      <c r="D28" s="119"/>
      <c r="E28" s="121"/>
    </row>
    <row r="29" spans="1:5">
      <c r="A29" s="112" t="s">
        <v>565</v>
      </c>
      <c r="B29" s="116">
        <v>1549.0711</v>
      </c>
      <c r="C29" s="117">
        <v>10.3</v>
      </c>
      <c r="D29" s="119"/>
      <c r="E29" s="121"/>
    </row>
    <row r="30" ht="15" spans="1:5">
      <c r="A30" s="123" t="s">
        <v>566</v>
      </c>
      <c r="B30" s="124">
        <v>1697.3</v>
      </c>
      <c r="C30" s="125">
        <v>10.3</v>
      </c>
      <c r="D30" s="126"/>
      <c r="E30" s="127"/>
    </row>
    <row r="31" spans="1:5">
      <c r="A31" s="128"/>
      <c r="B31" s="128"/>
      <c r="C31" s="138"/>
      <c r="D31" s="128"/>
      <c r="E31" s="138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09027777777778" footer="0.509027777777778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31"/>
  <sheetViews>
    <sheetView workbookViewId="0">
      <selection activeCell="F20" sqref="F20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1.25" customWidth="1"/>
  </cols>
  <sheetData>
    <row r="1" ht="27" customHeight="1" spans="1:5">
      <c r="A1" s="86" t="s">
        <v>35</v>
      </c>
      <c r="B1" s="86"/>
      <c r="C1" s="87"/>
      <c r="D1" s="86"/>
      <c r="E1" s="87"/>
    </row>
    <row r="2" ht="15" spans="1:5">
      <c r="A2" s="88"/>
      <c r="B2" s="88"/>
      <c r="C2" s="89"/>
      <c r="D2" s="88"/>
      <c r="E2" s="141" t="s">
        <v>568</v>
      </c>
    </row>
    <row r="3" ht="18" customHeight="1" spans="1:5">
      <c r="A3" s="91" t="s">
        <v>552</v>
      </c>
      <c r="B3" s="92" t="s">
        <v>553</v>
      </c>
      <c r="C3" s="93"/>
      <c r="D3" s="92" t="s">
        <v>554</v>
      </c>
      <c r="E3" s="94"/>
    </row>
    <row r="4" ht="18" customHeight="1" spans="1:5">
      <c r="A4" s="95"/>
      <c r="B4" s="96" t="s">
        <v>555</v>
      </c>
      <c r="C4" s="110" t="s">
        <v>556</v>
      </c>
      <c r="D4" s="96" t="s">
        <v>555</v>
      </c>
      <c r="E4" s="111" t="s">
        <v>556</v>
      </c>
    </row>
    <row r="5" spans="1:5">
      <c r="A5" s="99" t="s">
        <v>371</v>
      </c>
      <c r="B5" s="100"/>
      <c r="C5" s="101"/>
      <c r="D5" s="100"/>
      <c r="E5" s="102"/>
    </row>
    <row r="6" spans="1:5">
      <c r="A6" s="99" t="s">
        <v>77</v>
      </c>
      <c r="B6" s="103">
        <v>38.2733</v>
      </c>
      <c r="C6" s="104">
        <v>-12.3</v>
      </c>
      <c r="D6" s="103">
        <v>41.5396</v>
      </c>
      <c r="E6" s="105">
        <v>14</v>
      </c>
    </row>
    <row r="7" spans="1:5">
      <c r="A7" s="99" t="s">
        <v>557</v>
      </c>
      <c r="B7" s="103">
        <v>58.0649</v>
      </c>
      <c r="C7" s="104">
        <v>-7.6</v>
      </c>
      <c r="D7" s="103">
        <v>72.8464</v>
      </c>
      <c r="E7" s="105">
        <v>29.6</v>
      </c>
    </row>
    <row r="8" spans="1:5">
      <c r="A8" s="99" t="s">
        <v>558</v>
      </c>
      <c r="B8" s="103">
        <v>74.7649</v>
      </c>
      <c r="C8" s="104">
        <v>-13.4</v>
      </c>
      <c r="D8" s="103">
        <v>100.1592</v>
      </c>
      <c r="E8" s="105">
        <v>37.3</v>
      </c>
    </row>
    <row r="9" spans="1:5">
      <c r="A9" s="99" t="s">
        <v>559</v>
      </c>
      <c r="B9" s="103">
        <v>97.3433</v>
      </c>
      <c r="C9" s="104">
        <v>-16.3</v>
      </c>
      <c r="D9" s="103">
        <v>134.1854</v>
      </c>
      <c r="E9" s="105">
        <v>40.5</v>
      </c>
    </row>
    <row r="10" spans="1:5">
      <c r="A10" s="99" t="s">
        <v>560</v>
      </c>
      <c r="B10" s="106">
        <v>120.4325</v>
      </c>
      <c r="C10" s="104">
        <v>-20.8</v>
      </c>
      <c r="D10" s="107">
        <v>163.9816</v>
      </c>
      <c r="E10" s="108">
        <v>38.3</v>
      </c>
    </row>
    <row r="11" spans="1:5">
      <c r="A11" s="99" t="s">
        <v>561</v>
      </c>
      <c r="B11" s="106">
        <v>147.2935</v>
      </c>
      <c r="C11" s="104">
        <v>-19.6</v>
      </c>
      <c r="D11" s="107">
        <v>196.4922</v>
      </c>
      <c r="E11" s="105">
        <v>35.1</v>
      </c>
    </row>
    <row r="12" spans="1:5">
      <c r="A12" s="99" t="s">
        <v>562</v>
      </c>
      <c r="B12" s="106">
        <v>177.3237</v>
      </c>
      <c r="C12" s="104">
        <v>-18.1</v>
      </c>
      <c r="D12" s="107">
        <v>225.0708</v>
      </c>
      <c r="E12" s="105">
        <v>28.2</v>
      </c>
    </row>
    <row r="13" spans="1:5">
      <c r="A13" s="99" t="s">
        <v>563</v>
      </c>
      <c r="B13" s="106">
        <v>213.1449</v>
      </c>
      <c r="C13" s="109">
        <v>-11.9</v>
      </c>
      <c r="D13" s="107">
        <v>249.3223</v>
      </c>
      <c r="E13" s="105">
        <v>18</v>
      </c>
    </row>
    <row r="14" spans="1:5">
      <c r="A14" s="99" t="s">
        <v>564</v>
      </c>
      <c r="B14" s="103">
        <v>240.9083</v>
      </c>
      <c r="C14" s="104">
        <v>-8.6</v>
      </c>
      <c r="D14" s="103">
        <v>271.8035</v>
      </c>
      <c r="E14" s="105">
        <v>13.7</v>
      </c>
    </row>
    <row r="15" spans="1:5">
      <c r="A15" s="99" t="s">
        <v>565</v>
      </c>
      <c r="B15" s="103">
        <v>271.3898</v>
      </c>
      <c r="C15" s="104">
        <v>-5.2</v>
      </c>
      <c r="D15" s="103">
        <v>302.6274</v>
      </c>
      <c r="E15" s="105">
        <v>11.5</v>
      </c>
    </row>
    <row r="16" spans="1:5">
      <c r="A16" s="99" t="s">
        <v>566</v>
      </c>
      <c r="B16" s="103">
        <v>304.4443</v>
      </c>
      <c r="C16" s="104">
        <v>-4.6</v>
      </c>
      <c r="D16" s="103">
        <v>345.6404</v>
      </c>
      <c r="E16" s="105">
        <v>13.5</v>
      </c>
    </row>
    <row r="17" ht="18" customHeight="1" spans="1:5">
      <c r="A17" s="95" t="s">
        <v>552</v>
      </c>
      <c r="B17" s="96" t="s">
        <v>34</v>
      </c>
      <c r="C17" s="110"/>
      <c r="D17" s="96" t="s">
        <v>567</v>
      </c>
      <c r="E17" s="111"/>
    </row>
    <row r="18" ht="18" customHeight="1" spans="1:5">
      <c r="A18" s="95"/>
      <c r="B18" s="96" t="s">
        <v>555</v>
      </c>
      <c r="C18" s="110" t="s">
        <v>556</v>
      </c>
      <c r="D18" s="96" t="s">
        <v>555</v>
      </c>
      <c r="E18" s="111" t="s">
        <v>556</v>
      </c>
    </row>
    <row r="19" spans="1:5">
      <c r="A19" s="112" t="s">
        <v>371</v>
      </c>
      <c r="B19" s="144"/>
      <c r="C19" s="145"/>
      <c r="D19" s="146">
        <v>36.8</v>
      </c>
      <c r="E19" s="121">
        <v>44.4</v>
      </c>
    </row>
    <row r="20" spans="1:5">
      <c r="A20" s="112" t="s">
        <v>77</v>
      </c>
      <c r="B20" s="116">
        <v>44.6469</v>
      </c>
      <c r="C20" s="117">
        <v>7.4167</v>
      </c>
      <c r="D20" s="119"/>
      <c r="E20" s="120"/>
    </row>
    <row r="21" spans="1:5">
      <c r="A21" s="112" t="s">
        <v>557</v>
      </c>
      <c r="B21" s="116">
        <v>69.3423</v>
      </c>
      <c r="C21" s="117">
        <v>-4.9</v>
      </c>
      <c r="D21" s="119"/>
      <c r="E21" s="120"/>
    </row>
    <row r="22" spans="1:5">
      <c r="A22" s="112" t="s">
        <v>558</v>
      </c>
      <c r="B22" s="116">
        <v>94.2513</v>
      </c>
      <c r="C22" s="117">
        <v>-6</v>
      </c>
      <c r="D22" s="119"/>
      <c r="E22" s="120"/>
    </row>
    <row r="23" spans="1:5">
      <c r="A23" s="112" t="s">
        <v>559</v>
      </c>
      <c r="B23" s="116">
        <v>128.9132</v>
      </c>
      <c r="C23" s="117">
        <v>-4</v>
      </c>
      <c r="D23" s="119"/>
      <c r="E23" s="120"/>
    </row>
    <row r="24" spans="1:5">
      <c r="A24" s="112" t="s">
        <v>560</v>
      </c>
      <c r="B24" s="116">
        <v>165.2306</v>
      </c>
      <c r="C24" s="117">
        <v>0.7</v>
      </c>
      <c r="D24" s="119"/>
      <c r="E24" s="120"/>
    </row>
    <row r="25" spans="1:5">
      <c r="A25" s="112" t="s">
        <v>561</v>
      </c>
      <c r="B25" s="116">
        <v>202.0126</v>
      </c>
      <c r="C25" s="117">
        <v>2.8</v>
      </c>
      <c r="D25" s="119"/>
      <c r="E25" s="120"/>
    </row>
    <row r="26" spans="1:5">
      <c r="A26" s="112" t="s">
        <v>562</v>
      </c>
      <c r="B26" s="116">
        <v>238.4131</v>
      </c>
      <c r="C26" s="117">
        <v>5.9</v>
      </c>
      <c r="D26" s="119"/>
      <c r="E26" s="120"/>
    </row>
    <row r="27" spans="1:5">
      <c r="A27" s="112" t="s">
        <v>563</v>
      </c>
      <c r="B27" s="116">
        <v>270.612</v>
      </c>
      <c r="C27" s="117">
        <v>8.5</v>
      </c>
      <c r="D27" s="119"/>
      <c r="E27" s="121"/>
    </row>
    <row r="28" spans="1:5">
      <c r="A28" s="112" t="s">
        <v>564</v>
      </c>
      <c r="B28" s="116">
        <v>304.2856</v>
      </c>
      <c r="C28" s="117">
        <v>11.9</v>
      </c>
      <c r="D28" s="119"/>
      <c r="E28" s="121"/>
    </row>
    <row r="29" spans="1:5">
      <c r="A29" s="112" t="s">
        <v>565</v>
      </c>
      <c r="B29" s="116">
        <v>341.42</v>
      </c>
      <c r="C29" s="117">
        <v>12.8</v>
      </c>
      <c r="D29" s="119"/>
      <c r="E29" s="121"/>
    </row>
    <row r="30" ht="15" spans="1:5">
      <c r="A30" s="123" t="s">
        <v>566</v>
      </c>
      <c r="B30" s="124">
        <v>377.03</v>
      </c>
      <c r="C30" s="125">
        <v>9</v>
      </c>
      <c r="D30" s="126"/>
      <c r="E30" s="127"/>
    </row>
    <row r="31" spans="1:5">
      <c r="A31" s="143" t="s">
        <v>569</v>
      </c>
      <c r="B31" s="143"/>
      <c r="C31" s="143"/>
      <c r="D31" s="143"/>
      <c r="E31" s="143"/>
    </row>
  </sheetData>
  <mergeCells count="8">
    <mergeCell ref="A1:E1"/>
    <mergeCell ref="B3:C3"/>
    <mergeCell ref="D3:E3"/>
    <mergeCell ref="B17:C17"/>
    <mergeCell ref="D17:E17"/>
    <mergeCell ref="A31:E31"/>
    <mergeCell ref="A3:A4"/>
    <mergeCell ref="A17:A18"/>
  </mergeCells>
  <pageMargins left="0.75" right="0.75" top="1" bottom="1" header="0.509027777777778" footer="0.509027777777778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31"/>
  <sheetViews>
    <sheetView workbookViewId="0">
      <selection activeCell="H27" sqref="H27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  <col min="7" max="10" width="9.375" customWidth="1"/>
  </cols>
  <sheetData>
    <row r="1" ht="27" customHeight="1" spans="1:5">
      <c r="A1" s="86" t="s">
        <v>570</v>
      </c>
      <c r="B1" s="86"/>
      <c r="C1" s="87"/>
      <c r="D1" s="86"/>
      <c r="E1" s="87"/>
    </row>
    <row r="2" ht="15" spans="1:5">
      <c r="A2" s="88"/>
      <c r="B2" s="88"/>
      <c r="C2" s="89"/>
      <c r="D2" s="88"/>
      <c r="E2" s="141" t="s">
        <v>37</v>
      </c>
    </row>
    <row r="3" ht="18" customHeight="1" spans="1:5">
      <c r="A3" s="91" t="s">
        <v>552</v>
      </c>
      <c r="B3" s="92" t="s">
        <v>553</v>
      </c>
      <c r="C3" s="93"/>
      <c r="D3" s="92" t="s">
        <v>554</v>
      </c>
      <c r="E3" s="94"/>
    </row>
    <row r="4" ht="18" customHeight="1" spans="1:5">
      <c r="A4" s="95"/>
      <c r="B4" s="96" t="s">
        <v>555</v>
      </c>
      <c r="C4" s="110" t="s">
        <v>556</v>
      </c>
      <c r="D4" s="96" t="s">
        <v>555</v>
      </c>
      <c r="E4" s="111" t="s">
        <v>556</v>
      </c>
    </row>
    <row r="5" spans="1:5">
      <c r="A5" s="99" t="s">
        <v>371</v>
      </c>
      <c r="B5" s="100"/>
      <c r="C5" s="101"/>
      <c r="D5" s="100"/>
      <c r="E5" s="102"/>
    </row>
    <row r="6" spans="1:5">
      <c r="A6" s="99" t="s">
        <v>77</v>
      </c>
      <c r="B6" s="103">
        <v>14.3618</v>
      </c>
      <c r="C6" s="104">
        <v>13.1</v>
      </c>
      <c r="D6" s="103">
        <v>16.8865</v>
      </c>
      <c r="E6" s="105">
        <v>21.3</v>
      </c>
    </row>
    <row r="7" spans="1:5">
      <c r="A7" s="99" t="s">
        <v>557</v>
      </c>
      <c r="B7" s="103">
        <v>22.2812</v>
      </c>
      <c r="C7" s="104">
        <v>9.6</v>
      </c>
      <c r="D7" s="103">
        <v>24.8142</v>
      </c>
      <c r="E7" s="105">
        <v>15.8</v>
      </c>
    </row>
    <row r="8" spans="1:5">
      <c r="A8" s="99" t="s">
        <v>558</v>
      </c>
      <c r="B8" s="103">
        <v>31.7363</v>
      </c>
      <c r="C8" s="104">
        <v>14</v>
      </c>
      <c r="D8" s="103">
        <v>32.5815</v>
      </c>
      <c r="E8" s="105">
        <v>7.38333558548909</v>
      </c>
    </row>
    <row r="9" spans="1:5">
      <c r="A9" s="99" t="s">
        <v>559</v>
      </c>
      <c r="B9" s="103">
        <v>41.3127</v>
      </c>
      <c r="C9" s="104">
        <v>8.7</v>
      </c>
      <c r="D9" s="103">
        <v>40.1635</v>
      </c>
      <c r="E9" s="105">
        <v>2.1</v>
      </c>
    </row>
    <row r="10" spans="1:5">
      <c r="A10" s="99" t="s">
        <v>560</v>
      </c>
      <c r="B10" s="106">
        <v>56.6175</v>
      </c>
      <c r="C10" s="104">
        <v>5</v>
      </c>
      <c r="D10" s="107">
        <v>58.3819</v>
      </c>
      <c r="E10" s="108">
        <v>6.8</v>
      </c>
    </row>
    <row r="11" spans="1:5">
      <c r="A11" s="99" t="s">
        <v>561</v>
      </c>
      <c r="B11" s="106">
        <v>66.3904</v>
      </c>
      <c r="C11" s="104">
        <v>7.7</v>
      </c>
      <c r="D11" s="107">
        <v>67.2492</v>
      </c>
      <c r="E11" s="105">
        <v>4.4</v>
      </c>
    </row>
    <row r="12" spans="1:5">
      <c r="A12" s="99" t="s">
        <v>562</v>
      </c>
      <c r="B12" s="106">
        <v>73.539</v>
      </c>
      <c r="C12" s="104">
        <v>7.7</v>
      </c>
      <c r="D12" s="107">
        <v>74.5911</v>
      </c>
      <c r="E12" s="105">
        <v>4.2</v>
      </c>
    </row>
    <row r="13" spans="1:5">
      <c r="A13" s="99" t="s">
        <v>563</v>
      </c>
      <c r="B13" s="106">
        <v>81.5736</v>
      </c>
      <c r="C13" s="109">
        <v>7.2</v>
      </c>
      <c r="D13" s="107">
        <v>86.9421</v>
      </c>
      <c r="E13" s="105">
        <v>9.2</v>
      </c>
    </row>
    <row r="14" spans="1:5">
      <c r="A14" s="99" t="s">
        <v>564</v>
      </c>
      <c r="B14" s="103">
        <v>89.4414</v>
      </c>
      <c r="C14" s="104">
        <v>7.4</v>
      </c>
      <c r="D14" s="103">
        <v>119.6191</v>
      </c>
      <c r="E14" s="105">
        <v>36.8</v>
      </c>
    </row>
    <row r="15" spans="1:5">
      <c r="A15" s="99" t="s">
        <v>565</v>
      </c>
      <c r="B15" s="103">
        <v>96.6337</v>
      </c>
      <c r="C15" s="104">
        <v>3.8</v>
      </c>
      <c r="D15" s="103">
        <v>126.085</v>
      </c>
      <c r="E15" s="105">
        <v>32.4</v>
      </c>
    </row>
    <row r="16" spans="1:5">
      <c r="A16" s="99" t="s">
        <v>566</v>
      </c>
      <c r="B16" s="103">
        <v>112.9713</v>
      </c>
      <c r="C16" s="104">
        <v>-4.8</v>
      </c>
      <c r="D16" s="103">
        <v>134.9958</v>
      </c>
      <c r="E16" s="105">
        <v>21</v>
      </c>
    </row>
    <row r="17" ht="18" customHeight="1" spans="1:5">
      <c r="A17" s="95" t="s">
        <v>552</v>
      </c>
      <c r="B17" s="96" t="s">
        <v>34</v>
      </c>
      <c r="C17" s="110"/>
      <c r="D17" s="96" t="s">
        <v>567</v>
      </c>
      <c r="E17" s="111"/>
    </row>
    <row r="18" ht="18" customHeight="1" spans="1:5">
      <c r="A18" s="95"/>
      <c r="B18" s="96" t="s">
        <v>555</v>
      </c>
      <c r="C18" s="110" t="s">
        <v>556</v>
      </c>
      <c r="D18" s="96" t="s">
        <v>555</v>
      </c>
      <c r="E18" s="111" t="s">
        <v>556</v>
      </c>
    </row>
    <row r="19" spans="1:5">
      <c r="A19" s="112" t="s">
        <v>371</v>
      </c>
      <c r="B19" s="113">
        <v>13.1471</v>
      </c>
      <c r="C19" s="114">
        <v>33.5</v>
      </c>
      <c r="D19" s="142">
        <v>17.38</v>
      </c>
      <c r="E19" s="115">
        <v>32.2</v>
      </c>
    </row>
    <row r="20" spans="1:5">
      <c r="A20" s="112" t="s">
        <v>77</v>
      </c>
      <c r="B20" s="116">
        <v>22.2479</v>
      </c>
      <c r="C20" s="117">
        <v>31.7</v>
      </c>
      <c r="D20" s="116">
        <v>24.8697</v>
      </c>
      <c r="E20" s="118">
        <v>11.8</v>
      </c>
    </row>
    <row r="21" spans="1:5">
      <c r="A21" s="112" t="s">
        <v>557</v>
      </c>
      <c r="B21" s="116">
        <v>30.2572</v>
      </c>
      <c r="C21" s="117">
        <v>21.9</v>
      </c>
      <c r="D21" s="119"/>
      <c r="E21" s="120"/>
    </row>
    <row r="22" spans="1:5">
      <c r="A22" s="112" t="s">
        <v>558</v>
      </c>
      <c r="B22" s="116">
        <v>40.3634</v>
      </c>
      <c r="C22" s="117">
        <v>23.9</v>
      </c>
      <c r="D22" s="119"/>
      <c r="E22" s="120"/>
    </row>
    <row r="23" spans="1:5">
      <c r="A23" s="112" t="s">
        <v>559</v>
      </c>
      <c r="B23" s="116">
        <v>49.9011</v>
      </c>
      <c r="C23" s="117">
        <v>24.2448989754379</v>
      </c>
      <c r="D23" s="119"/>
      <c r="E23" s="120"/>
    </row>
    <row r="24" spans="1:5">
      <c r="A24" s="112" t="s">
        <v>560</v>
      </c>
      <c r="B24" s="116">
        <v>64.7923</v>
      </c>
      <c r="C24" s="117">
        <v>11</v>
      </c>
      <c r="D24" s="119"/>
      <c r="E24" s="120"/>
    </row>
    <row r="25" spans="1:5">
      <c r="A25" s="112" t="s">
        <v>561</v>
      </c>
      <c r="B25" s="116">
        <v>75.1173</v>
      </c>
      <c r="C25" s="117">
        <v>11.7</v>
      </c>
      <c r="D25" s="119"/>
      <c r="E25" s="120"/>
    </row>
    <row r="26" spans="1:5">
      <c r="A26" s="112" t="s">
        <v>562</v>
      </c>
      <c r="B26" s="116">
        <v>83.6834</v>
      </c>
      <c r="C26" s="117">
        <v>12.2</v>
      </c>
      <c r="D26" s="119"/>
      <c r="E26" s="120"/>
    </row>
    <row r="27" spans="1:5">
      <c r="A27" s="112" t="s">
        <v>563</v>
      </c>
      <c r="B27" s="116">
        <v>92.195</v>
      </c>
      <c r="C27" s="117">
        <v>12.7</v>
      </c>
      <c r="D27" s="119"/>
      <c r="E27" s="121"/>
    </row>
    <row r="28" spans="1:5">
      <c r="A28" s="112" t="s">
        <v>564</v>
      </c>
      <c r="B28" s="116">
        <v>100.4627</v>
      </c>
      <c r="C28" s="117">
        <v>11.4</v>
      </c>
      <c r="D28" s="119"/>
      <c r="E28" s="121"/>
    </row>
    <row r="29" spans="1:5">
      <c r="A29" s="112" t="s">
        <v>565</v>
      </c>
      <c r="B29" s="116">
        <v>107.827</v>
      </c>
      <c r="C29" s="117">
        <v>11.6</v>
      </c>
      <c r="D29" s="119"/>
      <c r="E29" s="121"/>
    </row>
    <row r="30" ht="15" spans="1:5">
      <c r="A30" s="123" t="s">
        <v>566</v>
      </c>
      <c r="B30" s="124">
        <v>121.83</v>
      </c>
      <c r="C30" s="125">
        <v>15.4</v>
      </c>
      <c r="D30" s="126"/>
      <c r="E30" s="127"/>
    </row>
    <row r="31" spans="1:5">
      <c r="A31" s="143" t="s">
        <v>571</v>
      </c>
      <c r="B31" s="143"/>
      <c r="C31" s="143"/>
      <c r="D31" s="143"/>
      <c r="E31" s="143"/>
    </row>
  </sheetData>
  <mergeCells count="8">
    <mergeCell ref="A1:E1"/>
    <mergeCell ref="B3:C3"/>
    <mergeCell ref="D3:E3"/>
    <mergeCell ref="B17:C17"/>
    <mergeCell ref="D17:E17"/>
    <mergeCell ref="A31:E31"/>
    <mergeCell ref="A3:A4"/>
    <mergeCell ref="A17:A18"/>
  </mergeCells>
  <pageMargins left="0.75" right="0.75" top="1" bottom="1" header="0.509027777777778" footer="0.509027777777778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31"/>
  <sheetViews>
    <sheetView workbookViewId="0">
      <selection activeCell="H18" sqref="H18"/>
    </sheetView>
  </sheetViews>
  <sheetFormatPr defaultColWidth="9" defaultRowHeight="14.25" outlineLevelCol="5"/>
  <cols>
    <col min="2" max="2" width="12.375" customWidth="1"/>
    <col min="3" max="3" width="10.375" customWidth="1"/>
    <col min="4" max="4" width="14.125" style="129" customWidth="1"/>
    <col min="5" max="5" width="10.125" style="129" customWidth="1"/>
  </cols>
  <sheetData>
    <row r="1" ht="27" customHeight="1" spans="1:5">
      <c r="A1" s="86" t="s">
        <v>27</v>
      </c>
      <c r="B1" s="87"/>
      <c r="C1" s="87"/>
      <c r="D1" s="130"/>
      <c r="E1" s="130"/>
    </row>
    <row r="2" ht="15" spans="1:5">
      <c r="A2" s="88"/>
      <c r="B2" s="89"/>
      <c r="C2" s="89"/>
      <c r="D2" s="131" t="s">
        <v>424</v>
      </c>
      <c r="E2" s="132"/>
    </row>
    <row r="3" ht="18" customHeight="1" spans="1:5">
      <c r="A3" s="91" t="s">
        <v>552</v>
      </c>
      <c r="B3" s="93" t="s">
        <v>553</v>
      </c>
      <c r="C3" s="93"/>
      <c r="D3" s="133" t="s">
        <v>554</v>
      </c>
      <c r="E3" s="134"/>
    </row>
    <row r="4" ht="30" customHeight="1" spans="1:5">
      <c r="A4" s="95"/>
      <c r="B4" s="110" t="s">
        <v>555</v>
      </c>
      <c r="C4" s="97" t="s">
        <v>572</v>
      </c>
      <c r="D4" s="97" t="s">
        <v>573</v>
      </c>
      <c r="E4" s="98" t="s">
        <v>572</v>
      </c>
    </row>
    <row r="5" spans="1:5">
      <c r="A5" s="99" t="s">
        <v>371</v>
      </c>
      <c r="B5" s="101"/>
      <c r="C5" s="101"/>
      <c r="D5" s="101"/>
      <c r="E5" s="102"/>
    </row>
    <row r="6" spans="1:5">
      <c r="A6" s="99" t="s">
        <v>77</v>
      </c>
      <c r="B6" s="135">
        <v>103</v>
      </c>
      <c r="C6" s="104">
        <v>3</v>
      </c>
      <c r="D6" s="135">
        <v>101.1</v>
      </c>
      <c r="E6" s="105">
        <v>1.1</v>
      </c>
    </row>
    <row r="7" spans="1:5">
      <c r="A7" s="99" t="s">
        <v>557</v>
      </c>
      <c r="B7" s="135">
        <v>102.8</v>
      </c>
      <c r="C7" s="104">
        <v>2.8</v>
      </c>
      <c r="D7" s="135">
        <v>101</v>
      </c>
      <c r="E7" s="105">
        <v>1</v>
      </c>
    </row>
    <row r="8" spans="1:5">
      <c r="A8" s="99" t="s">
        <v>558</v>
      </c>
      <c r="B8" s="135">
        <v>102.9</v>
      </c>
      <c r="C8" s="104">
        <v>2.9</v>
      </c>
      <c r="D8" s="135">
        <v>101</v>
      </c>
      <c r="E8" s="105">
        <v>1</v>
      </c>
    </row>
    <row r="9" spans="1:5">
      <c r="A9" s="99" t="s">
        <v>559</v>
      </c>
      <c r="B9" s="135">
        <v>102.8</v>
      </c>
      <c r="C9" s="104">
        <v>2.8</v>
      </c>
      <c r="D9" s="135">
        <v>101.1</v>
      </c>
      <c r="E9" s="105">
        <v>1.1</v>
      </c>
    </row>
    <row r="10" spans="1:5">
      <c r="A10" s="99" t="s">
        <v>560</v>
      </c>
      <c r="B10" s="136">
        <v>102.7</v>
      </c>
      <c r="C10" s="104">
        <v>2.7</v>
      </c>
      <c r="D10" s="109">
        <v>101.1</v>
      </c>
      <c r="E10" s="108">
        <v>1.1</v>
      </c>
    </row>
    <row r="11" spans="1:5">
      <c r="A11" s="99" t="s">
        <v>561</v>
      </c>
      <c r="B11" s="136">
        <v>102.6</v>
      </c>
      <c r="C11" s="104">
        <v>2.6</v>
      </c>
      <c r="D11" s="109">
        <v>101.2</v>
      </c>
      <c r="E11" s="105">
        <v>1.2</v>
      </c>
    </row>
    <row r="12" spans="1:5">
      <c r="A12" s="99" t="s">
        <v>562</v>
      </c>
      <c r="B12" s="136">
        <v>102.5</v>
      </c>
      <c r="C12" s="104">
        <v>2.5</v>
      </c>
      <c r="D12" s="109">
        <v>101.3</v>
      </c>
      <c r="E12" s="105">
        <v>1.3</v>
      </c>
    </row>
    <row r="13" spans="1:5">
      <c r="A13" s="99" t="s">
        <v>563</v>
      </c>
      <c r="B13" s="136">
        <v>102.4</v>
      </c>
      <c r="C13" s="109">
        <v>2.40000000000001</v>
      </c>
      <c r="D13" s="109">
        <v>101.2</v>
      </c>
      <c r="E13" s="105">
        <v>1.2</v>
      </c>
    </row>
    <row r="14" spans="1:5">
      <c r="A14" s="99" t="s">
        <v>564</v>
      </c>
      <c r="B14" s="135">
        <v>102.3</v>
      </c>
      <c r="C14" s="104">
        <v>2.3</v>
      </c>
      <c r="D14" s="135">
        <v>101.3</v>
      </c>
      <c r="E14" s="105">
        <v>1.3</v>
      </c>
    </row>
    <row r="15" spans="1:5">
      <c r="A15" s="99" t="s">
        <v>565</v>
      </c>
      <c r="B15" s="135">
        <v>102.3</v>
      </c>
      <c r="C15" s="104">
        <v>2.3</v>
      </c>
      <c r="D15" s="135">
        <v>101.3</v>
      </c>
      <c r="E15" s="105">
        <v>1.3</v>
      </c>
    </row>
    <row r="16" spans="1:5">
      <c r="A16" s="99" t="s">
        <v>566</v>
      </c>
      <c r="B16" s="135">
        <v>102.2</v>
      </c>
      <c r="C16" s="104">
        <v>2.2</v>
      </c>
      <c r="D16" s="135">
        <v>101.3</v>
      </c>
      <c r="E16" s="105">
        <v>1.3</v>
      </c>
    </row>
    <row r="17" ht="18" customHeight="1" spans="1:6">
      <c r="A17" s="95" t="s">
        <v>552</v>
      </c>
      <c r="B17" s="110" t="s">
        <v>34</v>
      </c>
      <c r="C17" s="110"/>
      <c r="D17" s="97" t="s">
        <v>567</v>
      </c>
      <c r="E17" s="98"/>
    </row>
    <row r="18" ht="30" customHeight="1" spans="1:6">
      <c r="A18" s="95"/>
      <c r="B18" s="110" t="s">
        <v>573</v>
      </c>
      <c r="C18" s="97" t="s">
        <v>572</v>
      </c>
      <c r="D18" s="97" t="s">
        <v>573</v>
      </c>
      <c r="E18" s="98" t="s">
        <v>572</v>
      </c>
    </row>
    <row r="19" spans="1:6">
      <c r="A19" s="112" t="s">
        <v>371</v>
      </c>
      <c r="B19" s="114"/>
      <c r="C19" s="114"/>
      <c r="D19" s="114">
        <v>101.9</v>
      </c>
      <c r="E19" s="115">
        <v>1.9</v>
      </c>
    </row>
    <row r="20" spans="1:6">
      <c r="A20" s="112" t="s">
        <v>77</v>
      </c>
      <c r="B20" s="117">
        <v>101.5</v>
      </c>
      <c r="C20" s="117">
        <v>1.5</v>
      </c>
      <c r="D20" s="117">
        <v>101.6</v>
      </c>
      <c r="E20" s="118">
        <v>1.6</v>
      </c>
      <c r="F20" s="129"/>
    </row>
    <row r="21" spans="1:6">
      <c r="A21" s="112" t="s">
        <v>557</v>
      </c>
      <c r="B21" s="117">
        <v>101.6</v>
      </c>
      <c r="C21" s="117">
        <v>1.59999999999999</v>
      </c>
      <c r="D21" s="117"/>
      <c r="E21" s="118"/>
    </row>
    <row r="22" spans="1:6">
      <c r="A22" s="112" t="s">
        <v>558</v>
      </c>
      <c r="B22" s="117">
        <v>101.5</v>
      </c>
      <c r="C22" s="117">
        <v>1.5</v>
      </c>
      <c r="D22" s="117"/>
      <c r="E22" s="118"/>
    </row>
    <row r="23" spans="1:6">
      <c r="A23" s="112" t="s">
        <v>559</v>
      </c>
      <c r="B23" s="117">
        <v>101.3</v>
      </c>
      <c r="C23" s="117">
        <v>1.3</v>
      </c>
      <c r="D23" s="117"/>
      <c r="E23" s="118"/>
    </row>
    <row r="24" spans="1:6">
      <c r="A24" s="112" t="s">
        <v>560</v>
      </c>
      <c r="B24" s="117">
        <v>101.3</v>
      </c>
      <c r="C24" s="117">
        <v>1.3</v>
      </c>
      <c r="D24" s="117"/>
      <c r="E24" s="118"/>
    </row>
    <row r="25" spans="1:6">
      <c r="A25" s="112" t="s">
        <v>561</v>
      </c>
      <c r="B25" s="117">
        <v>101.2</v>
      </c>
      <c r="C25" s="117">
        <v>1.2</v>
      </c>
      <c r="D25" s="117"/>
      <c r="E25" s="118"/>
    </row>
    <row r="26" spans="1:6">
      <c r="A26" s="112" t="s">
        <v>562</v>
      </c>
      <c r="B26" s="117">
        <v>101.3</v>
      </c>
      <c r="C26" s="117">
        <v>1.3</v>
      </c>
      <c r="D26" s="117"/>
      <c r="E26" s="118"/>
    </row>
    <row r="27" spans="1:6">
      <c r="A27" s="112" t="s">
        <v>563</v>
      </c>
      <c r="B27" s="117">
        <v>101.4</v>
      </c>
      <c r="C27" s="117">
        <v>1.4</v>
      </c>
      <c r="D27" s="117"/>
      <c r="E27" s="115"/>
    </row>
    <row r="28" spans="1:6">
      <c r="A28" s="112" t="s">
        <v>564</v>
      </c>
      <c r="B28" s="117">
        <v>101.5</v>
      </c>
      <c r="C28" s="117">
        <v>1.5</v>
      </c>
      <c r="D28" s="117"/>
      <c r="E28" s="115"/>
    </row>
    <row r="29" spans="1:6">
      <c r="A29" s="112" t="s">
        <v>565</v>
      </c>
      <c r="B29" s="117">
        <v>101.5</v>
      </c>
      <c r="C29" s="117">
        <v>1.5</v>
      </c>
      <c r="D29" s="117"/>
      <c r="E29" s="115"/>
    </row>
    <row r="30" ht="15" spans="1:6">
      <c r="A30" s="123" t="s">
        <v>566</v>
      </c>
      <c r="B30" s="125">
        <v>101.6</v>
      </c>
      <c r="C30" s="125">
        <v>1.6</v>
      </c>
      <c r="D30" s="125"/>
      <c r="E30" s="137"/>
    </row>
    <row r="31" spans="1:6">
      <c r="A31" s="128"/>
      <c r="B31" s="138"/>
      <c r="C31" s="128"/>
      <c r="D31" s="139"/>
      <c r="E31" s="140"/>
    </row>
  </sheetData>
  <mergeCells count="8">
    <mergeCell ref="A1:E1"/>
    <mergeCell ref="D2:E2"/>
    <mergeCell ref="B3:C3"/>
    <mergeCell ref="D3:E3"/>
    <mergeCell ref="B17:C17"/>
    <mergeCell ref="D17:E17"/>
    <mergeCell ref="A3:A4"/>
    <mergeCell ref="A17:A18"/>
  </mergeCells>
  <pageMargins left="0.75" right="0.75" top="1" bottom="1" header="0.509027777777778" footer="0.509027777777778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23"/>
  <sheetViews>
    <sheetView zoomScale="80" zoomScaleNormal="80" workbookViewId="0">
      <selection activeCell="F23" sqref="F23"/>
    </sheetView>
  </sheetViews>
  <sheetFormatPr defaultColWidth="9" defaultRowHeight="14.25" outlineLevelCol="3"/>
  <cols>
    <col min="1" max="1" width="33.125" style="690" customWidth="1"/>
    <col min="2" max="2" width="12" style="690" customWidth="1"/>
    <col min="3" max="3" width="16.375" style="690" customWidth="1"/>
    <col min="4" max="4" width="15.75" style="690" customWidth="1"/>
    <col min="5" max="16384" width="9" style="690"/>
  </cols>
  <sheetData>
    <row r="1" ht="28.5" customHeight="1" spans="1:4">
      <c r="A1" s="86" t="s">
        <v>56</v>
      </c>
      <c r="B1" s="86"/>
      <c r="C1" s="86"/>
      <c r="D1" s="86"/>
    </row>
    <row r="2" ht="35.25" customHeight="1" spans="1:4">
      <c r="A2" s="691" t="s">
        <v>38</v>
      </c>
      <c r="B2" s="692" t="s">
        <v>2</v>
      </c>
      <c r="C2" s="501" t="s">
        <v>34</v>
      </c>
      <c r="D2" s="693" t="s">
        <v>5</v>
      </c>
    </row>
    <row r="3" ht="26.1" customHeight="1" spans="1:4">
      <c r="A3" s="694" t="s">
        <v>57</v>
      </c>
      <c r="B3" s="695" t="s">
        <v>7</v>
      </c>
      <c r="C3" s="696">
        <v>854.580218</v>
      </c>
      <c r="D3" s="697">
        <v>4.81999999999999</v>
      </c>
    </row>
    <row r="4" ht="26.1" customHeight="1" spans="1:4">
      <c r="A4" s="694" t="s">
        <v>58</v>
      </c>
      <c r="B4" s="695" t="s">
        <v>7</v>
      </c>
      <c r="C4" s="696">
        <v>458.971716</v>
      </c>
      <c r="D4" s="697">
        <v>4.42</v>
      </c>
    </row>
    <row r="5" ht="26.1" customHeight="1" spans="1:4">
      <c r="A5" s="694" t="s">
        <v>59</v>
      </c>
      <c r="B5" s="695" t="s">
        <v>7</v>
      </c>
      <c r="C5" s="696">
        <v>25.660064</v>
      </c>
      <c r="D5" s="697">
        <v>6.62</v>
      </c>
    </row>
    <row r="6" ht="26.1" customHeight="1" spans="1:4">
      <c r="A6" s="694" t="s">
        <v>60</v>
      </c>
      <c r="B6" s="695" t="s">
        <v>7</v>
      </c>
      <c r="C6" s="696">
        <v>118.089959</v>
      </c>
      <c r="D6" s="697">
        <v>2.91</v>
      </c>
    </row>
    <row r="7" ht="26.1" customHeight="1" spans="1:4">
      <c r="A7" s="694" t="s">
        <v>61</v>
      </c>
      <c r="B7" s="695" t="s">
        <v>7</v>
      </c>
      <c r="C7" s="696">
        <v>220.985279</v>
      </c>
      <c r="D7" s="697">
        <v>5.95</v>
      </c>
    </row>
    <row r="8" ht="26.1" customHeight="1" spans="1:4">
      <c r="A8" s="694" t="s">
        <v>62</v>
      </c>
      <c r="B8" s="695" t="s">
        <v>7</v>
      </c>
      <c r="C8" s="696">
        <v>30.8732</v>
      </c>
      <c r="D8" s="697">
        <v>9.20999999999999</v>
      </c>
    </row>
    <row r="9" ht="26.1" customHeight="1" spans="1:4">
      <c r="A9" s="648" t="s">
        <v>63</v>
      </c>
      <c r="B9" s="695" t="s">
        <v>7</v>
      </c>
      <c r="C9" s="696">
        <v>546.359225</v>
      </c>
      <c r="D9" s="697">
        <v>4.83</v>
      </c>
    </row>
    <row r="10" ht="26.1" customHeight="1" spans="1:4">
      <c r="A10" s="694" t="s">
        <v>58</v>
      </c>
      <c r="B10" s="695" t="s">
        <v>7</v>
      </c>
      <c r="C10" s="696">
        <v>313.78772</v>
      </c>
      <c r="D10" s="697">
        <v>4.42</v>
      </c>
    </row>
    <row r="11" ht="26.1" customHeight="1" spans="1:4">
      <c r="A11" s="694" t="s">
        <v>59</v>
      </c>
      <c r="B11" s="695" t="s">
        <v>7</v>
      </c>
      <c r="C11" s="696">
        <v>19.066443</v>
      </c>
      <c r="D11" s="697">
        <v>6.62</v>
      </c>
    </row>
    <row r="12" ht="26.1" customHeight="1" spans="1:4">
      <c r="A12" s="694" t="s">
        <v>60</v>
      </c>
      <c r="B12" s="695" t="s">
        <v>7</v>
      </c>
      <c r="C12" s="696">
        <v>57.120154</v>
      </c>
      <c r="D12" s="697">
        <v>2.91</v>
      </c>
    </row>
    <row r="13" ht="26.1" customHeight="1" spans="1:4">
      <c r="A13" s="694" t="s">
        <v>61</v>
      </c>
      <c r="B13" s="695" t="s">
        <v>7</v>
      </c>
      <c r="C13" s="696">
        <v>143.640366</v>
      </c>
      <c r="D13" s="697">
        <v>5.95</v>
      </c>
    </row>
    <row r="14" ht="26.1" customHeight="1" spans="1:4">
      <c r="A14" s="694" t="s">
        <v>62</v>
      </c>
      <c r="B14" s="695" t="s">
        <v>7</v>
      </c>
      <c r="C14" s="696">
        <v>12.744543</v>
      </c>
      <c r="D14" s="697">
        <v>9.20999999999999</v>
      </c>
    </row>
    <row r="15" ht="26.1" customHeight="1" spans="1:4">
      <c r="A15" s="694" t="s">
        <v>64</v>
      </c>
      <c r="B15" s="694"/>
      <c r="C15" s="696"/>
      <c r="D15" s="697"/>
    </row>
    <row r="16" ht="26.1" customHeight="1" spans="1:4">
      <c r="A16" s="694" t="s">
        <v>65</v>
      </c>
      <c r="B16" s="695" t="s">
        <v>66</v>
      </c>
      <c r="C16" s="698">
        <v>138.2369</v>
      </c>
      <c r="D16" s="697">
        <v>-2.25</v>
      </c>
    </row>
    <row r="17" ht="26.1" customHeight="1" spans="1:4">
      <c r="A17" s="694" t="s">
        <v>67</v>
      </c>
      <c r="B17" s="695" t="s">
        <v>66</v>
      </c>
      <c r="C17" s="698">
        <v>117.0944</v>
      </c>
      <c r="D17" s="697">
        <v>-1.18000000000001</v>
      </c>
    </row>
    <row r="18" ht="26.1" customHeight="1" spans="1:4">
      <c r="A18" s="694" t="s">
        <v>68</v>
      </c>
      <c r="B18" s="695" t="s">
        <v>66</v>
      </c>
      <c r="C18" s="699">
        <v>373.1527</v>
      </c>
      <c r="D18" s="697">
        <v>5.8268887119842</v>
      </c>
    </row>
    <row r="19" ht="26.1" customHeight="1" spans="1:4">
      <c r="A19" s="694" t="s">
        <v>69</v>
      </c>
      <c r="B19" s="695" t="s">
        <v>66</v>
      </c>
      <c r="C19" s="699">
        <v>265.31</v>
      </c>
      <c r="D19" s="697">
        <v>8.07897574486338</v>
      </c>
    </row>
    <row r="20" ht="26.1" customHeight="1" spans="1:4">
      <c r="A20" s="694" t="s">
        <v>70</v>
      </c>
      <c r="B20" s="695" t="s">
        <v>71</v>
      </c>
      <c r="C20" s="699">
        <v>409.4916</v>
      </c>
      <c r="D20" s="697">
        <v>3.83</v>
      </c>
    </row>
    <row r="21" ht="26.1" customHeight="1" spans="1:4">
      <c r="A21" s="694" t="s">
        <v>72</v>
      </c>
      <c r="B21" s="695" t="s">
        <v>73</v>
      </c>
      <c r="C21" s="699">
        <v>8542.4609</v>
      </c>
      <c r="D21" s="697">
        <v>0.5</v>
      </c>
    </row>
    <row r="22" ht="26.1" customHeight="1" spans="1:4">
      <c r="A22" s="700" t="s">
        <v>74</v>
      </c>
      <c r="B22" s="701" t="s">
        <v>66</v>
      </c>
      <c r="C22" s="702">
        <v>128.2152</v>
      </c>
      <c r="D22" s="703">
        <v>4.94853056734246</v>
      </c>
    </row>
    <row r="23" ht="35.1" customHeight="1" spans="1:4">
      <c r="A23" s="704" t="s">
        <v>75</v>
      </c>
      <c r="B23" s="704"/>
      <c r="C23" s="704"/>
      <c r="D23" s="704"/>
    </row>
  </sheetData>
  <mergeCells count="2">
    <mergeCell ref="A1:D1"/>
    <mergeCell ref="A23:D23"/>
  </mergeCells>
  <printOptions horizontalCentered="1"/>
  <pageMargins left="0.75" right="0.75" top="0.979166666666667" bottom="0.979166666666667" header="0.509027777777778" footer="0.509027777777778"/>
  <pageSetup paperSize="9" orientation="portrait"/>
  <headerFooter alignWithMargins="0" scaleWithDoc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1"/>
  <sheetViews>
    <sheetView workbookViewId="0">
      <selection activeCell="H21" sqref="H21"/>
    </sheetView>
  </sheetViews>
  <sheetFormatPr defaultColWidth="9" defaultRowHeight="14.25" outlineLevelCol="6"/>
  <cols>
    <col min="2" max="2" width="12.375" customWidth="1"/>
    <col min="3" max="3" width="10.375" customWidth="1"/>
    <col min="4" max="4" width="14.125" customWidth="1"/>
    <col min="5" max="5" width="10.125" customWidth="1"/>
    <col min="7" max="7" width="11.5" customWidth="1"/>
  </cols>
  <sheetData>
    <row r="1" ht="27" customHeight="1" spans="1:5">
      <c r="A1" s="86" t="s">
        <v>574</v>
      </c>
      <c r="B1" s="86"/>
      <c r="C1" s="87"/>
      <c r="D1" s="86"/>
      <c r="E1" s="87"/>
    </row>
    <row r="2" ht="15" spans="1:5">
      <c r="A2" s="88"/>
      <c r="B2" s="88"/>
      <c r="C2" s="89"/>
      <c r="D2" s="90" t="s">
        <v>575</v>
      </c>
      <c r="E2" s="90"/>
    </row>
    <row r="3" ht="18" customHeight="1" spans="1:5">
      <c r="A3" s="91" t="s">
        <v>552</v>
      </c>
      <c r="B3" s="92" t="s">
        <v>553</v>
      </c>
      <c r="C3" s="93"/>
      <c r="D3" s="92" t="s">
        <v>554</v>
      </c>
      <c r="E3" s="94"/>
    </row>
    <row r="4" ht="18" customHeight="1" spans="1:5">
      <c r="A4" s="95"/>
      <c r="B4" s="96" t="s">
        <v>555</v>
      </c>
      <c r="C4" s="97" t="s">
        <v>556</v>
      </c>
      <c r="D4" s="96" t="s">
        <v>555</v>
      </c>
      <c r="E4" s="98" t="s">
        <v>556</v>
      </c>
    </row>
    <row r="5" spans="1:5">
      <c r="A5" s="99" t="s">
        <v>371</v>
      </c>
      <c r="B5" s="100"/>
      <c r="C5" s="101"/>
      <c r="D5" s="100"/>
      <c r="E5" s="102"/>
    </row>
    <row r="6" spans="1:5">
      <c r="A6" s="99" t="s">
        <v>77</v>
      </c>
      <c r="B6" s="103">
        <v>10.66</v>
      </c>
      <c r="C6" s="104">
        <v>9.4</v>
      </c>
      <c r="D6" s="103">
        <v>19.95</v>
      </c>
      <c r="E6" s="105">
        <v>49.7</v>
      </c>
    </row>
    <row r="7" spans="1:5">
      <c r="A7" s="99" t="s">
        <v>557</v>
      </c>
      <c r="B7" s="103">
        <v>15.01</v>
      </c>
      <c r="C7" s="104">
        <v>7.1</v>
      </c>
      <c r="D7" s="103">
        <v>25.02</v>
      </c>
      <c r="E7" s="105">
        <v>66.7</v>
      </c>
    </row>
    <row r="8" spans="1:5">
      <c r="A8" s="99" t="s">
        <v>558</v>
      </c>
      <c r="B8" s="103">
        <v>20.3</v>
      </c>
      <c r="C8" s="104">
        <v>7.2</v>
      </c>
      <c r="D8" s="103">
        <v>34.86</v>
      </c>
      <c r="E8" s="105">
        <v>55.8</v>
      </c>
    </row>
    <row r="9" spans="1:5">
      <c r="A9" s="99" t="s">
        <v>559</v>
      </c>
      <c r="B9" s="103">
        <v>30.03</v>
      </c>
      <c r="C9" s="104">
        <v>22.4</v>
      </c>
      <c r="D9" s="103">
        <v>44.18</v>
      </c>
      <c r="E9" s="105">
        <v>47.1</v>
      </c>
    </row>
    <row r="10" spans="1:5">
      <c r="A10" s="99" t="s">
        <v>560</v>
      </c>
      <c r="B10" s="106">
        <v>38.78</v>
      </c>
      <c r="C10" s="104">
        <v>31.4</v>
      </c>
      <c r="D10" s="107">
        <v>54.94</v>
      </c>
      <c r="E10" s="108">
        <v>41.7</v>
      </c>
    </row>
    <row r="11" spans="1:5">
      <c r="A11" s="99" t="s">
        <v>561</v>
      </c>
      <c r="B11" s="106">
        <v>49.38</v>
      </c>
      <c r="C11" s="104">
        <v>44.3</v>
      </c>
      <c r="D11" s="107">
        <v>64.67</v>
      </c>
      <c r="E11" s="105">
        <v>35.8</v>
      </c>
    </row>
    <row r="12" spans="1:5">
      <c r="A12" s="99" t="s">
        <v>562</v>
      </c>
      <c r="B12" s="106">
        <v>56</v>
      </c>
      <c r="C12" s="104">
        <v>41.9</v>
      </c>
      <c r="D12" s="107">
        <v>75.46</v>
      </c>
      <c r="E12" s="105">
        <v>34.8</v>
      </c>
    </row>
    <row r="13" spans="1:5">
      <c r="A13" s="99" t="s">
        <v>563</v>
      </c>
      <c r="B13" s="106">
        <v>64.1</v>
      </c>
      <c r="C13" s="109">
        <v>44.1</v>
      </c>
      <c r="D13" s="107">
        <v>85.67</v>
      </c>
      <c r="E13" s="105">
        <v>33.7</v>
      </c>
    </row>
    <row r="14" spans="1:5">
      <c r="A14" s="99" t="s">
        <v>564</v>
      </c>
      <c r="B14" s="103">
        <v>72.32</v>
      </c>
      <c r="C14" s="104">
        <v>47.3</v>
      </c>
      <c r="D14" s="103">
        <v>93.88</v>
      </c>
      <c r="E14" s="105">
        <v>29.8</v>
      </c>
    </row>
    <row r="15" spans="1:5">
      <c r="A15" s="99" t="s">
        <v>565</v>
      </c>
      <c r="B15" s="103">
        <v>80.75</v>
      </c>
      <c r="C15" s="104">
        <v>52</v>
      </c>
      <c r="D15" s="103">
        <v>102.83</v>
      </c>
      <c r="E15" s="105">
        <v>27.4</v>
      </c>
    </row>
    <row r="16" spans="1:5">
      <c r="A16" s="99" t="s">
        <v>566</v>
      </c>
      <c r="B16" s="103">
        <v>89.4</v>
      </c>
      <c r="C16" s="104">
        <v>52.9</v>
      </c>
      <c r="D16" s="103">
        <v>112.45</v>
      </c>
      <c r="E16" s="105">
        <v>25.8</v>
      </c>
    </row>
    <row r="17" ht="18" customHeight="1" spans="1:7">
      <c r="A17" s="95" t="s">
        <v>552</v>
      </c>
      <c r="B17" s="96" t="s">
        <v>34</v>
      </c>
      <c r="C17" s="110"/>
      <c r="D17" s="96" t="s">
        <v>567</v>
      </c>
      <c r="E17" s="111"/>
    </row>
    <row r="18" ht="18" customHeight="1" spans="1:7">
      <c r="A18" s="95"/>
      <c r="B18" s="96" t="s">
        <v>555</v>
      </c>
      <c r="C18" s="97" t="s">
        <v>556</v>
      </c>
      <c r="D18" s="96" t="s">
        <v>555</v>
      </c>
      <c r="E18" s="98" t="s">
        <v>556</v>
      </c>
    </row>
    <row r="19" spans="1:7">
      <c r="A19" s="112" t="s">
        <v>371</v>
      </c>
      <c r="B19" s="113"/>
      <c r="C19" s="114"/>
      <c r="D19" s="113">
        <v>9.5556</v>
      </c>
      <c r="E19" s="115">
        <v>4.79</v>
      </c>
    </row>
    <row r="20" spans="1:7">
      <c r="A20" s="112" t="s">
        <v>77</v>
      </c>
      <c r="B20" s="116">
        <v>17.27</v>
      </c>
      <c r="C20" s="117">
        <v>6.3</v>
      </c>
      <c r="D20" s="116">
        <v>17.8917</v>
      </c>
      <c r="E20" s="118">
        <v>6</v>
      </c>
    </row>
    <row r="21" spans="1:7">
      <c r="A21" s="112" t="s">
        <v>557</v>
      </c>
      <c r="B21" s="116">
        <v>26.96</v>
      </c>
      <c r="C21" s="117">
        <v>6.1</v>
      </c>
      <c r="D21" s="119"/>
      <c r="E21" s="120"/>
    </row>
    <row r="22" spans="1:7">
      <c r="A22" s="112" t="s">
        <v>558</v>
      </c>
      <c r="B22" s="116">
        <v>37.45</v>
      </c>
      <c r="C22" s="117">
        <v>5.9</v>
      </c>
      <c r="D22" s="119"/>
      <c r="E22" s="120"/>
    </row>
    <row r="23" spans="1:7">
      <c r="A23" s="112" t="s">
        <v>559</v>
      </c>
      <c r="B23" s="116">
        <v>48.08</v>
      </c>
      <c r="C23" s="117">
        <v>9.1</v>
      </c>
      <c r="D23" s="119"/>
      <c r="E23" s="120"/>
    </row>
    <row r="24" spans="1:7">
      <c r="A24" s="112" t="s">
        <v>560</v>
      </c>
      <c r="B24" s="116">
        <v>58.99</v>
      </c>
      <c r="C24" s="117">
        <v>8.9</v>
      </c>
      <c r="D24" s="119"/>
      <c r="E24" s="120"/>
    </row>
    <row r="25" spans="1:7">
      <c r="A25" s="112" t="s">
        <v>561</v>
      </c>
      <c r="B25" s="116">
        <v>69.33</v>
      </c>
      <c r="C25" s="117">
        <v>8</v>
      </c>
      <c r="D25" s="119"/>
      <c r="E25" s="120"/>
    </row>
    <row r="26" spans="1:7">
      <c r="A26" s="112" t="s">
        <v>562</v>
      </c>
      <c r="B26" s="116">
        <v>79.65</v>
      </c>
      <c r="C26" s="117">
        <v>6.9</v>
      </c>
      <c r="D26" s="119"/>
      <c r="E26" s="120"/>
    </row>
    <row r="27" spans="1:7">
      <c r="A27" s="112" t="s">
        <v>563</v>
      </c>
      <c r="B27" s="116">
        <v>89.42</v>
      </c>
      <c r="C27" s="117">
        <v>5.6</v>
      </c>
      <c r="D27" s="119"/>
      <c r="E27" s="121"/>
    </row>
    <row r="28" spans="1:7">
      <c r="A28" s="112" t="s">
        <v>564</v>
      </c>
      <c r="B28" s="116">
        <v>99.61</v>
      </c>
      <c r="C28" s="117">
        <v>5.9</v>
      </c>
      <c r="D28" s="119"/>
      <c r="E28" s="121"/>
    </row>
    <row r="29" spans="1:7">
      <c r="A29" s="112" t="s">
        <v>565</v>
      </c>
      <c r="B29" s="116">
        <v>109.32</v>
      </c>
      <c r="C29" s="117">
        <v>5.76</v>
      </c>
      <c r="D29" s="119"/>
      <c r="E29" s="121"/>
      <c r="G29" s="122"/>
    </row>
    <row r="30" ht="15" spans="1:7">
      <c r="A30" s="123" t="s">
        <v>566</v>
      </c>
      <c r="B30" s="124">
        <v>119.75</v>
      </c>
      <c r="C30" s="125">
        <v>6</v>
      </c>
      <c r="D30" s="126"/>
      <c r="E30" s="127"/>
    </row>
    <row r="31" spans="1:7">
      <c r="A31" s="128"/>
      <c r="B31" s="128"/>
      <c r="C31" s="128"/>
      <c r="D31" s="128"/>
      <c r="E31" s="128"/>
    </row>
  </sheetData>
  <mergeCells count="8">
    <mergeCell ref="A1:E1"/>
    <mergeCell ref="D2:E2"/>
    <mergeCell ref="B3:C3"/>
    <mergeCell ref="D3:E3"/>
    <mergeCell ref="B17:C17"/>
    <mergeCell ref="D17:E17"/>
    <mergeCell ref="A3:A4"/>
    <mergeCell ref="A17:A18"/>
  </mergeCells>
  <pageMargins left="0.75" right="0.75" top="1" bottom="1" header="0.509027777777778" footer="0.509027777777778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1"/>
  <sheetViews>
    <sheetView topLeftCell="A7" workbookViewId="0">
      <selection activeCell="B27" sqref="B27:C31"/>
    </sheetView>
  </sheetViews>
  <sheetFormatPr defaultColWidth="9" defaultRowHeight="14.25" outlineLevelCol="6"/>
  <cols>
    <col min="1" max="1" width="14.375" style="45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576</v>
      </c>
      <c r="B1" s="3"/>
      <c r="C1" s="3"/>
      <c r="D1" s="3"/>
      <c r="E1" s="3"/>
      <c r="F1" s="3"/>
      <c r="G1" s="46"/>
    </row>
    <row r="2" ht="20.25" customHeight="1" spans="1:7">
      <c r="A2" s="47"/>
      <c r="B2" s="47"/>
      <c r="C2" s="62" t="s">
        <v>577</v>
      </c>
      <c r="D2" s="62"/>
      <c r="E2" s="62"/>
      <c r="F2" s="62"/>
      <c r="G2" s="46"/>
    </row>
    <row r="3" s="44" customFormat="1" ht="31.5" customHeight="1" spans="1:7">
      <c r="A3" t="s">
        <v>549</v>
      </c>
      <c r="B3" t="s">
        <v>11</v>
      </c>
      <c r="C3"/>
      <c r="D3" s="49"/>
      <c r="E3" s="50"/>
      <c r="F3" s="51"/>
      <c r="G3" s="52"/>
    </row>
    <row r="4" s="44" customFormat="1" ht="31.5" customHeight="1" spans="1:7">
      <c r="A4"/>
      <c r="B4" s="7" t="s">
        <v>550</v>
      </c>
      <c r="C4" s="8" t="s">
        <v>551</v>
      </c>
      <c r="D4" s="53"/>
      <c r="E4" s="54"/>
      <c r="F4" s="55"/>
      <c r="G4" s="52"/>
    </row>
    <row r="5" ht="18" customHeight="1" spans="1:7">
      <c r="A5" s="9">
        <v>2016</v>
      </c>
      <c r="B5" s="79"/>
      <c r="C5" s="11"/>
      <c r="D5" s="56"/>
      <c r="E5" s="56"/>
      <c r="F5" s="56"/>
    </row>
    <row r="6" ht="18" customHeight="1" spans="1:7">
      <c r="A6" s="9">
        <v>5</v>
      </c>
      <c r="B6" s="79">
        <f>ROUND(3079283,0)</f>
        <v>3079283</v>
      </c>
      <c r="C6" s="11">
        <f>ROUND(7.2,1)</f>
        <v>7.2</v>
      </c>
      <c r="D6" s="56"/>
      <c r="E6" s="56"/>
      <c r="F6" s="56"/>
    </row>
    <row r="7" ht="18" customHeight="1" spans="1:7">
      <c r="A7" s="9">
        <v>6</v>
      </c>
      <c r="B7" s="79">
        <f>ROUND(5096563,0)</f>
        <v>5096563</v>
      </c>
      <c r="C7" s="11">
        <f>ROUND(15.1,1)</f>
        <v>15.1</v>
      </c>
      <c r="D7" s="56"/>
      <c r="E7" s="56"/>
      <c r="F7" s="56"/>
    </row>
    <row r="8" ht="18" customHeight="1" spans="1:7">
      <c r="A8" s="9">
        <v>7</v>
      </c>
      <c r="B8" s="79">
        <f>ROUND(6263505,0)</f>
        <v>6263505</v>
      </c>
      <c r="C8" s="80">
        <f>ROUND(16.3,1)</f>
        <v>16.3</v>
      </c>
      <c r="D8" s="56"/>
      <c r="E8" s="56"/>
      <c r="F8" s="56"/>
    </row>
    <row r="9" ht="18" customHeight="1" spans="1:7">
      <c r="A9" s="9">
        <v>8</v>
      </c>
      <c r="B9" s="79">
        <f>ROUND(7372203,0)</f>
        <v>7372203</v>
      </c>
      <c r="C9" s="11">
        <f>ROUND(24.8,1)</f>
        <v>24.8</v>
      </c>
      <c r="D9" s="56"/>
      <c r="E9" s="56"/>
      <c r="F9" s="56"/>
    </row>
    <row r="10" ht="18" customHeight="1" spans="1:7">
      <c r="A10" s="9">
        <v>9</v>
      </c>
      <c r="B10" s="79">
        <f>ROUND(8717492,0)</f>
        <v>8717492</v>
      </c>
      <c r="C10" s="11">
        <f>ROUND(23.5,1)</f>
        <v>23.5</v>
      </c>
      <c r="D10" s="56"/>
      <c r="E10" s="56"/>
      <c r="F10" s="56"/>
    </row>
    <row r="11" ht="18" customHeight="1" spans="1:7">
      <c r="A11" s="9">
        <v>10</v>
      </c>
      <c r="B11" s="79">
        <f>ROUND(10215452,0)</f>
        <v>10215452</v>
      </c>
      <c r="C11" s="11">
        <f>ROUND(22.6,1)</f>
        <v>22.6</v>
      </c>
      <c r="D11" s="56"/>
      <c r="E11" s="56"/>
      <c r="F11" s="56"/>
    </row>
    <row r="12" spans="1:7">
      <c r="A12" s="9">
        <v>11</v>
      </c>
      <c r="B12" s="79">
        <f>ROUND(12000485,0)</f>
        <v>12000485</v>
      </c>
      <c r="C12" s="11">
        <f>ROUND(23.9,1)</f>
        <v>23.9</v>
      </c>
    </row>
    <row r="13" spans="1:7">
      <c r="A13" s="9">
        <v>12</v>
      </c>
      <c r="B13" s="79">
        <f>ROUND(15315995,0)</f>
        <v>15315995</v>
      </c>
      <c r="C13" s="11">
        <f>ROUND(16.6,1)</f>
        <v>16.6</v>
      </c>
    </row>
    <row r="14" spans="1:7">
      <c r="A14" s="9">
        <v>2017</v>
      </c>
      <c r="B14" s="81"/>
      <c r="C14" s="82"/>
    </row>
    <row r="15" spans="1:7">
      <c r="A15" s="9">
        <v>2</v>
      </c>
      <c r="B15" s="79">
        <f>ROUND(796488,0)</f>
        <v>796488</v>
      </c>
      <c r="C15" s="11">
        <f>ROUND(5.3,1)</f>
        <v>5.3</v>
      </c>
    </row>
    <row r="16" spans="1:7">
      <c r="A16" s="9">
        <v>3</v>
      </c>
      <c r="B16" s="81">
        <f>ROUND(1575746,0)</f>
        <v>1575746</v>
      </c>
      <c r="C16" s="11">
        <f>ROUND(7.9,1)</f>
        <v>7.9</v>
      </c>
    </row>
    <row r="17" spans="1:3">
      <c r="A17" s="68">
        <v>4</v>
      </c>
      <c r="B17" s="42">
        <f>ROUND(2056743,0)</f>
        <v>2056743</v>
      </c>
      <c r="C17" s="11">
        <f>ROUND(-0.7,1)</f>
        <v>-0.7</v>
      </c>
    </row>
    <row r="18" spans="1:3">
      <c r="A18" s="68">
        <v>5</v>
      </c>
      <c r="B18" s="16">
        <f>ROUND(2889968,0)</f>
        <v>2889968</v>
      </c>
      <c r="C18" s="11">
        <f>ROUND(-6.1,1)</f>
        <v>-6.1</v>
      </c>
    </row>
    <row r="19" spans="1:3">
      <c r="A19" s="68">
        <v>6</v>
      </c>
      <c r="B19" s="16">
        <f>ROUND(5604382,0)</f>
        <v>5604382</v>
      </c>
      <c r="C19" s="11">
        <f>ROUND(10,1)</f>
        <v>10</v>
      </c>
    </row>
    <row r="20" spans="1:3">
      <c r="A20" s="68">
        <v>7</v>
      </c>
      <c r="B20" s="81">
        <f>ROUND(6864511,0)</f>
        <v>6864511</v>
      </c>
      <c r="C20" s="11">
        <f>ROUND(9.6,1)</f>
        <v>9.6</v>
      </c>
    </row>
    <row r="21" spans="1:3">
      <c r="A21" s="83">
        <v>8</v>
      </c>
      <c r="B21" s="42">
        <f>ROUND(8096944,0)</f>
        <v>8096944</v>
      </c>
      <c r="C21" s="11">
        <f>ROUND(9.8,1)</f>
        <v>9.8</v>
      </c>
    </row>
    <row r="22" spans="1:3">
      <c r="A22" s="83">
        <v>9</v>
      </c>
      <c r="B22" s="42">
        <f>ROUND(9772404,0)</f>
        <v>9772404</v>
      </c>
      <c r="C22" s="11">
        <f>ROUND(12.1010951314896,1)</f>
        <v>12.1</v>
      </c>
    </row>
    <row r="23" spans="1:3">
      <c r="A23" s="83">
        <v>10</v>
      </c>
      <c r="B23" s="42">
        <f>ROUND(11367531,0)</f>
        <v>11367531</v>
      </c>
      <c r="C23" s="11">
        <f>ROUND(11.3,1)</f>
        <v>11.3</v>
      </c>
    </row>
    <row r="24" spans="1:3">
      <c r="A24" s="83">
        <v>11</v>
      </c>
      <c r="B24" s="42">
        <f>ROUND(13376063,0)</f>
        <v>13376063</v>
      </c>
      <c r="C24" s="11">
        <f>ROUND(11.5,1)</f>
        <v>11.5</v>
      </c>
    </row>
    <row r="25" spans="1:3">
      <c r="A25" s="83">
        <v>12</v>
      </c>
      <c r="B25" s="42">
        <f>ROUND(16415341,0)</f>
        <v>16415341</v>
      </c>
      <c r="C25" s="11">
        <f>ROUND(7.2,1)</f>
        <v>7.2</v>
      </c>
    </row>
    <row r="26" spans="1:3">
      <c r="A26" s="15">
        <v>2018</v>
      </c>
      <c r="B26" s="16"/>
      <c r="C26" s="17"/>
    </row>
    <row r="27" spans="1:3">
      <c r="A27" s="15">
        <v>2</v>
      </c>
      <c r="B27" s="16">
        <f>ROUND(844761,0)</f>
        <v>844761</v>
      </c>
      <c r="C27" s="21">
        <f>ROUND(8.8,1)</f>
        <v>8.8</v>
      </c>
    </row>
    <row r="28" spans="1:3">
      <c r="A28" s="15">
        <v>3</v>
      </c>
      <c r="B28" s="16">
        <f>ROUND(2020022,0)</f>
        <v>2020022</v>
      </c>
      <c r="C28" s="21">
        <f>ROUND(31.6,1)</f>
        <v>31.6</v>
      </c>
    </row>
    <row r="29" spans="1:3">
      <c r="A29" s="15">
        <v>4</v>
      </c>
      <c r="B29" s="42">
        <f>ROUND(2639275,0)</f>
        <v>2639275</v>
      </c>
      <c r="C29" s="21">
        <f>ROUND(31,1)</f>
        <v>31</v>
      </c>
    </row>
    <row r="30" spans="1:3">
      <c r="A30" s="15">
        <v>5</v>
      </c>
      <c r="B30" s="42">
        <v>3391968</v>
      </c>
      <c r="C30" s="21">
        <v>19.6</v>
      </c>
    </row>
    <row r="31" spans="1:3">
      <c r="A31" s="22">
        <v>6</v>
      </c>
      <c r="B31" s="84">
        <v>5515829</v>
      </c>
      <c r="C31" s="85">
        <v>13.6</v>
      </c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0"/>
  <sheetViews>
    <sheetView topLeftCell="A7" workbookViewId="0">
      <selection activeCell="B26" sqref="B26:C30"/>
    </sheetView>
  </sheetViews>
  <sheetFormatPr defaultColWidth="9" defaultRowHeight="14.25" outlineLevelCol="6"/>
  <cols>
    <col min="1" max="1" width="14.375" style="45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578</v>
      </c>
      <c r="B1" s="3"/>
      <c r="C1" s="3"/>
      <c r="D1" s="3"/>
      <c r="E1" s="3"/>
      <c r="F1" s="3"/>
      <c r="G1" s="46"/>
    </row>
    <row r="2" ht="20.25" customHeight="1" spans="1:7">
      <c r="A2" s="47"/>
      <c r="B2" s="47"/>
      <c r="C2" s="62" t="s">
        <v>577</v>
      </c>
      <c r="D2" s="62"/>
      <c r="E2" s="62"/>
      <c r="F2" s="62"/>
      <c r="G2" s="46"/>
    </row>
    <row r="3" s="44" customFormat="1" ht="31.5" customHeight="1" spans="1:7">
      <c r="A3" t="s">
        <v>549</v>
      </c>
      <c r="B3" t="s">
        <v>15</v>
      </c>
      <c r="C3"/>
      <c r="D3" s="49"/>
      <c r="E3" s="50"/>
      <c r="F3" s="51"/>
      <c r="G3" s="52"/>
    </row>
    <row r="4" s="44" customFormat="1" ht="31.5" customHeight="1" spans="1:7">
      <c r="A4"/>
      <c r="B4" s="7" t="s">
        <v>550</v>
      </c>
      <c r="C4" s="8" t="s">
        <v>551</v>
      </c>
      <c r="D4" s="53"/>
      <c r="E4" s="54"/>
      <c r="F4" s="55"/>
      <c r="G4" s="52"/>
    </row>
    <row r="5" ht="18" customHeight="1" spans="1:7">
      <c r="A5" s="9">
        <v>2016</v>
      </c>
      <c r="B5" s="63"/>
      <c r="C5" s="11"/>
      <c r="D5" s="56"/>
      <c r="E5" s="56"/>
      <c r="F5" s="56"/>
    </row>
    <row r="6" ht="18" customHeight="1" spans="1:7">
      <c r="A6" s="9">
        <v>6</v>
      </c>
      <c r="B6" s="64">
        <f>ROUND(6760206,0)</f>
        <v>6760206</v>
      </c>
      <c r="C6" s="65">
        <f>ROUND(8.8,1)</f>
        <v>8.8</v>
      </c>
      <c r="D6" s="56"/>
      <c r="E6" s="56"/>
      <c r="F6" s="56"/>
    </row>
    <row r="7" ht="18" customHeight="1" spans="1:7">
      <c r="A7" s="9">
        <v>7</v>
      </c>
      <c r="B7" s="64">
        <f>ROUND(7975890,0)</f>
        <v>7975890</v>
      </c>
      <c r="C7" s="65">
        <f>ROUND(9,1)</f>
        <v>9</v>
      </c>
      <c r="D7" s="56"/>
      <c r="E7" s="56"/>
      <c r="F7" s="56"/>
    </row>
    <row r="8" ht="18" customHeight="1" spans="1:7">
      <c r="A8" s="9">
        <v>8</v>
      </c>
      <c r="B8" s="64">
        <f>ROUND(9193702.5,0)</f>
        <v>9193703</v>
      </c>
      <c r="C8" s="65">
        <f>ROUND(8.9,1)</f>
        <v>8.9</v>
      </c>
      <c r="D8" s="56"/>
      <c r="E8" s="56"/>
      <c r="F8" s="56"/>
    </row>
    <row r="9" spans="1:7">
      <c r="A9" s="9">
        <v>9</v>
      </c>
      <c r="B9" s="66">
        <f>ROUND(10457008.3,0)</f>
        <v>10457008</v>
      </c>
      <c r="C9" s="65">
        <f>ROUND(9.3,1)</f>
        <v>9.3</v>
      </c>
    </row>
    <row r="10" spans="1:7">
      <c r="A10" s="9">
        <v>10</v>
      </c>
      <c r="B10" s="66">
        <f>ROUND(11782159.5,0)</f>
        <v>11782160</v>
      </c>
      <c r="C10" s="65">
        <f>ROUND(9.5,1)</f>
        <v>9.5</v>
      </c>
    </row>
    <row r="11" spans="1:7">
      <c r="A11" s="9">
        <v>11</v>
      </c>
      <c r="B11" s="67">
        <f>ROUND(13025842,0)</f>
        <v>13025842</v>
      </c>
      <c r="C11" s="65">
        <f>ROUND(9.4,1)</f>
        <v>9.4</v>
      </c>
    </row>
    <row r="12" ht="15.95" customHeight="1" spans="1:7">
      <c r="A12" s="68">
        <v>12</v>
      </c>
      <c r="B12" s="69">
        <f>ROUND(14329570,0)</f>
        <v>14329570</v>
      </c>
      <c r="C12" s="70">
        <f>ROUND(9.5,1)</f>
        <v>9.5</v>
      </c>
    </row>
    <row r="13" ht="15.95" customHeight="1" spans="1:7">
      <c r="A13" s="68">
        <v>2017</v>
      </c>
      <c r="B13" s="69"/>
      <c r="C13" s="70"/>
    </row>
    <row r="14" ht="15.95" customHeight="1" spans="1:7">
      <c r="A14" s="68">
        <v>2</v>
      </c>
      <c r="B14" s="69">
        <f>ROUND(2520522,0)</f>
        <v>2520522</v>
      </c>
      <c r="C14" s="71">
        <f>ROUND(12,1)</f>
        <v>12</v>
      </c>
    </row>
    <row r="15" ht="15.95" customHeight="1" spans="1:7">
      <c r="A15" s="68">
        <v>3</v>
      </c>
      <c r="B15" s="69">
        <f>ROUND(3755066,0)</f>
        <v>3755066</v>
      </c>
      <c r="C15" s="70">
        <f>ROUND(12.1,1)</f>
        <v>12.1</v>
      </c>
    </row>
    <row r="16" ht="15.95" customHeight="1" spans="1:7">
      <c r="A16" s="68">
        <v>4</v>
      </c>
      <c r="B16" s="69">
        <f>ROUND(4968495,0)</f>
        <v>4968495</v>
      </c>
      <c r="C16" s="70">
        <f>ROUND(11.8,1)</f>
        <v>11.8</v>
      </c>
    </row>
    <row r="17" ht="15.95" customHeight="1" spans="1:3">
      <c r="A17" s="68">
        <v>5</v>
      </c>
      <c r="B17" s="69">
        <f>ROUND(6247711,0)</f>
        <v>6247711</v>
      </c>
      <c r="C17" s="70">
        <f>ROUND(11.5,1)</f>
        <v>11.5</v>
      </c>
    </row>
    <row r="18" ht="15.95" customHeight="1" spans="1:3">
      <c r="A18" s="68">
        <v>6</v>
      </c>
      <c r="B18" s="69">
        <f>ROUND(7543984,0)</f>
        <v>7543984</v>
      </c>
      <c r="C18" s="70">
        <f>ROUND(11.1,1)</f>
        <v>11.1</v>
      </c>
    </row>
    <row r="19" ht="15.95" customHeight="1" spans="1:3">
      <c r="A19" s="68">
        <v>7</v>
      </c>
      <c r="B19" s="69">
        <f>ROUND(8865132,0)</f>
        <v>8865132</v>
      </c>
      <c r="C19" s="70">
        <f>ROUND(10.8,1)</f>
        <v>10.8</v>
      </c>
    </row>
    <row r="20" ht="15.95" customHeight="1" spans="1:3">
      <c r="A20" s="72">
        <v>8</v>
      </c>
      <c r="B20" s="73">
        <f>ROUND(10165674.4,0)</f>
        <v>10165674</v>
      </c>
      <c r="C20" s="74">
        <f>ROUND(10.2,1)</f>
        <v>10.2</v>
      </c>
    </row>
    <row r="21" spans="1:3">
      <c r="A21" s="68">
        <v>9</v>
      </c>
      <c r="B21" s="73">
        <f>ROUND(11558876.6,0)</f>
        <v>11558877</v>
      </c>
      <c r="C21" s="74">
        <f>ROUND(10.2,1)</f>
        <v>10.2</v>
      </c>
    </row>
    <row r="22" spans="1:3">
      <c r="A22" s="68">
        <v>10</v>
      </c>
      <c r="B22" s="73">
        <f>ROUND(12962204,0)</f>
        <v>12962204</v>
      </c>
      <c r="C22" s="74">
        <f>ROUND(10.2,1)</f>
        <v>10.2</v>
      </c>
    </row>
    <row r="23" spans="1:3">
      <c r="A23" s="68">
        <v>11</v>
      </c>
      <c r="B23" s="73">
        <f>ROUND(14339244.7,0)</f>
        <v>14339245</v>
      </c>
      <c r="C23" s="75">
        <f>ROUND(10.1873510322444,1)</f>
        <v>10.2</v>
      </c>
    </row>
    <row r="24" spans="1:3">
      <c r="A24" s="68">
        <v>12</v>
      </c>
      <c r="B24" s="73">
        <f>ROUND(15780801.9,0)</f>
        <v>15780802</v>
      </c>
      <c r="C24" s="75">
        <f>ROUND(10.1275297129633,1)</f>
        <v>10.1</v>
      </c>
    </row>
    <row r="25" spans="1:3">
      <c r="A25" s="15">
        <v>2018</v>
      </c>
      <c r="B25" s="16"/>
      <c r="C25" s="17"/>
    </row>
    <row r="26" spans="1:3">
      <c r="A26" s="15">
        <v>2</v>
      </c>
      <c r="B26" s="76">
        <f>ROUND(2761961.2,0)</f>
        <v>2761961</v>
      </c>
      <c r="C26" s="17">
        <f>ROUND(10.1,1)</f>
        <v>10.1</v>
      </c>
    </row>
    <row r="27" spans="1:3">
      <c r="A27" s="15">
        <v>3</v>
      </c>
      <c r="B27" s="76">
        <f>ROUND(4120562.9,0)</f>
        <v>4120563</v>
      </c>
      <c r="C27" s="17">
        <f>ROUND(10.1,1)</f>
        <v>10.1</v>
      </c>
    </row>
    <row r="28" spans="1:3">
      <c r="A28" s="15">
        <v>4</v>
      </c>
      <c r="B28" s="76">
        <f>ROUND(5462840,0)</f>
        <v>5462840</v>
      </c>
      <c r="C28" s="17">
        <f>ROUND(10.1,1)</f>
        <v>10.1</v>
      </c>
    </row>
    <row r="29" spans="1:3">
      <c r="A29" s="15">
        <v>5</v>
      </c>
      <c r="B29" s="76">
        <v>6829174</v>
      </c>
      <c r="C29" s="21">
        <v>10</v>
      </c>
    </row>
    <row r="30" spans="1:3">
      <c r="A30" s="22">
        <v>6</v>
      </c>
      <c r="B30" s="77">
        <v>8214416</v>
      </c>
      <c r="C30" s="78">
        <v>10</v>
      </c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32"/>
  <sheetViews>
    <sheetView workbookViewId="0">
      <selection activeCell="J35" sqref="J35"/>
    </sheetView>
  </sheetViews>
  <sheetFormatPr defaultColWidth="9" defaultRowHeight="14.25" outlineLevelCol="7"/>
  <cols>
    <col min="1" max="1" width="14.375" style="45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8">
      <c r="A1" s="3" t="s">
        <v>579</v>
      </c>
      <c r="B1" s="3"/>
      <c r="C1" s="3"/>
      <c r="D1" s="3"/>
      <c r="E1" s="3"/>
      <c r="F1" s="3"/>
      <c r="G1" s="46"/>
    </row>
    <row r="2" ht="20.25" customHeight="1" spans="1:8">
      <c r="A2" s="47"/>
      <c r="C2" s="48" t="s">
        <v>580</v>
      </c>
      <c r="D2" s="48"/>
      <c r="E2" s="48"/>
      <c r="F2" s="48"/>
      <c r="G2" s="48"/>
      <c r="H2" s="48"/>
    </row>
    <row r="3" s="44" customFormat="1" ht="31.5" customHeight="1" spans="1:8">
      <c r="A3" t="s">
        <v>549</v>
      </c>
      <c r="B3" t="s">
        <v>581</v>
      </c>
      <c r="C3"/>
      <c r="D3" s="49"/>
      <c r="E3" s="50"/>
      <c r="F3" s="51"/>
      <c r="G3" s="52"/>
    </row>
    <row r="4" s="44" customFormat="1" ht="31.5" customHeight="1" spans="1:8">
      <c r="A4"/>
      <c r="B4" s="7" t="s">
        <v>550</v>
      </c>
      <c r="C4" s="8" t="s">
        <v>551</v>
      </c>
      <c r="D4" s="53"/>
      <c r="E4" s="54"/>
      <c r="F4" s="55"/>
      <c r="G4" s="52"/>
    </row>
    <row r="5" ht="18" customHeight="1" spans="1:8">
      <c r="A5" s="9">
        <v>2016</v>
      </c>
      <c r="B5" s="28"/>
      <c r="C5" s="11"/>
      <c r="D5" s="56"/>
      <c r="E5" s="56"/>
      <c r="F5" s="56"/>
      <c r="H5" t="s">
        <v>582</v>
      </c>
    </row>
    <row r="6" ht="18" customHeight="1" spans="1:8">
      <c r="A6" s="9">
        <v>5</v>
      </c>
      <c r="B6" s="28">
        <f>ROUND(651964,0)</f>
        <v>651964</v>
      </c>
      <c r="C6" s="57">
        <f>ROUND(4.3,1)</f>
        <v>4.3</v>
      </c>
      <c r="D6" s="56"/>
      <c r="E6" s="56"/>
      <c r="F6" s="56"/>
    </row>
    <row r="7" ht="18" customHeight="1" spans="1:8">
      <c r="A7" s="9">
        <v>6</v>
      </c>
      <c r="B7" s="28">
        <f>ROUND(780476,0)</f>
        <v>780476</v>
      </c>
      <c r="C7" s="11">
        <f>ROUND(-3.8,1)</f>
        <v>-3.8</v>
      </c>
      <c r="D7" s="56"/>
      <c r="E7" s="56"/>
      <c r="F7" s="56"/>
    </row>
    <row r="8" ht="18" customHeight="1" spans="1:8">
      <c r="A8" s="9">
        <v>7</v>
      </c>
      <c r="B8" s="28">
        <f>ROUND(922333.1019,0)</f>
        <v>922333</v>
      </c>
      <c r="C8" s="11">
        <f>ROUND(-3.98796758100968,1)</f>
        <v>-4</v>
      </c>
      <c r="D8" s="56"/>
      <c r="E8" s="56"/>
      <c r="F8" s="56"/>
    </row>
    <row r="9" spans="1:8">
      <c r="A9" s="9">
        <v>8</v>
      </c>
      <c r="B9" s="28">
        <f>ROUND(1118014,0)</f>
        <v>1118014</v>
      </c>
      <c r="C9" s="11">
        <f>ROUND(2.07,1)</f>
        <v>2.1</v>
      </c>
    </row>
    <row r="10" spans="1:8">
      <c r="A10" s="9">
        <v>9</v>
      </c>
      <c r="B10" s="28">
        <f>ROUND(1355582.6735,0)</f>
        <v>1355583</v>
      </c>
      <c r="C10" s="11">
        <f>ROUND(10.8909650955423,1)</f>
        <v>10.9</v>
      </c>
    </row>
    <row r="11" spans="1:8">
      <c r="A11" s="9">
        <v>10</v>
      </c>
      <c r="B11" s="28">
        <f>ROUND(1530438,0)</f>
        <v>1530438</v>
      </c>
      <c r="C11" s="11">
        <f>ROUND(12,1)</f>
        <v>12</v>
      </c>
    </row>
    <row r="12" spans="1:8">
      <c r="A12" s="58">
        <v>11</v>
      </c>
      <c r="B12" s="28">
        <f>ROUND(1711506,0)</f>
        <v>1711506</v>
      </c>
      <c r="C12" s="11">
        <f>ROUND(14,1)</f>
        <v>14</v>
      </c>
    </row>
    <row r="13" spans="1:8">
      <c r="A13" s="58">
        <v>12</v>
      </c>
      <c r="B13" s="28">
        <f>ROUND(1947922,0)</f>
        <v>1947922</v>
      </c>
      <c r="C13" s="11">
        <f>ROUND(11.8,1)</f>
        <v>11.8</v>
      </c>
    </row>
    <row r="14" spans="1:8">
      <c r="A14" s="58">
        <v>2017</v>
      </c>
      <c r="B14" s="28"/>
      <c r="C14" s="11"/>
    </row>
    <row r="15" spans="1:8">
      <c r="A15" s="58">
        <v>1</v>
      </c>
      <c r="B15" s="28">
        <f>ROUND(181359,0)</f>
        <v>181359</v>
      </c>
      <c r="C15" s="11">
        <f>ROUND(-7.6,1)</f>
        <v>-7.6</v>
      </c>
    </row>
    <row r="16" spans="1:8">
      <c r="A16" s="58">
        <v>2</v>
      </c>
      <c r="B16" s="28">
        <f>ROUND(241658,0)</f>
        <v>241658</v>
      </c>
      <c r="C16" s="11">
        <f>ROUND(-11.38,1)</f>
        <v>-11.4</v>
      </c>
    </row>
    <row r="17" spans="1:3">
      <c r="A17" s="58">
        <v>3</v>
      </c>
      <c r="B17" s="28">
        <f>ROUND(415528,0)</f>
        <v>415528</v>
      </c>
      <c r="C17" s="11">
        <f>ROUND(13.9,1)</f>
        <v>13.9</v>
      </c>
    </row>
    <row r="18" spans="1:3">
      <c r="A18" s="58">
        <v>4</v>
      </c>
      <c r="B18" s="28">
        <f>ROUND(594563,0)</f>
        <v>594563</v>
      </c>
      <c r="C18" s="11">
        <f>ROUND(22.2,1)</f>
        <v>22.2</v>
      </c>
    </row>
    <row r="19" spans="1:3">
      <c r="A19" s="58">
        <v>5</v>
      </c>
      <c r="B19" s="28">
        <f>ROUND(815811,0)</f>
        <v>815811</v>
      </c>
      <c r="C19" s="11">
        <f>ROUND(28.7,1)</f>
        <v>28.7</v>
      </c>
    </row>
    <row r="20" spans="1:3">
      <c r="A20" s="58">
        <v>6</v>
      </c>
      <c r="B20" s="28">
        <f>ROUND(1006074,0)</f>
        <v>1006074</v>
      </c>
      <c r="C20" s="11">
        <f>ROUND(32,1)</f>
        <v>32</v>
      </c>
    </row>
    <row r="21" spans="1:3">
      <c r="A21" s="58">
        <v>7</v>
      </c>
      <c r="B21" s="41">
        <f>ROUND(1228741,0)</f>
        <v>1228741</v>
      </c>
      <c r="C21" s="14">
        <f>ROUND(35.9,1)</f>
        <v>35.9</v>
      </c>
    </row>
    <row r="22" spans="1:3">
      <c r="A22" s="58">
        <v>8</v>
      </c>
      <c r="B22" s="41">
        <v>1411285</v>
      </c>
      <c r="C22" s="14">
        <v>28.3</v>
      </c>
    </row>
    <row r="23" spans="1:3">
      <c r="A23" s="58">
        <v>9</v>
      </c>
      <c r="B23" s="41">
        <f>ROUND(1593063,0)</f>
        <v>1593063</v>
      </c>
      <c r="C23" s="14">
        <f>ROUND(19.1,1)</f>
        <v>19.1</v>
      </c>
    </row>
    <row r="24" spans="1:3">
      <c r="A24" s="58">
        <v>10</v>
      </c>
      <c r="B24" s="41">
        <f>ROUND(1750486,0)</f>
        <v>1750486</v>
      </c>
      <c r="C24" s="14">
        <f>ROUND(15.7303,1)</f>
        <v>15.7</v>
      </c>
    </row>
    <row r="25" spans="1:3">
      <c r="A25" s="58">
        <v>11</v>
      </c>
      <c r="B25" s="41">
        <f>ROUND(1923410,0)</f>
        <v>1923410</v>
      </c>
      <c r="C25" s="14">
        <f>ROUND(12.4106,1)</f>
        <v>12.4</v>
      </c>
    </row>
    <row r="26" spans="1:3">
      <c r="A26" s="58">
        <v>12</v>
      </c>
      <c r="B26" s="41">
        <f>ROUND(2170709.6623,0)</f>
        <v>2170710</v>
      </c>
      <c r="C26" s="14">
        <f>ROUND(11.4496,1)</f>
        <v>11.4</v>
      </c>
    </row>
    <row r="27" spans="1:3">
      <c r="A27" s="15">
        <v>2018</v>
      </c>
      <c r="B27" s="16"/>
      <c r="C27" s="17"/>
    </row>
    <row r="28" spans="1:3">
      <c r="A28" s="15">
        <v>1</v>
      </c>
      <c r="B28" s="41">
        <f>ROUND(245060.5487,0)</f>
        <v>245061</v>
      </c>
      <c r="C28" s="14">
        <f>ROUND(-9.2749,1)</f>
        <v>-9.3</v>
      </c>
    </row>
    <row r="29" spans="1:3">
      <c r="A29" s="15">
        <v>2</v>
      </c>
      <c r="B29" s="41">
        <f>ROUND(254273.584,0)</f>
        <v>254274</v>
      </c>
      <c r="C29" s="14">
        <f>ROUND(5.1148,1)</f>
        <v>5.1</v>
      </c>
    </row>
    <row r="30" spans="1:3">
      <c r="A30" s="15">
        <v>3</v>
      </c>
      <c r="B30" s="41">
        <f>ROUND(368490,0)</f>
        <v>368490</v>
      </c>
      <c r="C30" s="59">
        <f>ROUND(-11.4,1)</f>
        <v>-11.4</v>
      </c>
    </row>
    <row r="31" spans="1:3">
      <c r="A31" s="15">
        <v>4</v>
      </c>
      <c r="B31" s="41">
        <v>498314.2314</v>
      </c>
      <c r="C31" s="59">
        <v>-16.2432</v>
      </c>
    </row>
    <row r="32" spans="1:3">
      <c r="A32" s="22">
        <v>5</v>
      </c>
      <c r="B32" s="60">
        <v>696319</v>
      </c>
      <c r="C32" s="61">
        <v>-14.7</v>
      </c>
    </row>
  </sheetData>
  <mergeCells count="3">
    <mergeCell ref="A1:F1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1"/>
  <sheetViews>
    <sheetView topLeftCell="A7" workbookViewId="0">
      <selection activeCell="H36" sqref="H36"/>
    </sheetView>
  </sheetViews>
  <sheetFormatPr defaultColWidth="9" defaultRowHeight="14.25" outlineLevelCol="2"/>
  <cols>
    <col min="1" max="1" width="14.375" customWidth="1"/>
    <col min="2" max="2" width="26.875" customWidth="1"/>
    <col min="3" max="3" width="18.875" customWidth="1"/>
  </cols>
  <sheetData>
    <row r="1" ht="24" spans="1:3">
      <c r="A1" s="40" t="s">
        <v>583</v>
      </c>
      <c r="B1" s="40"/>
      <c r="C1" s="40"/>
    </row>
    <row r="2" ht="24.75" spans="1:3">
      <c r="A2" s="26"/>
      <c r="B2" s="26"/>
      <c r="C2" s="27" t="s">
        <v>577</v>
      </c>
    </row>
    <row r="3" ht="32.1" customHeight="1" spans="1:3">
      <c r="A3" t="s">
        <v>549</v>
      </c>
      <c r="B3" t="s">
        <v>16</v>
      </c>
    </row>
    <row r="4" ht="32.1" customHeight="1" spans="1:3">
      <c r="B4" s="7" t="s">
        <v>550</v>
      </c>
      <c r="C4" s="8" t="s">
        <v>551</v>
      </c>
    </row>
    <row r="5" ht="18" customHeight="1" spans="1:3">
      <c r="A5" s="9">
        <v>2016</v>
      </c>
      <c r="B5" s="28"/>
      <c r="C5" s="11"/>
    </row>
    <row r="6" ht="18" customHeight="1" spans="1:3">
      <c r="A6" s="9">
        <v>6</v>
      </c>
      <c r="B6" s="28">
        <f>ROUND(566175,0)</f>
        <v>566175</v>
      </c>
      <c r="C6" s="11">
        <f>ROUND(5,1)</f>
        <v>5</v>
      </c>
    </row>
    <row r="7" spans="1:3">
      <c r="A7" s="9">
        <v>7</v>
      </c>
      <c r="B7" s="28">
        <f>ROUND(663904,0)</f>
        <v>663904</v>
      </c>
      <c r="C7" s="11">
        <f>ROUND(7.7,1)</f>
        <v>7.7</v>
      </c>
    </row>
    <row r="8" spans="1:3">
      <c r="A8" s="9">
        <v>8</v>
      </c>
      <c r="B8" s="28">
        <f>ROUND(735390,0)</f>
        <v>735390</v>
      </c>
      <c r="C8" s="11">
        <f>ROUND(7.7,1)</f>
        <v>7.7</v>
      </c>
    </row>
    <row r="9" spans="1:3">
      <c r="A9" s="9">
        <v>9</v>
      </c>
      <c r="B9" s="28">
        <f>ROUND(815736,0)</f>
        <v>815736</v>
      </c>
      <c r="C9" s="30">
        <f>ROUND(7.2,1)</f>
        <v>7.2</v>
      </c>
    </row>
    <row r="10" spans="1:3">
      <c r="A10" s="9">
        <v>10</v>
      </c>
      <c r="B10" s="28">
        <f>ROUND(894414,0)</f>
        <v>894414</v>
      </c>
      <c r="C10" s="30">
        <f>ROUND(7.36088408731323,1)</f>
        <v>7.4</v>
      </c>
    </row>
    <row r="11" spans="1:3">
      <c r="A11" s="9">
        <v>11</v>
      </c>
      <c r="B11" s="28">
        <f>ROUND(966337,0)</f>
        <v>966337</v>
      </c>
      <c r="C11" s="31">
        <f>ROUND(3.8,1)</f>
        <v>3.8</v>
      </c>
    </row>
    <row r="12" spans="1:3">
      <c r="A12" s="9">
        <v>12</v>
      </c>
      <c r="B12" s="28">
        <f>ROUND(1129375,0)</f>
        <v>1129375</v>
      </c>
      <c r="C12" s="31">
        <f>ROUND(-4.8,1)</f>
        <v>-4.8</v>
      </c>
    </row>
    <row r="13" spans="1:3">
      <c r="A13" s="9">
        <v>2017</v>
      </c>
      <c r="B13" s="28"/>
      <c r="C13" s="31"/>
    </row>
    <row r="14" spans="1:3">
      <c r="A14" s="9">
        <v>2</v>
      </c>
      <c r="B14" s="28">
        <f>ROUND(168865,0)</f>
        <v>168865</v>
      </c>
      <c r="C14" s="31">
        <f>ROUND(21.3,1)</f>
        <v>21.3</v>
      </c>
    </row>
    <row r="15" spans="1:3">
      <c r="A15" s="9">
        <v>3</v>
      </c>
      <c r="B15" s="28">
        <f>ROUND(248142,0)</f>
        <v>248142</v>
      </c>
      <c r="C15" s="31">
        <f>ROUND(15.8466028595928,1)</f>
        <v>15.8</v>
      </c>
    </row>
    <row r="16" spans="1:3">
      <c r="A16" s="9">
        <v>4</v>
      </c>
      <c r="B16" s="28">
        <f>ROUND(325815,0)</f>
        <v>325815</v>
      </c>
      <c r="C16" s="31">
        <v>7.38333558548909</v>
      </c>
    </row>
    <row r="17" spans="1:3">
      <c r="A17" s="9">
        <v>5</v>
      </c>
      <c r="B17" s="28">
        <f>ROUND(401635,0)</f>
        <v>401635</v>
      </c>
      <c r="C17" s="31">
        <f>ROUND(2.1,1)</f>
        <v>2.1</v>
      </c>
    </row>
    <row r="18" spans="1:3">
      <c r="A18" s="9">
        <v>6</v>
      </c>
      <c r="B18" s="28">
        <f>ROUND(583819,0)</f>
        <v>583819</v>
      </c>
      <c r="C18" s="31">
        <f>ROUND(6.8,1)</f>
        <v>6.8</v>
      </c>
    </row>
    <row r="19" spans="1:3">
      <c r="A19" s="9">
        <v>7</v>
      </c>
      <c r="B19" s="28">
        <f>ROUND(672492,0)</f>
        <v>672492</v>
      </c>
      <c r="C19" s="31">
        <f>ROUND(4.4,1)</f>
        <v>4.4</v>
      </c>
    </row>
    <row r="20" spans="1:3">
      <c r="A20" s="32">
        <v>8</v>
      </c>
      <c r="B20" s="28">
        <f>ROUND(745911,0)</f>
        <v>745911</v>
      </c>
      <c r="C20" s="33">
        <f>ROUND(4.2,1)</f>
        <v>4.2</v>
      </c>
    </row>
    <row r="21" spans="1:3">
      <c r="A21" s="32">
        <v>9</v>
      </c>
      <c r="B21" s="28">
        <f>ROUND(869421,0)</f>
        <v>869421</v>
      </c>
      <c r="C21" s="33">
        <f>ROUND(9.22031343236707,1)</f>
        <v>9.2</v>
      </c>
    </row>
    <row r="22" spans="1:3">
      <c r="A22" s="15">
        <v>10</v>
      </c>
      <c r="B22" s="41">
        <f>ROUND(1196191,0)</f>
        <v>1196191</v>
      </c>
      <c r="C22" s="17">
        <f>ROUND(36.8,1)</f>
        <v>36.8</v>
      </c>
    </row>
    <row r="23" spans="1:3">
      <c r="A23" s="15">
        <v>11</v>
      </c>
      <c r="B23" s="41">
        <f>ROUND(1260850,0)</f>
        <v>1260850</v>
      </c>
      <c r="C23" s="35">
        <f>ROUND(32.3884093336007,1)</f>
        <v>32.4</v>
      </c>
    </row>
    <row r="24" spans="1:3">
      <c r="A24" s="15">
        <v>12</v>
      </c>
      <c r="B24" s="41">
        <f>ROUND(1349958,0)</f>
        <v>1349958</v>
      </c>
      <c r="C24" s="35">
        <f>ROUND(21.0263352533788,1)</f>
        <v>21</v>
      </c>
    </row>
    <row r="25" spans="1:3">
      <c r="A25" s="15">
        <v>2018</v>
      </c>
      <c r="B25" s="16"/>
      <c r="C25" s="17"/>
    </row>
    <row r="26" spans="1:3">
      <c r="A26" s="15">
        <v>1</v>
      </c>
      <c r="B26" s="16">
        <f>ROUND(131471,0)</f>
        <v>131471</v>
      </c>
      <c r="C26" s="35">
        <f>ROUND(33.4500644558807,1)</f>
        <v>33.5</v>
      </c>
    </row>
    <row r="27" spans="1:3">
      <c r="A27" s="15">
        <v>2</v>
      </c>
      <c r="B27" s="16">
        <f>ROUND(222479,0)</f>
        <v>222479</v>
      </c>
      <c r="C27" s="35">
        <f>ROUND(31.7496224794955,1)</f>
        <v>31.7</v>
      </c>
    </row>
    <row r="28" spans="1:3">
      <c r="A28" s="15">
        <v>3</v>
      </c>
      <c r="B28" s="16">
        <f>ROUND(302572,0)</f>
        <v>302572</v>
      </c>
      <c r="C28" s="35">
        <f>ROUND(21.9350210766416,1)</f>
        <v>21.9</v>
      </c>
    </row>
    <row r="29" spans="1:3">
      <c r="A29" s="15">
        <v>4</v>
      </c>
      <c r="B29" s="42">
        <f>ROUND(403634,0)</f>
        <v>403634</v>
      </c>
      <c r="C29" s="21">
        <f>ROUND(23.9,1)</f>
        <v>23.9</v>
      </c>
    </row>
    <row r="30" spans="1:3">
      <c r="A30" s="15">
        <v>5</v>
      </c>
      <c r="B30" s="42">
        <v>499011</v>
      </c>
      <c r="C30" s="21">
        <v>24.2448989754379</v>
      </c>
    </row>
    <row r="31" spans="1:3">
      <c r="A31" s="22">
        <v>6</v>
      </c>
      <c r="B31" s="43">
        <v>647923</v>
      </c>
      <c r="C31" s="24">
        <v>11</v>
      </c>
    </row>
  </sheetData>
  <mergeCells count="3">
    <mergeCell ref="A1:C1"/>
    <mergeCell ref="B3:C3"/>
    <mergeCell ref="A3:A4"/>
  </mergeCells>
  <printOptions horizontalCentered="1"/>
  <pageMargins left="0.75" right="0.75" top="0.979166666666667" bottom="0.979166666666667" header="0.509027777777778" footer="0.509027777777778"/>
  <pageSetup paperSize="9" orientation="portrait"/>
  <headerFooter alignWithMargins="0" scaleWithDoc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0"/>
  <sheetViews>
    <sheetView workbookViewId="0">
      <selection activeCell="F12" sqref="F12"/>
    </sheetView>
  </sheetViews>
  <sheetFormatPr defaultColWidth="9" defaultRowHeight="14.25" outlineLevelCol="2"/>
  <cols>
    <col min="1" max="1" width="14.375" customWidth="1"/>
    <col min="2" max="2" width="26.875" customWidth="1"/>
    <col min="3" max="3" width="18.875" customWidth="1"/>
  </cols>
  <sheetData>
    <row r="1" ht="24" spans="1:3">
      <c r="A1" s="25" t="s">
        <v>584</v>
      </c>
      <c r="B1" s="25"/>
      <c r="C1" s="25"/>
    </row>
    <row r="2" ht="24.75" spans="1:3">
      <c r="A2" s="26"/>
      <c r="B2" s="26"/>
      <c r="C2" s="27" t="s">
        <v>585</v>
      </c>
    </row>
    <row r="3" ht="32.1" customHeight="1" spans="1:3">
      <c r="A3" t="s">
        <v>549</v>
      </c>
      <c r="B3" t="s">
        <v>574</v>
      </c>
    </row>
    <row r="4" ht="32.1" customHeight="1" spans="1:3">
      <c r="B4" s="7" t="s">
        <v>550</v>
      </c>
      <c r="C4" s="8" t="s">
        <v>551</v>
      </c>
    </row>
    <row r="5" ht="18" customHeight="1" spans="1:3">
      <c r="A5" s="9">
        <v>2016</v>
      </c>
      <c r="B5" s="28"/>
      <c r="C5" s="11"/>
    </row>
    <row r="6" ht="18" customHeight="1" spans="1:3">
      <c r="A6" s="9">
        <v>6</v>
      </c>
      <c r="B6" s="29">
        <f>ROUND(38.78,2)</f>
        <v>38.78</v>
      </c>
      <c r="C6" s="11">
        <f>ROUND(31.4,1)</f>
        <v>31.4</v>
      </c>
    </row>
    <row r="7" spans="1:3">
      <c r="A7" s="9">
        <v>7</v>
      </c>
      <c r="B7" s="29">
        <f>ROUND(49.38,2)</f>
        <v>49.38</v>
      </c>
      <c r="C7" s="11">
        <f>ROUND(44.3,1)</f>
        <v>44.3</v>
      </c>
    </row>
    <row r="8" spans="1:3">
      <c r="A8" s="9">
        <v>8</v>
      </c>
      <c r="B8" s="29">
        <f>ROUND(56,2)</f>
        <v>56</v>
      </c>
      <c r="C8" s="11">
        <f>ROUND(41.9,1)</f>
        <v>41.9</v>
      </c>
    </row>
    <row r="9" spans="1:3">
      <c r="A9" s="9">
        <v>9</v>
      </c>
      <c r="B9" s="29">
        <f>ROUND(64.1,2)</f>
        <v>64.1</v>
      </c>
      <c r="C9" s="30">
        <f>ROUND(44.1,1)</f>
        <v>44.1</v>
      </c>
    </row>
    <row r="10" spans="1:3">
      <c r="A10" s="9">
        <v>10</v>
      </c>
      <c r="B10" s="29">
        <f>ROUND(72.32,2)</f>
        <v>72.32</v>
      </c>
      <c r="C10" s="30">
        <f>ROUND(47.3,1)</f>
        <v>47.3</v>
      </c>
    </row>
    <row r="11" spans="1:3">
      <c r="A11" s="9">
        <v>11</v>
      </c>
      <c r="B11" s="29">
        <f>ROUND(80.75,2)</f>
        <v>80.75</v>
      </c>
      <c r="C11" s="31">
        <f>ROUND(52,1)</f>
        <v>52</v>
      </c>
    </row>
    <row r="12" spans="1:3">
      <c r="A12" s="9">
        <v>12</v>
      </c>
      <c r="B12" s="29">
        <f>ROUND(89.4,2)</f>
        <v>89.4</v>
      </c>
      <c r="C12" s="31">
        <f>ROUND(52.9,1)</f>
        <v>52.9</v>
      </c>
    </row>
    <row r="13" spans="1:3">
      <c r="A13" s="9">
        <v>2017</v>
      </c>
      <c r="B13" s="29"/>
      <c r="C13" s="31"/>
    </row>
    <row r="14" spans="1:3">
      <c r="A14" s="9">
        <v>2</v>
      </c>
      <c r="B14" s="29">
        <f>ROUND(19.95,2)</f>
        <v>19.95</v>
      </c>
      <c r="C14" s="31">
        <f>ROUND(49.7,1)</f>
        <v>49.7</v>
      </c>
    </row>
    <row r="15" spans="1:3">
      <c r="A15" s="9">
        <v>3</v>
      </c>
      <c r="B15" s="29">
        <f>ROUND(25.02,2)</f>
        <v>25.02</v>
      </c>
      <c r="C15" s="31">
        <f>ROUND(66.7,1)</f>
        <v>66.7</v>
      </c>
    </row>
    <row r="16" spans="1:3">
      <c r="A16" s="9">
        <v>4</v>
      </c>
      <c r="B16" s="29">
        <f>ROUND(34.86,2)</f>
        <v>34.86</v>
      </c>
      <c r="C16" s="31">
        <f>ROUND(55.8,1)</f>
        <v>55.8</v>
      </c>
    </row>
    <row r="17" spans="1:3">
      <c r="A17" s="9">
        <v>5</v>
      </c>
      <c r="B17" s="29">
        <f>ROUND(44.18,2)</f>
        <v>44.18</v>
      </c>
      <c r="C17" s="31">
        <f>ROUND(47.1,1)</f>
        <v>47.1</v>
      </c>
    </row>
    <row r="18" spans="1:3">
      <c r="A18" s="9">
        <v>6</v>
      </c>
      <c r="B18" s="29">
        <f>ROUND(54.94,2)</f>
        <v>54.94</v>
      </c>
      <c r="C18" s="31">
        <f>ROUND(41.7,1)</f>
        <v>41.7</v>
      </c>
    </row>
    <row r="19" spans="1:3">
      <c r="A19" s="9">
        <v>7</v>
      </c>
      <c r="B19" s="29">
        <f>ROUND(64.67,2)</f>
        <v>64.67</v>
      </c>
      <c r="C19" s="31">
        <f>ROUND(35.8,1)</f>
        <v>35.8</v>
      </c>
    </row>
    <row r="20" spans="1:3">
      <c r="A20" s="32">
        <v>8</v>
      </c>
      <c r="B20" s="29">
        <f>ROUND(75.46,2)</f>
        <v>75.46</v>
      </c>
      <c r="C20" s="33">
        <f>ROUND(34.8,1)</f>
        <v>34.8</v>
      </c>
    </row>
    <row r="21" spans="1:3">
      <c r="A21" s="32">
        <v>9</v>
      </c>
      <c r="B21" s="29">
        <f>ROUND(85.67,2)</f>
        <v>85.67</v>
      </c>
      <c r="C21" s="33">
        <f>ROUND(33.7,1)</f>
        <v>33.7</v>
      </c>
    </row>
    <row r="22" spans="1:3">
      <c r="A22" s="15">
        <v>10</v>
      </c>
      <c r="B22" s="34">
        <f>ROUND(93.88,2)</f>
        <v>93.88</v>
      </c>
      <c r="C22" s="17">
        <f>ROUND(29.8,1)</f>
        <v>29.8</v>
      </c>
    </row>
    <row r="23" spans="1:3">
      <c r="A23" s="15">
        <v>11</v>
      </c>
      <c r="B23" s="34">
        <f>ROUND(102.83,2)</f>
        <v>102.83</v>
      </c>
      <c r="C23" s="35">
        <f>ROUND(27.4,1)</f>
        <v>27.4</v>
      </c>
    </row>
    <row r="24" spans="1:3">
      <c r="A24" s="15">
        <v>12</v>
      </c>
      <c r="B24" s="34">
        <f>ROUND(112.45,2)</f>
        <v>112.45</v>
      </c>
      <c r="C24" s="35">
        <f>ROUND(25.8,1)</f>
        <v>25.8</v>
      </c>
    </row>
    <row r="25" spans="1:3">
      <c r="A25" s="15">
        <v>2018</v>
      </c>
      <c r="B25" s="36"/>
      <c r="C25" s="17"/>
    </row>
    <row r="26" spans="1:3">
      <c r="A26" s="15">
        <v>2</v>
      </c>
      <c r="B26" s="36">
        <f>ROUND(17.26707351,2)</f>
        <v>17.27</v>
      </c>
      <c r="C26" s="35">
        <f>ROUND(6.31,1)</f>
        <v>6.3</v>
      </c>
    </row>
    <row r="27" spans="1:3">
      <c r="A27" s="15">
        <v>3</v>
      </c>
      <c r="B27" s="36">
        <f>ROUND(26.96,2)</f>
        <v>26.96</v>
      </c>
      <c r="C27" s="35">
        <f>ROUND(6.1,1)</f>
        <v>6.1</v>
      </c>
    </row>
    <row r="28" spans="1:3">
      <c r="A28" s="15">
        <v>4</v>
      </c>
      <c r="B28" s="29">
        <f>ROUND(374489.7976/10000,2)</f>
        <v>37.45</v>
      </c>
      <c r="C28" s="37">
        <f>ROUND(5.86,1)</f>
        <v>5.9</v>
      </c>
    </row>
    <row r="29" spans="1:3">
      <c r="A29" s="15">
        <v>5</v>
      </c>
      <c r="B29" s="29">
        <v>48.08</v>
      </c>
      <c r="C29" s="37">
        <v>9.1</v>
      </c>
    </row>
    <row r="30" spans="1:3">
      <c r="A30" s="22">
        <v>6</v>
      </c>
      <c r="B30" s="38">
        <v>58.99</v>
      </c>
      <c r="C30" s="39">
        <v>8.9</v>
      </c>
    </row>
  </sheetData>
  <mergeCells count="3">
    <mergeCell ref="A1:C1"/>
    <mergeCell ref="B3:C3"/>
    <mergeCell ref="A3:A4"/>
  </mergeCells>
  <printOptions horizontalCentered="1"/>
  <pageMargins left="0.75" right="0.75" top="0.979166666666667" bottom="0.979166666666667" header="0.509027777777778" footer="0.509027777777778"/>
  <pageSetup paperSize="9" orientation="portrait"/>
  <headerFooter alignWithMargins="0" scaleWithDoc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V31"/>
  <sheetViews>
    <sheetView topLeftCell="A10" workbookViewId="0">
      <selection activeCell="J41" sqref="J41"/>
    </sheetView>
  </sheetViews>
  <sheetFormatPr defaultColWidth="9" defaultRowHeight="12.75"/>
  <cols>
    <col min="1" max="1" width="14.125" style="2" customWidth="1"/>
    <col min="2" max="2" width="21.375" style="2" customWidth="1"/>
    <col min="3" max="3" width="17.375" style="2" customWidth="1"/>
    <col min="4" max="16384" width="9" style="2"/>
  </cols>
  <sheetData>
    <row r="1" ht="24" customHeight="1" spans="1:256">
      <c r="A1" s="3" t="s">
        <v>27</v>
      </c>
      <c r="B1" s="3"/>
      <c r="C1" s="3"/>
    </row>
    <row r="2" ht="24" customHeight="1" spans="1:256">
      <c r="A2" s="4"/>
      <c r="B2" s="5"/>
      <c r="C2" s="6" t="s">
        <v>586</v>
      </c>
    </row>
    <row r="3" s="1" customFormat="1" ht="32.25" customHeight="1" spans="1:256">
      <c r="A3" t="s">
        <v>549</v>
      </c>
      <c r="B3" t="s">
        <v>27</v>
      </c>
      <c r="C3"/>
    </row>
    <row r="4" s="1" customFormat="1" ht="32.25" customHeight="1" spans="1:256">
      <c r="A4">
        <v>2009</v>
      </c>
      <c r="B4" s="7" t="s">
        <v>587</v>
      </c>
      <c r="C4" s="8" t="s">
        <v>588</v>
      </c>
    </row>
    <row r="5" s="1" customFormat="1" ht="20.1" customHeight="1" spans="1:256">
      <c r="A5" s="9">
        <v>2016</v>
      </c>
      <c r="B5" s="10"/>
      <c r="C5" s="11"/>
    </row>
    <row r="6" s="1" customFormat="1" ht="20.1" customHeight="1" spans="1:256">
      <c r="A6" s="9">
        <v>6</v>
      </c>
      <c r="B6" s="10">
        <f>ROUND(102.3,1)</f>
        <v>102.3</v>
      </c>
      <c r="C6" s="11">
        <f>ROUND(102.7,1)</f>
        <v>102.7</v>
      </c>
    </row>
    <row r="7" s="1" customFormat="1" ht="20.1" customHeight="1" spans="1:256">
      <c r="A7" s="9">
        <v>7</v>
      </c>
      <c r="B7" s="10">
        <f>ROUND(102.1,1)</f>
        <v>102.1</v>
      </c>
      <c r="C7" s="11">
        <f>ROUND(102.6,1)</f>
        <v>102.6</v>
      </c>
    </row>
    <row r="8" s="1" customFormat="1" ht="20.1" customHeight="1" spans="1:256">
      <c r="A8" s="9">
        <v>8</v>
      </c>
      <c r="B8" s="10">
        <f>ROUND(101.4,1)</f>
        <v>101.4</v>
      </c>
      <c r="C8" s="11">
        <f>ROUND(102.5,1)</f>
        <v>102.5</v>
      </c>
    </row>
    <row r="9" s="1" customFormat="1" ht="14.45" customHeight="1" spans="1:256">
      <c r="A9" s="9">
        <v>9</v>
      </c>
      <c r="B9" s="10">
        <f>ROUND(101.82067344,1)</f>
        <v>101.8</v>
      </c>
      <c r="C9" s="11">
        <f>ROUND(102.40761463,1)</f>
        <v>102.4</v>
      </c>
    </row>
    <row r="10" s="1" customFormat="1" ht="14.45" customHeight="1" spans="1:256">
      <c r="A10" s="9">
        <v>10</v>
      </c>
      <c r="B10" s="10">
        <f>ROUND(101.32746357,1)</f>
        <v>101.3</v>
      </c>
      <c r="C10" s="11">
        <f>ROUND(102.29864677,1)</f>
        <v>102.3</v>
      </c>
    </row>
    <row r="11" s="1" customFormat="1" ht="14.45" customHeight="1" spans="1:256">
      <c r="A11" s="9">
        <v>11</v>
      </c>
      <c r="B11" s="10">
        <f>ROUND(102.2,1)</f>
        <v>102.2</v>
      </c>
      <c r="C11" s="11">
        <f>ROUND(102.29864677,1)</f>
        <v>102.3</v>
      </c>
    </row>
    <row r="12" ht="14.25" spans="1:256">
      <c r="A12" s="12">
        <v>12</v>
      </c>
      <c r="B12" s="10">
        <f>ROUND(101.4,1)</f>
        <v>101.4</v>
      </c>
      <c r="C12" s="11">
        <f>ROUND(102.2,1)</f>
        <v>102.2</v>
      </c>
    </row>
    <row r="13" ht="14.25" spans="1:256">
      <c r="A13" s="12">
        <v>2017</v>
      </c>
      <c r="B13" s="10"/>
      <c r="C13" s="11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ht="14.25" spans="1:256">
      <c r="A14" s="12">
        <v>2</v>
      </c>
      <c r="B14" s="10">
        <f>ROUND(99.8,1)</f>
        <v>99.8</v>
      </c>
      <c r="C14" s="11">
        <f>ROUND(101.1,1)</f>
        <v>101.1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ht="14.25" spans="1:256">
      <c r="A15" s="12">
        <v>3</v>
      </c>
      <c r="B15" s="10">
        <f>ROUND(100.57911031,1)</f>
        <v>100.6</v>
      </c>
      <c r="C15" s="11">
        <f>ROUND(100.95612843,1)</f>
        <v>101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ht="14.25" spans="1:256">
      <c r="A16" s="12">
        <v>4</v>
      </c>
      <c r="B16" s="10">
        <f>ROUND(101,1)</f>
        <v>101</v>
      </c>
      <c r="C16" s="11">
        <f>ROUND(100.95612843,1)</f>
        <v>101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ht="14.25" spans="1:256">
      <c r="A17" s="12">
        <v>5</v>
      </c>
      <c r="B17" s="10">
        <f>ROUND(101.5,1)</f>
        <v>101.5</v>
      </c>
      <c r="C17" s="11">
        <f>ROUND(101.1,1)</f>
        <v>101.1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ht="14.25" spans="1:256">
      <c r="A18" s="12">
        <v>6</v>
      </c>
      <c r="B18" s="10">
        <f>ROUND(101.1,1)</f>
        <v>101.1</v>
      </c>
      <c r="C18" s="11">
        <f>ROUND(101.1,1)</f>
        <v>101.1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ht="14.25" spans="1:256">
      <c r="A19" s="12">
        <v>7</v>
      </c>
      <c r="B19" s="10">
        <f>ROUND(101.62395255,1)</f>
        <v>101.6</v>
      </c>
      <c r="C19" s="11">
        <f>ROUND(101.16440126,1)</f>
        <v>101.2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ht="14.25" spans="1:256">
      <c r="A20" s="13">
        <v>8</v>
      </c>
      <c r="B20" s="10">
        <f>ROUND(101.91687646,1)</f>
        <v>101.9</v>
      </c>
      <c r="C20" s="14">
        <f>ROUND(101.25801138,1)</f>
        <v>101.3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ht="14.25" spans="1:256">
      <c r="A21" s="12">
        <v>9</v>
      </c>
      <c r="B21" s="10">
        <f>ROUND(101.03765598,1)</f>
        <v>101</v>
      </c>
      <c r="C21" s="14">
        <f>ROUND(101.23346012,1)</f>
        <v>101.2</v>
      </c>
    </row>
    <row r="22" ht="14.25" spans="1:256">
      <c r="A22" s="12">
        <v>10</v>
      </c>
      <c r="B22" s="10">
        <f>ROUND(101.8,1)</f>
        <v>101.8</v>
      </c>
      <c r="C22" s="14">
        <f>ROUND(101.3,1)</f>
        <v>101.3</v>
      </c>
    </row>
    <row r="23" ht="14.25" spans="1:256">
      <c r="A23" s="12">
        <v>11</v>
      </c>
      <c r="B23" s="10">
        <f>ROUND(101.32934401,1)</f>
        <v>101.3</v>
      </c>
      <c r="C23" s="14">
        <f>ROUND(101.29138171,1)</f>
        <v>101.3</v>
      </c>
    </row>
    <row r="24" ht="14.25" spans="1:256">
      <c r="A24" s="12">
        <v>12</v>
      </c>
      <c r="B24" s="10">
        <f>ROUND(101.93633331,1)</f>
        <v>101.9</v>
      </c>
      <c r="C24" s="14">
        <f>ROUND(101.34501843,1)</f>
        <v>101.3</v>
      </c>
    </row>
    <row r="25" ht="14.25" spans="1:256">
      <c r="A25" s="15">
        <v>2018</v>
      </c>
      <c r="B25" s="16"/>
      <c r="C25" s="17"/>
    </row>
    <row r="26" ht="14.25" spans="1:256">
      <c r="A26" s="15">
        <v>1</v>
      </c>
      <c r="B26" s="10">
        <f>ROUND(100.4833835,1)</f>
        <v>100.5</v>
      </c>
      <c r="C26" s="14">
        <f>ROUND(100.4833835,1)</f>
        <v>100.5</v>
      </c>
    </row>
    <row r="27" ht="14.25" spans="1:256">
      <c r="A27" s="15">
        <v>2</v>
      </c>
      <c r="B27" s="18">
        <f>ROUND(102.58323309,1)</f>
        <v>102.6</v>
      </c>
      <c r="C27" s="19">
        <f>ROUND(101.53370061,1)</f>
        <v>101.5</v>
      </c>
    </row>
    <row r="28" ht="14.25" spans="1:256">
      <c r="A28" s="15">
        <v>3</v>
      </c>
      <c r="B28" s="10">
        <f>ROUND(101.8,1)</f>
        <v>101.8</v>
      </c>
      <c r="C28" s="19">
        <f>ROUND(101.6,1)</f>
        <v>101.6</v>
      </c>
    </row>
    <row r="29" ht="14.25" spans="1:256">
      <c r="A29" s="15">
        <v>4</v>
      </c>
      <c r="B29" s="20">
        <f>ROUND(101,1)</f>
        <v>101</v>
      </c>
      <c r="C29" s="21">
        <f>ROUND(101.45789835,1)</f>
        <v>101.5</v>
      </c>
    </row>
    <row r="30" customFormat="1" ht="14.25" spans="1:256">
      <c r="A30" s="15">
        <v>5</v>
      </c>
      <c r="B30" s="20">
        <v>100.63043043</v>
      </c>
      <c r="C30" s="21">
        <v>101.29245659</v>
      </c>
    </row>
    <row r="31" ht="14.25" spans="1:256">
      <c r="A31" s="22">
        <v>6</v>
      </c>
      <c r="B31" s="23">
        <v>101.2</v>
      </c>
      <c r="C31" s="24">
        <v>101.27416779</v>
      </c>
    </row>
  </sheetData>
  <mergeCells count="3">
    <mergeCell ref="A1:C1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2"/>
  <sheetViews>
    <sheetView zoomScale="80" zoomScaleNormal="80" workbookViewId="0">
      <selection activeCell="J26" sqref="J26"/>
    </sheetView>
  </sheetViews>
  <sheetFormatPr defaultColWidth="9" defaultRowHeight="14.25"/>
  <cols>
    <col min="1" max="1" width="28.625" style="562" customWidth="1"/>
    <col min="2" max="2" width="12" style="562" customWidth="1"/>
    <col min="3" max="3" width="10.625" style="562" customWidth="1"/>
    <col min="4" max="4" width="12.125" style="527" customWidth="1"/>
    <col min="5" max="5" width="10.625" style="562" customWidth="1"/>
    <col min="6" max="6" width="9" style="562"/>
    <col min="7" max="7" width="10.5" style="562" customWidth="1"/>
    <col min="8" max="8" width="9.75" style="562" customWidth="1"/>
    <col min="9" max="9" width="11.75" style="562" customWidth="1"/>
    <col min="10" max="255" width="9" style="562"/>
    <col min="256" max="16384" width="9" style="44"/>
  </cols>
  <sheetData>
    <row r="1" ht="28.5" customHeight="1" spans="1:9">
      <c r="A1" s="563" t="s">
        <v>76</v>
      </c>
      <c r="B1" s="530"/>
      <c r="C1" s="530"/>
      <c r="D1" s="576"/>
      <c r="E1" s="576"/>
    </row>
    <row r="2" ht="20" customHeight="1" spans="1:9">
      <c r="A2" s="564"/>
      <c r="B2" s="564"/>
      <c r="C2" s="564"/>
      <c r="D2" s="664" t="s">
        <v>37</v>
      </c>
      <c r="E2" s="228"/>
    </row>
    <row r="3" ht="35.25" customHeight="1" spans="1:9">
      <c r="A3" s="565" t="s">
        <v>38</v>
      </c>
      <c r="B3" s="565" t="s">
        <v>77</v>
      </c>
      <c r="C3" s="665" t="s">
        <v>78</v>
      </c>
      <c r="D3" s="92" t="s">
        <v>79</v>
      </c>
      <c r="E3" s="665" t="s">
        <v>78</v>
      </c>
      <c r="G3" s="598"/>
      <c r="I3" s="598"/>
    </row>
    <row r="4" ht="24.95" customHeight="1" spans="1:9">
      <c r="A4" s="569" t="s">
        <v>80</v>
      </c>
      <c r="B4" s="666">
        <v>156.9033</v>
      </c>
      <c r="C4" s="667">
        <v>3.8</v>
      </c>
      <c r="D4" s="668">
        <v>340.3943</v>
      </c>
      <c r="E4" s="669">
        <v>4.1</v>
      </c>
      <c r="G4" s="598"/>
      <c r="I4" s="598"/>
    </row>
    <row r="5" ht="24.95" customHeight="1" spans="1:9">
      <c r="A5" s="567" t="s">
        <v>81</v>
      </c>
      <c r="B5" s="666">
        <v>64.9706</v>
      </c>
      <c r="C5" s="670">
        <v>11</v>
      </c>
      <c r="D5" s="668">
        <v>144.2102</v>
      </c>
      <c r="E5" s="669">
        <v>12.5</v>
      </c>
      <c r="G5" s="598"/>
      <c r="I5" s="598"/>
    </row>
    <row r="6" ht="24.95" customHeight="1" spans="1:9">
      <c r="A6" s="567" t="s">
        <v>82</v>
      </c>
      <c r="B6" s="666">
        <v>91.9327</v>
      </c>
      <c r="C6" s="670">
        <v>-0.6</v>
      </c>
      <c r="D6" s="668">
        <v>196.1841</v>
      </c>
      <c r="E6" s="669">
        <v>-1.1</v>
      </c>
      <c r="G6" s="598"/>
      <c r="I6" s="598"/>
    </row>
    <row r="7" ht="24.95" customHeight="1" spans="1:9">
      <c r="A7" s="569" t="s">
        <v>83</v>
      </c>
      <c r="B7" s="666">
        <v>2.7936</v>
      </c>
      <c r="C7" s="667">
        <v>-5.3</v>
      </c>
      <c r="D7" s="668">
        <v>5.4955</v>
      </c>
      <c r="E7" s="669">
        <v>-4</v>
      </c>
      <c r="G7" s="598"/>
      <c r="I7" s="598"/>
    </row>
    <row r="8" ht="24.95" customHeight="1" spans="1:9">
      <c r="A8" s="569" t="s">
        <v>84</v>
      </c>
      <c r="B8" s="666">
        <v>0.0247</v>
      </c>
      <c r="C8" s="667">
        <v>-43.8</v>
      </c>
      <c r="D8" s="668">
        <v>0.0485</v>
      </c>
      <c r="E8" s="669">
        <v>-44.4</v>
      </c>
      <c r="F8" s="164"/>
      <c r="G8" s="602"/>
      <c r="I8" s="598"/>
    </row>
    <row r="9" ht="24.95" customHeight="1" spans="1:9">
      <c r="A9" s="569" t="s">
        <v>85</v>
      </c>
      <c r="B9" s="666">
        <v>0</v>
      </c>
      <c r="C9" s="667">
        <v>0</v>
      </c>
      <c r="D9" s="668">
        <v>0</v>
      </c>
      <c r="E9" s="669">
        <v>0</v>
      </c>
      <c r="F9" s="164"/>
      <c r="G9" s="598"/>
      <c r="I9" s="598"/>
    </row>
    <row r="10" ht="24.95" customHeight="1" spans="1:9">
      <c r="A10" s="569" t="s">
        <v>86</v>
      </c>
      <c r="B10" s="666">
        <v>106.2804</v>
      </c>
      <c r="C10" s="667">
        <v>3.7</v>
      </c>
      <c r="D10" s="668">
        <v>231.7541</v>
      </c>
      <c r="E10" s="669">
        <v>5.5</v>
      </c>
      <c r="F10" s="164"/>
      <c r="G10" s="598"/>
      <c r="I10" s="598"/>
    </row>
    <row r="11" ht="24.95" customHeight="1" spans="1:9">
      <c r="A11" s="569" t="s">
        <v>87</v>
      </c>
      <c r="B11" s="666">
        <v>46.3077</v>
      </c>
      <c r="C11" s="667">
        <v>5.4</v>
      </c>
      <c r="D11" s="668">
        <v>98.8122</v>
      </c>
      <c r="E11" s="669">
        <v>1.6</v>
      </c>
      <c r="G11" s="598"/>
      <c r="I11" s="598"/>
    </row>
    <row r="12" ht="24.95" customHeight="1" spans="1:9">
      <c r="A12" s="569" t="s">
        <v>88</v>
      </c>
      <c r="B12" s="666">
        <v>1.4969</v>
      </c>
      <c r="C12" s="667">
        <v>-13.9</v>
      </c>
      <c r="D12" s="668">
        <v>4.284</v>
      </c>
      <c r="E12" s="669">
        <v>8</v>
      </c>
      <c r="G12" s="598"/>
      <c r="I12" s="598"/>
    </row>
    <row r="13" ht="24.95" customHeight="1" spans="1:9">
      <c r="A13" s="569" t="s">
        <v>89</v>
      </c>
      <c r="B13" s="666">
        <v>74.5831</v>
      </c>
      <c r="C13" s="667">
        <v>2.8</v>
      </c>
      <c r="D13" s="668">
        <v>158.8377</v>
      </c>
      <c r="E13" s="669">
        <v>2.2</v>
      </c>
      <c r="G13" s="598"/>
      <c r="I13" s="598"/>
    </row>
    <row r="14" ht="24.95" customHeight="1" spans="1:9">
      <c r="A14" s="569" t="s">
        <v>90</v>
      </c>
      <c r="B14" s="666">
        <v>61.58</v>
      </c>
      <c r="C14" s="667">
        <v>5.2</v>
      </c>
      <c r="D14" s="668">
        <v>136.471</v>
      </c>
      <c r="E14" s="669">
        <v>7.4</v>
      </c>
      <c r="G14" s="598"/>
      <c r="I14" s="598"/>
    </row>
    <row r="15" ht="24.95" customHeight="1" spans="1:9">
      <c r="A15" s="569" t="s">
        <v>91</v>
      </c>
      <c r="B15" s="666">
        <v>71.5046</v>
      </c>
      <c r="C15" s="667">
        <v>2.6</v>
      </c>
      <c r="D15" s="668">
        <v>142.7514</v>
      </c>
      <c r="E15" s="669">
        <v>2.9</v>
      </c>
      <c r="G15" s="598"/>
      <c r="I15" s="598"/>
    </row>
    <row r="16" ht="24.95" customHeight="1" spans="1:9">
      <c r="A16" s="569" t="s">
        <v>92</v>
      </c>
      <c r="B16" s="666">
        <v>45.0661</v>
      </c>
      <c r="C16" s="667">
        <v>-1.7</v>
      </c>
      <c r="D16" s="668">
        <v>102.0967</v>
      </c>
      <c r="E16" s="669">
        <v>-3.9</v>
      </c>
      <c r="G16" s="598"/>
      <c r="I16" s="598"/>
    </row>
    <row r="17" ht="24.95" customHeight="1" spans="1:9">
      <c r="A17" s="569" t="s">
        <v>93</v>
      </c>
      <c r="B17" s="666">
        <v>39.0335</v>
      </c>
      <c r="C17" s="667">
        <v>12.6</v>
      </c>
      <c r="D17" s="668">
        <v>91.8471</v>
      </c>
      <c r="E17" s="669">
        <v>15.2</v>
      </c>
      <c r="G17" s="598"/>
      <c r="I17" s="598"/>
    </row>
    <row r="18" ht="24.95" customHeight="1" spans="1:9">
      <c r="A18" s="671" t="s">
        <v>94</v>
      </c>
      <c r="B18" s="672">
        <v>1.2991</v>
      </c>
      <c r="C18" s="673">
        <v>55.6</v>
      </c>
      <c r="D18" s="674">
        <v>3.6991</v>
      </c>
      <c r="E18" s="675">
        <v>93.2</v>
      </c>
      <c r="G18" s="598"/>
      <c r="I18" s="598"/>
    </row>
    <row r="19" ht="24.95" customHeight="1" spans="1:9">
      <c r="A19" s="676" t="s">
        <v>95</v>
      </c>
      <c r="B19" s="677">
        <v>7.8094</v>
      </c>
      <c r="C19" s="673">
        <v>-23.1</v>
      </c>
      <c r="D19" s="674">
        <v>22.2531</v>
      </c>
      <c r="E19" s="678">
        <v>-8.1</v>
      </c>
      <c r="G19" s="598"/>
      <c r="I19" s="598"/>
    </row>
    <row r="20" ht="31.5" customHeight="1" spans="1:9">
      <c r="A20" s="679"/>
      <c r="B20" s="680" t="s">
        <v>96</v>
      </c>
      <c r="C20" s="681"/>
      <c r="D20" s="682" t="s">
        <v>97</v>
      </c>
      <c r="E20" s="683" t="s">
        <v>98</v>
      </c>
      <c r="G20" s="598"/>
      <c r="I20" s="598"/>
    </row>
    <row r="21" ht="24.95" customHeight="1" spans="1:9">
      <c r="A21" s="684" t="s">
        <v>99</v>
      </c>
      <c r="B21" s="685">
        <v>323.1035</v>
      </c>
      <c r="C21" s="686"/>
      <c r="D21" s="687">
        <v>94.9</v>
      </c>
      <c r="E21" s="688">
        <v>-0.8</v>
      </c>
      <c r="G21" s="598"/>
      <c r="I21" s="598"/>
    </row>
    <row r="22" ht="20.1" customHeight="1" spans="1:9">
      <c r="A22" s="689" t="s">
        <v>100</v>
      </c>
      <c r="B22" s="689"/>
      <c r="C22" s="689"/>
      <c r="D22" s="689"/>
      <c r="E22" s="689"/>
    </row>
  </sheetData>
  <mergeCells count="5">
    <mergeCell ref="A1:E1"/>
    <mergeCell ref="D2:E2"/>
    <mergeCell ref="B20:C20"/>
    <mergeCell ref="B21:C21"/>
    <mergeCell ref="A22:E22"/>
  </mergeCells>
  <printOptions horizontalCentered="1"/>
  <pageMargins left="0.55" right="0.55" top="0.588888888888889" bottom="0.588888888888889" header="0.509027777777778" footer="0.509027777777778"/>
  <pageSetup paperSize="9" orientation="portrait" blackAndWhite="1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255"/>
  <sheetViews>
    <sheetView zoomScale="90" zoomScaleNormal="90" workbookViewId="0">
      <selection activeCell="F29" sqref="F29"/>
    </sheetView>
  </sheetViews>
  <sheetFormatPr defaultColWidth="9" defaultRowHeight="14.25" outlineLevelCol="7"/>
  <cols>
    <col min="1" max="1" width="28.625" style="562" customWidth="1"/>
    <col min="2" max="2" width="12" style="562" customWidth="1"/>
    <col min="3" max="3" width="10.625" style="562" customWidth="1"/>
    <col min="4" max="4" width="12.125" style="527" customWidth="1"/>
    <col min="5" max="5" width="11.5" style="562" customWidth="1"/>
    <col min="6" max="6" width="9" style="562"/>
    <col min="7" max="7" width="10.5" style="562" customWidth="1"/>
    <col min="8" max="8" width="9.75" style="562" customWidth="1"/>
    <col min="9" max="9" width="11.75" style="562" customWidth="1"/>
    <col min="10" max="16384" width="9" style="562"/>
  </cols>
  <sheetData>
    <row r="1" s="44" customFormat="1" ht="28.5" customHeight="1" spans="1:8">
      <c r="A1" s="497" t="s">
        <v>101</v>
      </c>
      <c r="B1" s="498"/>
      <c r="C1" s="498"/>
      <c r="D1" s="656"/>
      <c r="E1" s="656"/>
    </row>
    <row r="2" s="44" customFormat="1" ht="19.5" customHeight="1" spans="1:8">
      <c r="A2" s="626"/>
      <c r="B2" s="626"/>
      <c r="C2" s="626"/>
      <c r="D2" s="627" t="s">
        <v>37</v>
      </c>
      <c r="E2" s="628"/>
    </row>
    <row r="3" s="44" customFormat="1" ht="35.25" customHeight="1" spans="1:8">
      <c r="A3" s="629" t="s">
        <v>38</v>
      </c>
      <c r="B3" s="657" t="s">
        <v>77</v>
      </c>
      <c r="C3" s="658" t="s">
        <v>78</v>
      </c>
      <c r="D3" s="501" t="s">
        <v>79</v>
      </c>
      <c r="E3" s="658" t="s">
        <v>78</v>
      </c>
      <c r="H3" s="513"/>
    </row>
    <row r="4" s="44" customFormat="1" ht="24.95" customHeight="1" spans="1:8">
      <c r="A4" s="502" t="s">
        <v>102</v>
      </c>
      <c r="B4" s="659">
        <v>50.1561</v>
      </c>
      <c r="C4" s="660">
        <v>3.9</v>
      </c>
      <c r="D4" s="659">
        <v>108.2115</v>
      </c>
      <c r="E4" s="505">
        <v>3.7</v>
      </c>
      <c r="H4" s="512"/>
    </row>
    <row r="5" s="44" customFormat="1" ht="24.95" customHeight="1" spans="1:8">
      <c r="A5" s="502" t="s">
        <v>81</v>
      </c>
      <c r="B5" s="556">
        <v>14.6165</v>
      </c>
      <c r="C5" s="606">
        <v>11</v>
      </c>
      <c r="D5" s="556">
        <v>33.1526</v>
      </c>
      <c r="E5" s="441">
        <v>13.9</v>
      </c>
      <c r="H5" s="512"/>
    </row>
    <row r="6" s="44" customFormat="1" ht="24.95" customHeight="1" spans="1:8">
      <c r="A6" s="514" t="s">
        <v>82</v>
      </c>
      <c r="B6" s="556">
        <v>35.5396</v>
      </c>
      <c r="C6" s="606">
        <v>1.4</v>
      </c>
      <c r="D6" s="556">
        <v>75.0588</v>
      </c>
      <c r="E6" s="441">
        <v>-0.5</v>
      </c>
      <c r="H6" s="512"/>
    </row>
    <row r="7" s="44" customFormat="1" ht="24.95" customHeight="1" spans="1:8">
      <c r="A7" s="514" t="s">
        <v>83</v>
      </c>
      <c r="B7" s="556">
        <v>0.6053</v>
      </c>
      <c r="C7" s="606">
        <v>-3.3</v>
      </c>
      <c r="D7" s="556">
        <v>1.201</v>
      </c>
      <c r="E7" s="441">
        <v>-1.8</v>
      </c>
      <c r="H7" s="512"/>
    </row>
    <row r="8" s="44" customFormat="1" ht="24.95" customHeight="1" spans="1:8">
      <c r="A8" s="514" t="s">
        <v>84</v>
      </c>
      <c r="B8" s="556">
        <v>0.0104</v>
      </c>
      <c r="C8" s="606">
        <v>-42.8</v>
      </c>
      <c r="D8" s="556">
        <v>0.0204</v>
      </c>
      <c r="E8" s="441">
        <v>-42.9</v>
      </c>
      <c r="H8" s="512"/>
    </row>
    <row r="9" s="44" customFormat="1" ht="24.95" customHeight="1" spans="1:8">
      <c r="A9" s="514" t="s">
        <v>85</v>
      </c>
      <c r="B9" s="556">
        <v>0</v>
      </c>
      <c r="C9" s="607">
        <v>-100</v>
      </c>
      <c r="D9" s="556">
        <v>0</v>
      </c>
      <c r="E9" s="441">
        <v>-100</v>
      </c>
      <c r="H9" s="512"/>
    </row>
    <row r="10" s="44" customFormat="1" ht="24.95" customHeight="1" spans="1:8">
      <c r="A10" s="514" t="s">
        <v>86</v>
      </c>
      <c r="B10" s="556">
        <v>23.5155</v>
      </c>
      <c r="C10" s="607">
        <v>4.8</v>
      </c>
      <c r="D10" s="556">
        <v>52.7128</v>
      </c>
      <c r="E10" s="441">
        <v>7.9</v>
      </c>
      <c r="H10" s="512"/>
    </row>
    <row r="11" s="44" customFormat="1" ht="24.95" customHeight="1" spans="1:8">
      <c r="A11" s="514" t="s">
        <v>87</v>
      </c>
      <c r="B11" s="556">
        <v>25.6735</v>
      </c>
      <c r="C11" s="607">
        <v>3.6</v>
      </c>
      <c r="D11" s="556">
        <v>53.3333</v>
      </c>
      <c r="E11" s="441">
        <v>-0.5</v>
      </c>
      <c r="H11" s="512"/>
    </row>
    <row r="12" s="44" customFormat="1" ht="24.95" customHeight="1" spans="1:8">
      <c r="A12" s="514" t="s">
        <v>88</v>
      </c>
      <c r="B12" s="556">
        <v>0.3513</v>
      </c>
      <c r="C12" s="607">
        <v>-6.9</v>
      </c>
      <c r="D12" s="556">
        <v>0.9439</v>
      </c>
      <c r="E12" s="441">
        <v>12.9</v>
      </c>
      <c r="H12" s="512"/>
    </row>
    <row r="13" s="44" customFormat="1" ht="24.95" customHeight="1" spans="1:8">
      <c r="A13" s="514" t="s">
        <v>89</v>
      </c>
      <c r="B13" s="556">
        <v>21.6263</v>
      </c>
      <c r="C13" s="607">
        <v>3.3</v>
      </c>
      <c r="D13" s="556">
        <v>47.6406</v>
      </c>
      <c r="E13" s="441">
        <v>2.9</v>
      </c>
      <c r="H13" s="512"/>
    </row>
    <row r="14" s="44" customFormat="1" ht="24.95" customHeight="1" spans="1:8">
      <c r="A14" s="514" t="s">
        <v>90</v>
      </c>
      <c r="B14" s="556">
        <v>14.2874</v>
      </c>
      <c r="C14" s="607">
        <v>7.5</v>
      </c>
      <c r="D14" s="556">
        <v>30.6339</v>
      </c>
      <c r="E14" s="441">
        <v>8.9</v>
      </c>
      <c r="H14" s="512"/>
    </row>
    <row r="15" s="44" customFormat="1" ht="24.95" customHeight="1" spans="1:8">
      <c r="A15" s="514" t="s">
        <v>91</v>
      </c>
      <c r="B15" s="556">
        <v>25.5964</v>
      </c>
      <c r="C15" s="607">
        <v>3.3</v>
      </c>
      <c r="D15" s="556">
        <v>52.8917</v>
      </c>
      <c r="E15" s="441">
        <v>3.5</v>
      </c>
      <c r="H15" s="512"/>
    </row>
    <row r="16" s="44" customFormat="1" ht="24.95" customHeight="1" spans="1:8">
      <c r="A16" s="514" t="s">
        <v>92</v>
      </c>
      <c r="B16" s="556">
        <v>15.1559</v>
      </c>
      <c r="C16" s="607">
        <v>1.4</v>
      </c>
      <c r="D16" s="556">
        <v>32.917</v>
      </c>
      <c r="E16" s="441">
        <v>-2.8</v>
      </c>
      <c r="H16" s="512"/>
    </row>
    <row r="17" s="44" customFormat="1" ht="24.95" customHeight="1" spans="1:8">
      <c r="A17" s="514" t="s">
        <v>93</v>
      </c>
      <c r="B17" s="556">
        <v>9.0428</v>
      </c>
      <c r="C17" s="607">
        <v>9.1</v>
      </c>
      <c r="D17" s="556">
        <v>21.4098</v>
      </c>
      <c r="E17" s="441">
        <v>12.1</v>
      </c>
      <c r="H17" s="512"/>
    </row>
    <row r="18" s="44" customFormat="1" ht="24.95" customHeight="1" spans="1:8">
      <c r="A18" s="661" t="s">
        <v>94</v>
      </c>
      <c r="B18" s="662">
        <v>0.361</v>
      </c>
      <c r="C18" s="663">
        <v>58.3</v>
      </c>
      <c r="D18" s="662">
        <v>0.993</v>
      </c>
      <c r="E18" s="452">
        <v>88.9</v>
      </c>
      <c r="H18" s="512"/>
    </row>
    <row r="19" s="44" customFormat="1" spans="1:8">
      <c r="H19" s="512"/>
    </row>
    <row r="20" s="44" customFormat="1" spans="1:8">
      <c r="H20" s="512"/>
    </row>
    <row r="21" s="44" customFormat="1" spans="1:8">
      <c r="H21" s="512"/>
    </row>
    <row r="22" s="44" customFormat="1" spans="1:8">
      <c r="H22" s="512"/>
    </row>
    <row r="23" s="44" customFormat="1" spans="1:8">
      <c r="H23" s="512"/>
    </row>
    <row r="24" s="44" customFormat="1"/>
    <row r="25" s="44" customFormat="1"/>
    <row r="26" s="44" customFormat="1"/>
    <row r="27" s="44" customFormat="1"/>
    <row r="28" s="44" customFormat="1"/>
    <row r="29" s="44" customFormat="1"/>
    <row r="30" s="44" customFormat="1"/>
    <row r="31" s="44" customFormat="1"/>
    <row r="32" s="44" customFormat="1"/>
    <row r="33" s="44" customFormat="1"/>
    <row r="34" s="44" customFormat="1"/>
    <row r="35" s="44" customFormat="1"/>
    <row r="36" s="44" customFormat="1"/>
    <row r="37" s="44" customFormat="1"/>
    <row r="38" s="44" customFormat="1"/>
    <row r="39" s="44" customFormat="1"/>
    <row r="40" s="44" customFormat="1"/>
    <row r="41" s="44" customFormat="1"/>
    <row r="42" s="44" customFormat="1"/>
    <row r="43" s="44" customFormat="1"/>
    <row r="44" s="44" customFormat="1"/>
    <row r="45" s="44" customFormat="1"/>
    <row r="46" s="44" customFormat="1"/>
    <row r="47" s="44" customFormat="1"/>
    <row r="48" s="44" customFormat="1"/>
    <row r="49" s="44" customFormat="1"/>
    <row r="50" s="44" customFormat="1"/>
    <row r="51" s="44" customFormat="1"/>
    <row r="52" s="44" customFormat="1"/>
    <row r="53" s="44" customFormat="1"/>
    <row r="54" s="44" customFormat="1"/>
    <row r="55" s="44" customFormat="1"/>
    <row r="56" s="44" customFormat="1"/>
    <row r="57" s="44" customFormat="1"/>
    <row r="58" s="44" customFormat="1"/>
    <row r="59" s="44" customFormat="1"/>
    <row r="60" s="44" customFormat="1"/>
    <row r="61" s="44" customFormat="1"/>
    <row r="62" s="44" customFormat="1"/>
    <row r="63" s="44" customFormat="1"/>
    <row r="64" s="44" customFormat="1"/>
    <row r="65" s="44" customFormat="1"/>
    <row r="66" s="44" customFormat="1"/>
    <row r="67" s="44" customFormat="1"/>
    <row r="68" s="44" customFormat="1"/>
    <row r="69" s="44" customFormat="1"/>
    <row r="70" s="44" customFormat="1"/>
    <row r="71" s="44" customFormat="1"/>
    <row r="72" s="44" customFormat="1"/>
    <row r="73" s="44" customFormat="1"/>
    <row r="74" s="44" customFormat="1"/>
    <row r="75" s="44" customFormat="1"/>
    <row r="76" s="44" customFormat="1"/>
    <row r="77" s="44" customFormat="1"/>
    <row r="78" s="44" customFormat="1"/>
    <row r="79" s="44" customFormat="1"/>
    <row r="80" s="44" customFormat="1"/>
    <row r="81" s="44" customFormat="1"/>
    <row r="82" s="44" customFormat="1"/>
    <row r="83" s="44" customFormat="1"/>
    <row r="84" s="44" customFormat="1"/>
    <row r="85" s="44" customFormat="1"/>
    <row r="86" s="44" customFormat="1"/>
    <row r="87" s="44" customFormat="1"/>
    <row r="88" s="44" customFormat="1"/>
    <row r="89" s="44" customFormat="1"/>
    <row r="90" s="44" customFormat="1"/>
    <row r="91" s="44" customFormat="1"/>
    <row r="92" s="44" customFormat="1"/>
    <row r="93" s="44" customFormat="1"/>
    <row r="94" s="44" customFormat="1"/>
    <row r="95" s="44" customFormat="1"/>
    <row r="96" s="44" customFormat="1"/>
    <row r="97" s="44" customFormat="1"/>
    <row r="98" s="44" customFormat="1"/>
    <row r="99" s="44" customFormat="1"/>
    <row r="100" s="44" customFormat="1"/>
    <row r="101" s="44" customFormat="1"/>
    <row r="102" s="44" customFormat="1"/>
    <row r="103" s="44" customFormat="1"/>
    <row r="104" s="44" customFormat="1"/>
    <row r="105" s="44" customFormat="1"/>
    <row r="106" s="44" customFormat="1"/>
    <row r="107" s="44" customFormat="1"/>
    <row r="108" s="44" customFormat="1"/>
    <row r="109" s="44" customFormat="1"/>
    <row r="110" s="44" customFormat="1"/>
    <row r="111" s="44" customFormat="1"/>
    <row r="112" s="44" customFormat="1"/>
    <row r="113" s="44" customFormat="1"/>
    <row r="114" s="44" customFormat="1"/>
    <row r="115" s="44" customFormat="1"/>
    <row r="116" s="44" customFormat="1"/>
    <row r="117" s="44" customFormat="1"/>
    <row r="118" s="44" customFormat="1"/>
    <row r="119" s="44" customFormat="1"/>
    <row r="120" s="44" customFormat="1"/>
    <row r="121" s="44" customFormat="1"/>
    <row r="122" s="44" customFormat="1"/>
    <row r="123" s="44" customFormat="1"/>
    <row r="124" s="44" customFormat="1"/>
    <row r="125" s="44" customFormat="1"/>
    <row r="126" s="44" customFormat="1"/>
    <row r="127" s="44" customFormat="1"/>
    <row r="128" s="44" customFormat="1"/>
    <row r="129" s="44" customFormat="1"/>
    <row r="130" s="44" customFormat="1"/>
    <row r="131" s="44" customFormat="1"/>
    <row r="132" s="44" customFormat="1"/>
    <row r="133" s="44" customFormat="1"/>
    <row r="134" s="44" customFormat="1"/>
    <row r="135" s="44" customFormat="1"/>
    <row r="136" s="44" customFormat="1"/>
    <row r="137" s="44" customFormat="1"/>
    <row r="138" s="44" customFormat="1"/>
    <row r="139" s="44" customFormat="1"/>
    <row r="140" s="44" customFormat="1"/>
    <row r="141" s="44" customFormat="1"/>
    <row r="142" s="44" customFormat="1"/>
    <row r="143" s="44" customFormat="1"/>
    <row r="144" s="44" customFormat="1"/>
    <row r="145" s="44" customFormat="1"/>
    <row r="146" s="44" customFormat="1"/>
    <row r="147" s="44" customFormat="1"/>
    <row r="148" s="44" customFormat="1"/>
    <row r="149" s="44" customFormat="1"/>
    <row r="150" s="44" customFormat="1"/>
    <row r="151" s="44" customFormat="1"/>
    <row r="152" s="44" customFormat="1"/>
    <row r="153" s="44" customFormat="1"/>
    <row r="154" s="44" customFormat="1"/>
    <row r="155" s="44" customFormat="1"/>
    <row r="156" s="44" customFormat="1"/>
    <row r="157" s="44" customFormat="1"/>
    <row r="158" s="44" customFormat="1"/>
    <row r="159" s="44" customFormat="1"/>
    <row r="160" s="44" customFormat="1"/>
    <row r="161" s="44" customFormat="1"/>
    <row r="162" s="44" customFormat="1"/>
    <row r="163" s="44" customFormat="1"/>
    <row r="164" s="44" customFormat="1"/>
    <row r="165" s="44" customFormat="1"/>
    <row r="166" s="44" customFormat="1"/>
    <row r="167" s="44" customFormat="1"/>
    <row r="168" s="44" customFormat="1"/>
    <row r="169" s="44" customFormat="1"/>
    <row r="170" s="44" customFormat="1"/>
    <row r="171" s="44" customFormat="1"/>
    <row r="172" s="44" customFormat="1"/>
    <row r="173" s="44" customFormat="1"/>
    <row r="174" s="44" customFormat="1"/>
    <row r="175" s="44" customFormat="1"/>
    <row r="176" s="44" customFormat="1"/>
    <row r="177" s="44" customFormat="1"/>
    <row r="178" s="44" customFormat="1"/>
    <row r="179" s="44" customFormat="1"/>
    <row r="180" s="44" customFormat="1"/>
    <row r="181" s="44" customFormat="1"/>
    <row r="182" s="44" customFormat="1"/>
    <row r="183" s="44" customFormat="1"/>
    <row r="184" s="44" customFormat="1"/>
    <row r="185" s="44" customFormat="1"/>
    <row r="186" s="44" customFormat="1"/>
    <row r="187" s="44" customFormat="1"/>
    <row r="188" s="44" customFormat="1"/>
    <row r="189" s="44" customFormat="1"/>
    <row r="190" s="44" customFormat="1"/>
    <row r="191" s="44" customFormat="1"/>
    <row r="192" s="44" customFormat="1"/>
    <row r="193" s="44" customFormat="1"/>
    <row r="194" s="44" customFormat="1"/>
    <row r="195" s="44" customFormat="1"/>
    <row r="196" s="44" customFormat="1"/>
    <row r="197" s="44" customFormat="1"/>
    <row r="198" s="44" customFormat="1"/>
    <row r="199" s="44" customFormat="1"/>
    <row r="200" s="44" customFormat="1"/>
    <row r="201" s="44" customFormat="1"/>
    <row r="202" s="44" customFormat="1"/>
    <row r="203" s="44" customFormat="1"/>
    <row r="204" s="44" customFormat="1"/>
    <row r="205" s="44" customFormat="1"/>
    <row r="206" s="44" customFormat="1"/>
    <row r="207" s="44" customFormat="1"/>
    <row r="208" s="44" customFormat="1"/>
    <row r="209" s="44" customFormat="1"/>
    <row r="210" s="44" customFormat="1"/>
    <row r="211" s="44" customFormat="1"/>
    <row r="212" s="44" customFormat="1"/>
    <row r="213" s="44" customFormat="1"/>
    <row r="214" s="44" customFormat="1"/>
    <row r="215" s="44" customFormat="1"/>
    <row r="216" s="44" customFormat="1"/>
    <row r="217" s="44" customFormat="1"/>
    <row r="218" s="44" customFormat="1"/>
    <row r="219" s="44" customFormat="1"/>
    <row r="220" s="44" customFormat="1"/>
    <row r="221" s="44" customFormat="1"/>
    <row r="222" s="44" customFormat="1"/>
    <row r="223" s="44" customFormat="1"/>
    <row r="224" s="44" customFormat="1"/>
    <row r="225" s="44" customFormat="1"/>
    <row r="226" s="44" customFormat="1"/>
    <row r="227" s="44" customFormat="1"/>
    <row r="228" s="44" customFormat="1"/>
    <row r="229" s="44" customFormat="1"/>
    <row r="230" s="44" customFormat="1"/>
    <row r="231" s="44" customFormat="1"/>
    <row r="232" s="44" customFormat="1"/>
    <row r="233" s="44" customFormat="1"/>
    <row r="234" s="44" customFormat="1"/>
    <row r="235" s="44" customFormat="1"/>
    <row r="236" s="44" customFormat="1"/>
    <row r="237" s="44" customFormat="1"/>
    <row r="238" s="44" customFormat="1"/>
    <row r="239" s="44" customFormat="1"/>
    <row r="240" s="44" customFormat="1"/>
    <row r="241" s="44" customFormat="1"/>
    <row r="242" s="44" customFormat="1"/>
    <row r="243" s="44" customFormat="1"/>
    <row r="244" s="44" customFormat="1"/>
    <row r="245" s="44" customFormat="1"/>
    <row r="246" s="44" customFormat="1"/>
    <row r="247" s="44" customFormat="1"/>
    <row r="248" s="44" customFormat="1"/>
    <row r="249" s="44" customFormat="1"/>
    <row r="250" s="44" customFormat="1"/>
    <row r="251" s="44" customFormat="1"/>
    <row r="252" s="44" customFormat="1"/>
    <row r="253" s="44" customFormat="1"/>
    <row r="254" s="44" customFormat="1"/>
    <row r="255" s="44" customFormat="1"/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254"/>
  <sheetViews>
    <sheetView zoomScale="80" zoomScaleNormal="80" workbookViewId="0">
      <selection activeCell="I28" sqref="I28"/>
    </sheetView>
  </sheetViews>
  <sheetFormatPr defaultColWidth="9" defaultRowHeight="14.25" outlineLevelCol="3"/>
  <cols>
    <col min="1" max="1" width="36" style="48" customWidth="1"/>
    <col min="2" max="2" width="11.125" style="414" customWidth="1"/>
    <col min="3" max="4" width="14.625" style="48" customWidth="1"/>
    <col min="5" max="5" width="9" style="247"/>
    <col min="6" max="6" width="12.625" style="247"/>
    <col min="7" max="16384" width="9" style="247"/>
  </cols>
  <sheetData>
    <row r="1" ht="28.5" customHeight="1" spans="1:4">
      <c r="A1" s="498" t="s">
        <v>103</v>
      </c>
      <c r="B1" s="498"/>
      <c r="C1" s="498"/>
      <c r="D1" s="86"/>
    </row>
    <row r="2" s="644" customFormat="1" ht="35.25" customHeight="1" spans="1:4">
      <c r="A2" s="645" t="s">
        <v>38</v>
      </c>
      <c r="B2" s="501" t="s">
        <v>104</v>
      </c>
      <c r="C2" s="646" t="s">
        <v>34</v>
      </c>
      <c r="D2" s="647" t="s">
        <v>5</v>
      </c>
    </row>
    <row r="3" ht="24.95" customHeight="1" spans="1:4">
      <c r="A3" s="648" t="s">
        <v>105</v>
      </c>
      <c r="B3" s="649" t="s">
        <v>106</v>
      </c>
      <c r="C3" s="650">
        <v>891</v>
      </c>
      <c r="D3" s="510">
        <v>1.8</v>
      </c>
    </row>
    <row r="4" ht="24.95" customHeight="1" spans="1:4">
      <c r="A4" s="648" t="s">
        <v>107</v>
      </c>
      <c r="B4" s="649" t="s">
        <v>106</v>
      </c>
      <c r="C4" s="650">
        <v>132</v>
      </c>
      <c r="D4" s="510">
        <v>5.6</v>
      </c>
    </row>
    <row r="5" ht="24.95" customHeight="1" spans="1:4">
      <c r="A5" s="648" t="s">
        <v>108</v>
      </c>
      <c r="B5" s="649" t="s">
        <v>7</v>
      </c>
      <c r="C5" s="466">
        <v>20.055</v>
      </c>
      <c r="D5" s="510">
        <v>60</v>
      </c>
    </row>
    <row r="6" ht="24.95" customHeight="1" spans="1:4">
      <c r="A6" s="648" t="s">
        <v>109</v>
      </c>
      <c r="B6" s="649" t="s">
        <v>7</v>
      </c>
      <c r="C6" s="466">
        <v>2392.7391</v>
      </c>
      <c r="D6" s="510">
        <v>7</v>
      </c>
    </row>
    <row r="7" ht="24.95" customHeight="1" spans="1:4">
      <c r="A7" s="648" t="s">
        <v>110</v>
      </c>
      <c r="B7" s="649" t="s">
        <v>7</v>
      </c>
      <c r="C7" s="466">
        <v>422.2561</v>
      </c>
      <c r="D7" s="510">
        <v>24.6</v>
      </c>
    </row>
    <row r="8" ht="24.95" customHeight="1" spans="1:4">
      <c r="A8" s="648" t="s">
        <v>111</v>
      </c>
      <c r="B8" s="649" t="s">
        <v>7</v>
      </c>
      <c r="C8" s="466">
        <v>232.6002</v>
      </c>
      <c r="D8" s="510">
        <v>39.7</v>
      </c>
    </row>
    <row r="9" ht="24.95" customHeight="1" spans="1:4">
      <c r="A9" s="648" t="s">
        <v>112</v>
      </c>
      <c r="B9" s="649" t="s">
        <v>7</v>
      </c>
      <c r="C9" s="466">
        <v>2630.6758</v>
      </c>
      <c r="D9" s="510">
        <v>3.3</v>
      </c>
    </row>
    <row r="10" ht="24.95" customHeight="1" spans="1:4">
      <c r="A10" s="648" t="s">
        <v>113</v>
      </c>
      <c r="B10" s="649" t="s">
        <v>7</v>
      </c>
      <c r="C10" s="466">
        <v>1734.0745</v>
      </c>
      <c r="D10" s="510">
        <v>-2.7</v>
      </c>
    </row>
    <row r="11" ht="24.95" customHeight="1" spans="1:4">
      <c r="A11" s="648" t="s">
        <v>114</v>
      </c>
      <c r="B11" s="649" t="s">
        <v>7</v>
      </c>
      <c r="C11" s="466">
        <v>161.1051</v>
      </c>
      <c r="D11" s="510">
        <v>-6.8</v>
      </c>
    </row>
    <row r="12" ht="24.95" customHeight="1" spans="1:4">
      <c r="A12" s="648" t="s">
        <v>115</v>
      </c>
      <c r="B12" s="649" t="s">
        <v>7</v>
      </c>
      <c r="C12" s="466">
        <v>80.1306</v>
      </c>
      <c r="D12" s="510">
        <v>-7.7</v>
      </c>
    </row>
    <row r="13" ht="24.95" customHeight="1" spans="1:4">
      <c r="A13" s="648" t="s">
        <v>116</v>
      </c>
      <c r="B13" s="649" t="s">
        <v>7</v>
      </c>
      <c r="C13" s="466">
        <v>33.1839</v>
      </c>
      <c r="D13" s="510">
        <v>13.9</v>
      </c>
    </row>
    <row r="14" ht="24.95" customHeight="1" spans="1:4">
      <c r="A14" s="648" t="s">
        <v>117</v>
      </c>
      <c r="B14" s="649" t="s">
        <v>118</v>
      </c>
      <c r="C14" s="466">
        <v>12.3979</v>
      </c>
      <c r="D14" s="510">
        <v>-7.9</v>
      </c>
    </row>
    <row r="15" ht="24.95" customHeight="1" spans="1:4">
      <c r="A15" s="651" t="s">
        <v>119</v>
      </c>
      <c r="B15" s="649" t="s">
        <v>28</v>
      </c>
      <c r="C15" s="652">
        <v>514.77</v>
      </c>
      <c r="D15" s="510">
        <v>89.2</v>
      </c>
    </row>
    <row r="16" ht="24.95" customHeight="1" spans="1:4">
      <c r="A16" s="648" t="s">
        <v>120</v>
      </c>
      <c r="B16" s="649" t="s">
        <v>28</v>
      </c>
      <c r="C16" s="652">
        <v>17.46</v>
      </c>
      <c r="D16" s="510">
        <v>2.8</v>
      </c>
    </row>
    <row r="17" ht="24.95" customHeight="1" spans="1:4">
      <c r="A17" s="648" t="s">
        <v>121</v>
      </c>
      <c r="B17" s="649" t="s">
        <v>28</v>
      </c>
      <c r="C17" s="652">
        <v>117.35</v>
      </c>
      <c r="D17" s="510">
        <v>-2.6</v>
      </c>
    </row>
    <row r="18" ht="24.95" customHeight="1" spans="1:4">
      <c r="A18" s="648" t="s">
        <v>122</v>
      </c>
      <c r="B18" s="649" t="s">
        <v>28</v>
      </c>
      <c r="C18" s="652">
        <v>65.92</v>
      </c>
      <c r="D18" s="510">
        <v>-4.1</v>
      </c>
    </row>
    <row r="19" ht="24.95" customHeight="1" spans="1:4">
      <c r="A19" s="648" t="s">
        <v>123</v>
      </c>
      <c r="B19" s="649" t="s">
        <v>124</v>
      </c>
      <c r="C19" s="522">
        <v>2.37</v>
      </c>
      <c r="D19" s="510">
        <v>0</v>
      </c>
    </row>
    <row r="20" ht="24.95" customHeight="1" spans="1:4">
      <c r="A20" s="648" t="s">
        <v>125</v>
      </c>
      <c r="B20" s="649" t="s">
        <v>28</v>
      </c>
      <c r="C20" s="652">
        <v>11.44</v>
      </c>
      <c r="D20" s="510">
        <v>2.9</v>
      </c>
    </row>
    <row r="21" ht="24.95" customHeight="1" spans="1:4">
      <c r="A21" s="648" t="s">
        <v>126</v>
      </c>
      <c r="B21" s="649" t="s">
        <v>127</v>
      </c>
      <c r="C21" s="466">
        <v>62.10464</v>
      </c>
      <c r="D21" s="510">
        <v>23.7</v>
      </c>
    </row>
    <row r="22" ht="24.95" customHeight="1" spans="1:4">
      <c r="A22" s="653" t="s">
        <v>128</v>
      </c>
      <c r="B22" s="654" t="s">
        <v>28</v>
      </c>
      <c r="C22" s="655">
        <v>98.58</v>
      </c>
      <c r="D22" s="526">
        <v>0.2</v>
      </c>
    </row>
    <row r="23" spans="1:4">
      <c r="A23" s="247"/>
      <c r="B23" s="247"/>
      <c r="C23" s="247"/>
      <c r="D23" s="247"/>
    </row>
    <row r="24" spans="1:4">
      <c r="A24" s="247"/>
      <c r="B24" s="247"/>
      <c r="C24" s="247"/>
      <c r="D24" s="247"/>
    </row>
    <row r="25" spans="1:4">
      <c r="A25" s="247"/>
      <c r="B25" s="247"/>
      <c r="C25" s="247"/>
      <c r="D25" s="247"/>
    </row>
    <row r="26" spans="1:4">
      <c r="A26" s="247"/>
      <c r="B26" s="247"/>
      <c r="C26" s="247"/>
      <c r="D26" s="247"/>
    </row>
    <row r="27" spans="1:4">
      <c r="A27" s="247"/>
      <c r="B27" s="247"/>
      <c r="C27" s="247"/>
      <c r="D27" s="247"/>
    </row>
    <row r="28" spans="1:4">
      <c r="A28" s="247"/>
      <c r="B28" s="247"/>
      <c r="C28" s="247"/>
      <c r="D28" s="247"/>
    </row>
    <row r="29" spans="1:4">
      <c r="A29" s="247"/>
      <c r="B29" s="247"/>
      <c r="C29" s="247"/>
      <c r="D29" s="247"/>
    </row>
    <row r="30" spans="1:4">
      <c r="A30" s="247"/>
      <c r="B30" s="247"/>
      <c r="C30" s="247"/>
      <c r="D30" s="247"/>
    </row>
    <row r="31" spans="1:4">
      <c r="A31" s="247"/>
      <c r="B31" s="247"/>
      <c r="C31" s="247"/>
      <c r="D31" s="247"/>
    </row>
    <row r="32" spans="1:4">
      <c r="A32" s="247"/>
      <c r="B32" s="247"/>
      <c r="C32" s="247"/>
      <c r="D32" s="247"/>
    </row>
    <row r="33" spans="1:4">
      <c r="A33" s="247"/>
      <c r="B33" s="247"/>
      <c r="C33" s="247"/>
      <c r="D33" s="247"/>
    </row>
    <row r="34" spans="1:4">
      <c r="A34" s="247"/>
      <c r="B34" s="247"/>
      <c r="C34" s="247"/>
      <c r="D34" s="247"/>
    </row>
    <row r="35" spans="1:4">
      <c r="A35" s="247"/>
      <c r="B35" s="247"/>
      <c r="C35" s="247"/>
      <c r="D35" s="247"/>
    </row>
    <row r="36" spans="1:4">
      <c r="A36" s="247"/>
      <c r="B36" s="247"/>
      <c r="C36" s="247"/>
      <c r="D36" s="247"/>
    </row>
    <row r="37" spans="1:4">
      <c r="A37" s="247"/>
      <c r="B37" s="247"/>
      <c r="C37" s="247"/>
      <c r="D37" s="247"/>
    </row>
    <row r="38" spans="1:4">
      <c r="A38" s="247"/>
      <c r="B38" s="247"/>
      <c r="C38" s="247"/>
      <c r="D38" s="247"/>
    </row>
    <row r="39" spans="1:4">
      <c r="A39" s="247"/>
      <c r="B39" s="247"/>
      <c r="C39" s="247"/>
      <c r="D39" s="247"/>
    </row>
    <row r="40" spans="1:4">
      <c r="A40" s="247"/>
      <c r="B40" s="247"/>
      <c r="C40" s="247"/>
      <c r="D40" s="247"/>
    </row>
    <row r="41" spans="1:4">
      <c r="A41" s="247"/>
      <c r="B41" s="247"/>
      <c r="C41" s="247"/>
      <c r="D41" s="247"/>
    </row>
    <row r="42" spans="1:4">
      <c r="A42" s="247"/>
      <c r="B42" s="247"/>
      <c r="C42" s="247"/>
      <c r="D42" s="247"/>
    </row>
    <row r="43" spans="1:4">
      <c r="A43" s="247"/>
      <c r="B43" s="247"/>
      <c r="C43" s="247"/>
      <c r="D43" s="247"/>
    </row>
    <row r="44" spans="1:4">
      <c r="A44" s="247"/>
      <c r="B44" s="247"/>
      <c r="C44" s="247"/>
      <c r="D44" s="247"/>
    </row>
    <row r="45" spans="1:4">
      <c r="A45" s="247"/>
      <c r="B45" s="247"/>
      <c r="C45" s="247"/>
      <c r="D45" s="247"/>
    </row>
    <row r="46" spans="1:4">
      <c r="A46" s="247"/>
      <c r="B46" s="247"/>
      <c r="C46" s="247"/>
      <c r="D46" s="247"/>
    </row>
    <row r="47" spans="1:4">
      <c r="A47" s="247"/>
      <c r="B47" s="247"/>
      <c r="C47" s="247"/>
      <c r="D47" s="247"/>
    </row>
    <row r="48" spans="1:4">
      <c r="A48" s="247"/>
      <c r="B48" s="247"/>
      <c r="C48" s="247"/>
      <c r="D48" s="247"/>
    </row>
    <row r="49" spans="1:4">
      <c r="A49" s="247"/>
      <c r="B49" s="247"/>
      <c r="C49" s="247"/>
      <c r="D49" s="247"/>
    </row>
    <row r="50" spans="1:4">
      <c r="A50" s="247"/>
      <c r="B50" s="247"/>
      <c r="C50" s="247"/>
      <c r="D50" s="247"/>
    </row>
    <row r="51" spans="1:4">
      <c r="A51" s="247"/>
      <c r="B51" s="247"/>
      <c r="C51" s="247"/>
      <c r="D51" s="247"/>
    </row>
    <row r="52" spans="1:4">
      <c r="A52" s="247"/>
      <c r="B52" s="247"/>
      <c r="C52" s="247"/>
      <c r="D52" s="247"/>
    </row>
    <row r="53" spans="1:4">
      <c r="A53" s="247"/>
      <c r="B53" s="247"/>
      <c r="C53" s="247"/>
      <c r="D53" s="247"/>
    </row>
    <row r="54" spans="1:4">
      <c r="A54" s="247"/>
      <c r="B54" s="247"/>
      <c r="C54" s="247"/>
      <c r="D54" s="247"/>
    </row>
    <row r="55" spans="1:4">
      <c r="A55" s="247"/>
      <c r="B55" s="247"/>
      <c r="C55" s="247"/>
      <c r="D55" s="247"/>
    </row>
    <row r="56" spans="1:4">
      <c r="A56" s="247"/>
      <c r="B56" s="247"/>
      <c r="C56" s="247"/>
      <c r="D56" s="247"/>
    </row>
    <row r="57" spans="1:4">
      <c r="A57" s="247"/>
      <c r="B57" s="247"/>
      <c r="C57" s="247"/>
      <c r="D57" s="247"/>
    </row>
    <row r="58" spans="1:4">
      <c r="A58" s="247"/>
      <c r="B58" s="247"/>
      <c r="C58" s="247"/>
      <c r="D58" s="247"/>
    </row>
    <row r="59" spans="1:4">
      <c r="A59" s="247"/>
      <c r="B59" s="247"/>
      <c r="C59" s="247"/>
      <c r="D59" s="247"/>
    </row>
    <row r="60" spans="1:4">
      <c r="A60" s="247"/>
      <c r="B60" s="247"/>
      <c r="C60" s="247"/>
      <c r="D60" s="247"/>
    </row>
    <row r="61" spans="1:4">
      <c r="A61" s="247"/>
      <c r="B61" s="247"/>
      <c r="C61" s="247"/>
      <c r="D61" s="247"/>
    </row>
    <row r="62" spans="1:4">
      <c r="A62" s="247"/>
      <c r="B62" s="247"/>
      <c r="C62" s="247"/>
      <c r="D62" s="247"/>
    </row>
    <row r="63" spans="1:4">
      <c r="A63" s="247"/>
      <c r="B63" s="247"/>
      <c r="C63" s="247"/>
      <c r="D63" s="247"/>
    </row>
    <row r="64" spans="1:4">
      <c r="A64" s="247"/>
      <c r="B64" s="247"/>
      <c r="C64" s="247"/>
      <c r="D64" s="247"/>
    </row>
    <row r="65" spans="1:4">
      <c r="A65" s="247"/>
      <c r="B65" s="247"/>
      <c r="C65" s="247"/>
      <c r="D65" s="247"/>
    </row>
    <row r="66" spans="1:4">
      <c r="A66" s="247"/>
      <c r="B66" s="247"/>
      <c r="C66" s="247"/>
      <c r="D66" s="247"/>
    </row>
    <row r="67" spans="1:4">
      <c r="A67" s="247"/>
      <c r="B67" s="247"/>
      <c r="C67" s="247"/>
      <c r="D67" s="247"/>
    </row>
    <row r="68" spans="1:4">
      <c r="A68" s="247"/>
      <c r="B68" s="247"/>
      <c r="C68" s="247"/>
      <c r="D68" s="247"/>
    </row>
    <row r="69" spans="1:4">
      <c r="A69" s="247"/>
      <c r="B69" s="247"/>
      <c r="C69" s="247"/>
      <c r="D69" s="247"/>
    </row>
    <row r="70" spans="1:4">
      <c r="A70" s="247"/>
      <c r="B70" s="247"/>
      <c r="C70" s="247"/>
      <c r="D70" s="247"/>
    </row>
    <row r="71" spans="1:4">
      <c r="A71" s="247"/>
      <c r="B71" s="247"/>
      <c r="C71" s="247"/>
      <c r="D71" s="247"/>
    </row>
    <row r="72" spans="1:4">
      <c r="A72" s="247"/>
      <c r="B72" s="247"/>
      <c r="C72" s="247"/>
      <c r="D72" s="247"/>
    </row>
    <row r="73" spans="1:4">
      <c r="A73" s="247"/>
      <c r="B73" s="247"/>
      <c r="C73" s="247"/>
      <c r="D73" s="247"/>
    </row>
    <row r="74" spans="1:4">
      <c r="A74" s="247"/>
      <c r="B74" s="247"/>
      <c r="C74" s="247"/>
      <c r="D74" s="247"/>
    </row>
    <row r="75" spans="1:4">
      <c r="A75" s="247"/>
      <c r="B75" s="247"/>
      <c r="C75" s="247"/>
      <c r="D75" s="247"/>
    </row>
    <row r="76" spans="1:4">
      <c r="A76" s="247"/>
      <c r="B76" s="247"/>
      <c r="C76" s="247"/>
      <c r="D76" s="247"/>
    </row>
    <row r="77" spans="1:4">
      <c r="A77" s="247"/>
      <c r="B77" s="247"/>
      <c r="C77" s="247"/>
      <c r="D77" s="247"/>
    </row>
    <row r="78" spans="1:4">
      <c r="A78" s="247"/>
      <c r="B78" s="247"/>
      <c r="C78" s="247"/>
      <c r="D78" s="247"/>
    </row>
    <row r="79" spans="1:4">
      <c r="A79" s="247"/>
      <c r="B79" s="247"/>
      <c r="C79" s="247"/>
      <c r="D79" s="247"/>
    </row>
    <row r="80" spans="1:4">
      <c r="A80" s="247"/>
      <c r="B80" s="247"/>
      <c r="C80" s="247"/>
      <c r="D80" s="247"/>
    </row>
    <row r="81" spans="1:4">
      <c r="A81" s="247"/>
      <c r="B81" s="247"/>
      <c r="C81" s="247"/>
      <c r="D81" s="247"/>
    </row>
    <row r="82" spans="1:4">
      <c r="A82" s="247"/>
      <c r="B82" s="247"/>
      <c r="C82" s="247"/>
      <c r="D82" s="247"/>
    </row>
    <row r="83" spans="1:4">
      <c r="A83" s="247"/>
      <c r="B83" s="247"/>
      <c r="C83" s="247"/>
      <c r="D83" s="247"/>
    </row>
    <row r="84" spans="1:4">
      <c r="A84" s="247"/>
      <c r="B84" s="247"/>
      <c r="C84" s="247"/>
      <c r="D84" s="247"/>
    </row>
    <row r="85" spans="1:4">
      <c r="A85" s="247"/>
      <c r="B85" s="247"/>
      <c r="C85" s="247"/>
      <c r="D85" s="247"/>
    </row>
    <row r="86" spans="1:4">
      <c r="A86" s="247"/>
      <c r="B86" s="247"/>
      <c r="C86" s="247"/>
      <c r="D86" s="247"/>
    </row>
    <row r="87" spans="1:4">
      <c r="A87" s="247"/>
      <c r="B87" s="247"/>
      <c r="C87" s="247"/>
      <c r="D87" s="247"/>
    </row>
    <row r="88" spans="1:4">
      <c r="A88" s="247"/>
      <c r="B88" s="247"/>
      <c r="C88" s="247"/>
      <c r="D88" s="247"/>
    </row>
    <row r="89" spans="1:4">
      <c r="A89" s="247"/>
      <c r="B89" s="247"/>
      <c r="C89" s="247"/>
      <c r="D89" s="247"/>
    </row>
    <row r="90" spans="1:4">
      <c r="A90" s="247"/>
      <c r="B90" s="247"/>
      <c r="C90" s="247"/>
      <c r="D90" s="247"/>
    </row>
    <row r="91" spans="1:4">
      <c r="A91" s="247"/>
      <c r="B91" s="247"/>
      <c r="C91" s="247"/>
      <c r="D91" s="247"/>
    </row>
    <row r="92" spans="1:4">
      <c r="A92" s="247"/>
      <c r="B92" s="247"/>
      <c r="C92" s="247"/>
      <c r="D92" s="247"/>
    </row>
    <row r="93" spans="1:4">
      <c r="A93" s="247"/>
      <c r="B93" s="247"/>
      <c r="C93" s="247"/>
      <c r="D93" s="247"/>
    </row>
    <row r="94" spans="1:4">
      <c r="A94" s="247"/>
      <c r="B94" s="247"/>
      <c r="C94" s="247"/>
      <c r="D94" s="247"/>
    </row>
    <row r="95" spans="1:4">
      <c r="A95" s="247"/>
      <c r="B95" s="247"/>
      <c r="C95" s="247"/>
      <c r="D95" s="247"/>
    </row>
    <row r="96" spans="1:4">
      <c r="A96" s="247"/>
      <c r="B96" s="247"/>
      <c r="C96" s="247"/>
      <c r="D96" s="247"/>
    </row>
    <row r="97" spans="1:4">
      <c r="A97" s="247"/>
      <c r="B97" s="247"/>
      <c r="C97" s="247"/>
      <c r="D97" s="247"/>
    </row>
    <row r="98" spans="1:4">
      <c r="A98" s="247"/>
      <c r="B98" s="247"/>
      <c r="C98" s="247"/>
      <c r="D98" s="247"/>
    </row>
    <row r="99" spans="1:4">
      <c r="A99" s="247"/>
      <c r="B99" s="247"/>
      <c r="C99" s="247"/>
      <c r="D99" s="247"/>
    </row>
    <row r="100" spans="1:4">
      <c r="A100" s="247"/>
      <c r="B100" s="247"/>
      <c r="C100" s="247"/>
      <c r="D100" s="247"/>
    </row>
    <row r="101" spans="1:4">
      <c r="A101" s="247"/>
      <c r="B101" s="247"/>
      <c r="C101" s="247"/>
      <c r="D101" s="247"/>
    </row>
    <row r="102" spans="1:4">
      <c r="A102" s="247"/>
      <c r="B102" s="247"/>
      <c r="C102" s="247"/>
      <c r="D102" s="247"/>
    </row>
    <row r="103" spans="1:4">
      <c r="A103" s="247"/>
      <c r="B103" s="247"/>
      <c r="C103" s="247"/>
      <c r="D103" s="247"/>
    </row>
    <row r="104" spans="1:4">
      <c r="A104" s="247"/>
      <c r="B104" s="247"/>
      <c r="C104" s="247"/>
      <c r="D104" s="247"/>
    </row>
    <row r="105" spans="1:4">
      <c r="A105" s="247"/>
      <c r="B105" s="247"/>
      <c r="C105" s="247"/>
      <c r="D105" s="247"/>
    </row>
    <row r="106" spans="1:4">
      <c r="A106" s="247"/>
      <c r="B106" s="247"/>
      <c r="C106" s="247"/>
      <c r="D106" s="247"/>
    </row>
    <row r="107" spans="1:4">
      <c r="A107" s="247"/>
      <c r="B107" s="247"/>
      <c r="C107" s="247"/>
      <c r="D107" s="247"/>
    </row>
    <row r="108" spans="1:4">
      <c r="A108" s="247"/>
      <c r="B108" s="247"/>
      <c r="C108" s="247"/>
      <c r="D108" s="247"/>
    </row>
    <row r="109" spans="1:4">
      <c r="A109" s="247"/>
      <c r="B109" s="247"/>
      <c r="C109" s="247"/>
      <c r="D109" s="247"/>
    </row>
    <row r="110" spans="1:4">
      <c r="A110" s="247"/>
      <c r="B110" s="247"/>
      <c r="C110" s="247"/>
      <c r="D110" s="247"/>
    </row>
    <row r="111" spans="1:4">
      <c r="A111" s="247"/>
      <c r="B111" s="247"/>
      <c r="C111" s="247"/>
      <c r="D111" s="247"/>
    </row>
    <row r="112" spans="1:4">
      <c r="A112" s="247"/>
      <c r="B112" s="247"/>
      <c r="C112" s="247"/>
      <c r="D112" s="247"/>
    </row>
    <row r="113" spans="1:4">
      <c r="A113" s="247"/>
      <c r="B113" s="247"/>
      <c r="C113" s="247"/>
      <c r="D113" s="247"/>
    </row>
    <row r="114" spans="1:4">
      <c r="A114" s="247"/>
      <c r="B114" s="247"/>
      <c r="C114" s="247"/>
      <c r="D114" s="247"/>
    </row>
    <row r="115" spans="1:4">
      <c r="A115" s="247"/>
      <c r="B115" s="247"/>
      <c r="C115" s="247"/>
      <c r="D115" s="247"/>
    </row>
    <row r="116" spans="1:4">
      <c r="A116" s="247"/>
      <c r="B116" s="247"/>
      <c r="C116" s="247"/>
      <c r="D116" s="247"/>
    </row>
    <row r="117" spans="1:4">
      <c r="A117" s="247"/>
      <c r="B117" s="247"/>
      <c r="C117" s="247"/>
      <c r="D117" s="247"/>
    </row>
    <row r="118" spans="1:4">
      <c r="A118" s="247"/>
      <c r="B118" s="247"/>
      <c r="C118" s="247"/>
      <c r="D118" s="247"/>
    </row>
    <row r="119" spans="1:4">
      <c r="A119" s="247"/>
      <c r="B119" s="247"/>
      <c r="C119" s="247"/>
      <c r="D119" s="247"/>
    </row>
    <row r="120" spans="1:4">
      <c r="A120" s="247"/>
      <c r="B120" s="247"/>
      <c r="C120" s="247"/>
      <c r="D120" s="247"/>
    </row>
    <row r="121" spans="1:4">
      <c r="A121" s="247"/>
      <c r="B121" s="247"/>
      <c r="C121" s="247"/>
      <c r="D121" s="247"/>
    </row>
    <row r="122" spans="1:4">
      <c r="A122" s="247"/>
      <c r="B122" s="247"/>
      <c r="C122" s="247"/>
      <c r="D122" s="247"/>
    </row>
    <row r="123" spans="1:4">
      <c r="A123" s="247"/>
      <c r="B123" s="247"/>
      <c r="C123" s="247"/>
      <c r="D123" s="247"/>
    </row>
    <row r="124" spans="1:4">
      <c r="A124" s="247"/>
      <c r="B124" s="247"/>
      <c r="C124" s="247"/>
      <c r="D124" s="247"/>
    </row>
    <row r="125" spans="1:4">
      <c r="A125" s="247"/>
      <c r="B125" s="247"/>
      <c r="C125" s="247"/>
      <c r="D125" s="247"/>
    </row>
    <row r="126" spans="1:4">
      <c r="A126" s="247"/>
      <c r="B126" s="247"/>
      <c r="C126" s="247"/>
      <c r="D126" s="247"/>
    </row>
    <row r="127" spans="1:4">
      <c r="A127" s="247"/>
      <c r="B127" s="247"/>
      <c r="C127" s="247"/>
      <c r="D127" s="247"/>
    </row>
    <row r="128" spans="1:4">
      <c r="A128" s="247"/>
      <c r="B128" s="247"/>
      <c r="C128" s="247"/>
      <c r="D128" s="247"/>
    </row>
    <row r="129" spans="1:4">
      <c r="A129" s="247"/>
      <c r="B129" s="247"/>
      <c r="C129" s="247"/>
      <c r="D129" s="247"/>
    </row>
    <row r="130" spans="1:4">
      <c r="A130" s="247"/>
      <c r="B130" s="247"/>
      <c r="C130" s="247"/>
      <c r="D130" s="247"/>
    </row>
    <row r="131" spans="1:4">
      <c r="A131" s="247"/>
      <c r="B131" s="247"/>
      <c r="C131" s="247"/>
      <c r="D131" s="247"/>
    </row>
    <row r="132" spans="1:4">
      <c r="A132" s="247"/>
      <c r="B132" s="247"/>
      <c r="C132" s="247"/>
      <c r="D132" s="247"/>
    </row>
    <row r="133" spans="1:4">
      <c r="A133" s="247"/>
      <c r="B133" s="247"/>
      <c r="C133" s="247"/>
      <c r="D133" s="247"/>
    </row>
    <row r="134" spans="1:4">
      <c r="A134" s="247"/>
      <c r="B134" s="247"/>
      <c r="C134" s="247"/>
      <c r="D134" s="247"/>
    </row>
    <row r="135" spans="1:4">
      <c r="A135" s="247"/>
      <c r="B135" s="247"/>
      <c r="C135" s="247"/>
      <c r="D135" s="247"/>
    </row>
    <row r="136" spans="1:4">
      <c r="A136" s="247"/>
      <c r="B136" s="247"/>
      <c r="C136" s="247"/>
      <c r="D136" s="247"/>
    </row>
    <row r="137" spans="1:4">
      <c r="A137" s="247"/>
      <c r="B137" s="247"/>
      <c r="C137" s="247"/>
      <c r="D137" s="247"/>
    </row>
    <row r="138" spans="1:4">
      <c r="A138" s="247"/>
      <c r="B138" s="247"/>
      <c r="C138" s="247"/>
      <c r="D138" s="247"/>
    </row>
    <row r="139" spans="1:4">
      <c r="A139" s="247"/>
      <c r="B139" s="247"/>
      <c r="C139" s="247"/>
      <c r="D139" s="247"/>
    </row>
    <row r="140" spans="1:4">
      <c r="A140" s="247"/>
      <c r="B140" s="247"/>
      <c r="C140" s="247"/>
      <c r="D140" s="247"/>
    </row>
    <row r="141" spans="1:4">
      <c r="A141" s="247"/>
      <c r="B141" s="247"/>
      <c r="C141" s="247"/>
      <c r="D141" s="247"/>
    </row>
    <row r="142" spans="1:4">
      <c r="A142" s="247"/>
      <c r="B142" s="247"/>
      <c r="C142" s="247"/>
      <c r="D142" s="247"/>
    </row>
    <row r="143" spans="1:4">
      <c r="A143" s="247"/>
      <c r="B143" s="247"/>
      <c r="C143" s="247"/>
      <c r="D143" s="247"/>
    </row>
    <row r="144" spans="1:4">
      <c r="A144" s="247"/>
      <c r="B144" s="247"/>
      <c r="C144" s="247"/>
      <c r="D144" s="247"/>
    </row>
    <row r="145" spans="1:4">
      <c r="A145" s="247"/>
      <c r="B145" s="247"/>
      <c r="C145" s="247"/>
      <c r="D145" s="247"/>
    </row>
    <row r="146" spans="1:4">
      <c r="A146" s="247"/>
      <c r="B146" s="247"/>
      <c r="C146" s="247"/>
      <c r="D146" s="247"/>
    </row>
    <row r="147" spans="1:4">
      <c r="A147" s="247"/>
      <c r="B147" s="247"/>
      <c r="C147" s="247"/>
      <c r="D147" s="247"/>
    </row>
    <row r="148" spans="1:4">
      <c r="A148" s="247"/>
      <c r="B148" s="247"/>
      <c r="C148" s="247"/>
      <c r="D148" s="247"/>
    </row>
    <row r="149" spans="1:4">
      <c r="A149" s="247"/>
      <c r="B149" s="247"/>
      <c r="C149" s="247"/>
      <c r="D149" s="247"/>
    </row>
    <row r="150" spans="1:4">
      <c r="A150" s="247"/>
      <c r="B150" s="247"/>
      <c r="C150" s="247"/>
      <c r="D150" s="247"/>
    </row>
    <row r="151" spans="1:4">
      <c r="A151" s="247"/>
      <c r="B151" s="247"/>
      <c r="C151" s="247"/>
      <c r="D151" s="247"/>
    </row>
    <row r="152" spans="1:4">
      <c r="A152" s="247"/>
      <c r="B152" s="247"/>
      <c r="C152" s="247"/>
      <c r="D152" s="247"/>
    </row>
    <row r="153" spans="1:4">
      <c r="A153" s="247"/>
      <c r="B153" s="247"/>
      <c r="C153" s="247"/>
      <c r="D153" s="247"/>
    </row>
    <row r="154" spans="1:4">
      <c r="A154" s="247"/>
      <c r="B154" s="247"/>
      <c r="C154" s="247"/>
      <c r="D154" s="247"/>
    </row>
    <row r="155" spans="1:4">
      <c r="A155" s="247"/>
      <c r="B155" s="247"/>
      <c r="C155" s="247"/>
      <c r="D155" s="247"/>
    </row>
    <row r="156" spans="1:4">
      <c r="A156" s="247"/>
      <c r="B156" s="247"/>
      <c r="C156" s="247"/>
      <c r="D156" s="247"/>
    </row>
    <row r="157" spans="1:4">
      <c r="A157" s="247"/>
      <c r="B157" s="247"/>
      <c r="C157" s="247"/>
      <c r="D157" s="247"/>
    </row>
    <row r="158" spans="1:4">
      <c r="A158" s="247"/>
      <c r="B158" s="247"/>
      <c r="C158" s="247"/>
      <c r="D158" s="247"/>
    </row>
    <row r="159" spans="1:4">
      <c r="A159" s="247"/>
      <c r="B159" s="247"/>
      <c r="C159" s="247"/>
      <c r="D159" s="247"/>
    </row>
    <row r="160" spans="1:4">
      <c r="A160" s="247"/>
      <c r="B160" s="247"/>
      <c r="C160" s="247"/>
      <c r="D160" s="247"/>
    </row>
    <row r="161" spans="1:4">
      <c r="A161" s="247"/>
      <c r="B161" s="247"/>
      <c r="C161" s="247"/>
      <c r="D161" s="247"/>
    </row>
    <row r="162" spans="1:4">
      <c r="A162" s="247"/>
      <c r="B162" s="247"/>
      <c r="C162" s="247"/>
      <c r="D162" s="247"/>
    </row>
    <row r="163" spans="1:4">
      <c r="A163" s="247"/>
      <c r="B163" s="247"/>
      <c r="C163" s="247"/>
      <c r="D163" s="247"/>
    </row>
    <row r="164" spans="1:4">
      <c r="A164" s="247"/>
      <c r="B164" s="247"/>
      <c r="C164" s="247"/>
      <c r="D164" s="247"/>
    </row>
    <row r="165" spans="1:4">
      <c r="A165" s="247"/>
      <c r="B165" s="247"/>
      <c r="C165" s="247"/>
      <c r="D165" s="247"/>
    </row>
    <row r="166" spans="1:4">
      <c r="A166" s="247"/>
      <c r="B166" s="247"/>
      <c r="C166" s="247"/>
      <c r="D166" s="247"/>
    </row>
    <row r="167" spans="1:4">
      <c r="A167" s="247"/>
      <c r="B167" s="247"/>
      <c r="C167" s="247"/>
      <c r="D167" s="247"/>
    </row>
    <row r="168" spans="1:4">
      <c r="A168" s="247"/>
      <c r="B168" s="247"/>
      <c r="C168" s="247"/>
      <c r="D168" s="247"/>
    </row>
    <row r="169" spans="1:4">
      <c r="A169" s="247"/>
      <c r="B169" s="247"/>
      <c r="C169" s="247"/>
      <c r="D169" s="247"/>
    </row>
    <row r="170" spans="1:4">
      <c r="A170" s="247"/>
      <c r="B170" s="247"/>
      <c r="C170" s="247"/>
      <c r="D170" s="247"/>
    </row>
    <row r="171" spans="1:4">
      <c r="A171" s="247"/>
      <c r="B171" s="247"/>
      <c r="C171" s="247"/>
      <c r="D171" s="247"/>
    </row>
    <row r="172" spans="1:4">
      <c r="A172" s="247"/>
      <c r="B172" s="247"/>
      <c r="C172" s="247"/>
      <c r="D172" s="247"/>
    </row>
    <row r="173" spans="1:4">
      <c r="A173" s="247"/>
      <c r="B173" s="247"/>
      <c r="C173" s="247"/>
      <c r="D173" s="247"/>
    </row>
    <row r="174" spans="1:4">
      <c r="A174" s="247"/>
      <c r="B174" s="247"/>
      <c r="C174" s="247"/>
      <c r="D174" s="247"/>
    </row>
    <row r="175" spans="1:4">
      <c r="A175" s="247"/>
      <c r="B175" s="247"/>
      <c r="C175" s="247"/>
      <c r="D175" s="247"/>
    </row>
    <row r="176" spans="1:4">
      <c r="A176" s="247"/>
      <c r="B176" s="247"/>
      <c r="C176" s="247"/>
      <c r="D176" s="247"/>
    </row>
    <row r="177" spans="1:4">
      <c r="A177" s="247"/>
      <c r="B177" s="247"/>
      <c r="C177" s="247"/>
      <c r="D177" s="247"/>
    </row>
    <row r="178" spans="1:4">
      <c r="A178" s="247"/>
      <c r="B178" s="247"/>
      <c r="C178" s="247"/>
      <c r="D178" s="247"/>
    </row>
    <row r="179" spans="1:4">
      <c r="A179" s="247"/>
      <c r="B179" s="247"/>
      <c r="C179" s="247"/>
      <c r="D179" s="247"/>
    </row>
    <row r="180" spans="1:4">
      <c r="A180" s="247"/>
      <c r="B180" s="247"/>
      <c r="C180" s="247"/>
      <c r="D180" s="247"/>
    </row>
    <row r="181" spans="1:4">
      <c r="A181" s="247"/>
      <c r="B181" s="247"/>
      <c r="C181" s="247"/>
      <c r="D181" s="247"/>
    </row>
    <row r="182" spans="1:4">
      <c r="A182" s="247"/>
      <c r="B182" s="247"/>
      <c r="C182" s="247"/>
      <c r="D182" s="247"/>
    </row>
    <row r="183" spans="1:4">
      <c r="A183" s="247"/>
      <c r="B183" s="247"/>
      <c r="C183" s="247"/>
      <c r="D183" s="247"/>
    </row>
    <row r="184" spans="1:4">
      <c r="A184" s="247"/>
      <c r="B184" s="247"/>
      <c r="C184" s="247"/>
      <c r="D184" s="247"/>
    </row>
    <row r="185" spans="1:4">
      <c r="A185" s="247"/>
      <c r="B185" s="247"/>
      <c r="C185" s="247"/>
      <c r="D185" s="247"/>
    </row>
    <row r="186" spans="1:4">
      <c r="A186" s="247"/>
      <c r="B186" s="247"/>
      <c r="C186" s="247"/>
      <c r="D186" s="247"/>
    </row>
    <row r="187" spans="1:4">
      <c r="A187" s="247"/>
      <c r="B187" s="247"/>
      <c r="C187" s="247"/>
      <c r="D187" s="247"/>
    </row>
    <row r="188" spans="1:4">
      <c r="A188" s="247"/>
      <c r="B188" s="247"/>
      <c r="C188" s="247"/>
      <c r="D188" s="247"/>
    </row>
    <row r="189" spans="1:4">
      <c r="A189" s="247"/>
      <c r="B189" s="247"/>
      <c r="C189" s="247"/>
      <c r="D189" s="247"/>
    </row>
    <row r="190" spans="1:4">
      <c r="A190" s="247"/>
      <c r="B190" s="247"/>
      <c r="C190" s="247"/>
      <c r="D190" s="247"/>
    </row>
    <row r="191" spans="1:4">
      <c r="A191" s="247"/>
      <c r="B191" s="247"/>
      <c r="C191" s="247"/>
      <c r="D191" s="247"/>
    </row>
    <row r="192" spans="1:4">
      <c r="A192" s="247"/>
      <c r="B192" s="247"/>
      <c r="C192" s="247"/>
      <c r="D192" s="247"/>
    </row>
    <row r="193" spans="1:4">
      <c r="A193" s="247"/>
      <c r="B193" s="247"/>
      <c r="C193" s="247"/>
      <c r="D193" s="247"/>
    </row>
    <row r="194" spans="1:4">
      <c r="A194" s="247"/>
      <c r="B194" s="247"/>
      <c r="C194" s="247"/>
      <c r="D194" s="247"/>
    </row>
    <row r="195" spans="1:4">
      <c r="A195" s="247"/>
      <c r="B195" s="247"/>
      <c r="C195" s="247"/>
      <c r="D195" s="247"/>
    </row>
    <row r="196" spans="1:4">
      <c r="A196" s="247"/>
      <c r="B196" s="247"/>
      <c r="C196" s="247"/>
      <c r="D196" s="247"/>
    </row>
    <row r="197" spans="1:4">
      <c r="A197" s="247"/>
      <c r="B197" s="247"/>
      <c r="C197" s="247"/>
      <c r="D197" s="247"/>
    </row>
    <row r="198" spans="1:4">
      <c r="A198" s="247"/>
      <c r="B198" s="247"/>
      <c r="C198" s="247"/>
      <c r="D198" s="247"/>
    </row>
    <row r="199" spans="1:4">
      <c r="A199" s="247"/>
      <c r="B199" s="247"/>
      <c r="C199" s="247"/>
      <c r="D199" s="247"/>
    </row>
    <row r="200" spans="1:4">
      <c r="A200" s="247"/>
      <c r="B200" s="247"/>
      <c r="C200" s="247"/>
      <c r="D200" s="247"/>
    </row>
    <row r="201" spans="1:4">
      <c r="A201" s="247"/>
      <c r="B201" s="247"/>
      <c r="C201" s="247"/>
      <c r="D201" s="247"/>
    </row>
    <row r="202" spans="1:4">
      <c r="A202" s="247"/>
      <c r="B202" s="247"/>
      <c r="C202" s="247"/>
      <c r="D202" s="247"/>
    </row>
    <row r="203" spans="1:4">
      <c r="A203" s="247"/>
      <c r="B203" s="247"/>
      <c r="C203" s="247"/>
      <c r="D203" s="247"/>
    </row>
    <row r="204" spans="1:4">
      <c r="A204" s="247"/>
      <c r="B204" s="247"/>
      <c r="C204" s="247"/>
      <c r="D204" s="247"/>
    </row>
    <row r="205" spans="1:4">
      <c r="A205" s="247"/>
      <c r="B205" s="247"/>
      <c r="C205" s="247"/>
      <c r="D205" s="247"/>
    </row>
    <row r="206" spans="1:4">
      <c r="A206" s="247"/>
      <c r="B206" s="247"/>
      <c r="C206" s="247"/>
      <c r="D206" s="247"/>
    </row>
    <row r="207" spans="1:4">
      <c r="A207" s="247"/>
      <c r="B207" s="247"/>
      <c r="C207" s="247"/>
      <c r="D207" s="247"/>
    </row>
    <row r="208" spans="1:4">
      <c r="A208" s="247"/>
      <c r="B208" s="247"/>
      <c r="C208" s="247"/>
      <c r="D208" s="247"/>
    </row>
    <row r="209" spans="1:4">
      <c r="A209" s="247"/>
      <c r="B209" s="247"/>
      <c r="C209" s="247"/>
      <c r="D209" s="247"/>
    </row>
    <row r="210" spans="1:4">
      <c r="A210" s="247"/>
      <c r="B210" s="247"/>
      <c r="C210" s="247"/>
      <c r="D210" s="247"/>
    </row>
    <row r="211" spans="1:4">
      <c r="A211" s="247"/>
      <c r="B211" s="247"/>
      <c r="C211" s="247"/>
      <c r="D211" s="247"/>
    </row>
    <row r="212" spans="1:4">
      <c r="A212" s="247"/>
      <c r="B212" s="247"/>
      <c r="C212" s="247"/>
      <c r="D212" s="247"/>
    </row>
    <row r="213" spans="1:4">
      <c r="A213" s="247"/>
      <c r="B213" s="247"/>
      <c r="C213" s="247"/>
      <c r="D213" s="247"/>
    </row>
    <row r="214" spans="1:4">
      <c r="A214" s="247"/>
      <c r="B214" s="247"/>
      <c r="C214" s="247"/>
      <c r="D214" s="247"/>
    </row>
    <row r="215" spans="1:4">
      <c r="A215" s="247"/>
      <c r="B215" s="247"/>
      <c r="C215" s="247"/>
      <c r="D215" s="247"/>
    </row>
    <row r="216" spans="1:4">
      <c r="A216" s="247"/>
      <c r="B216" s="247"/>
      <c r="C216" s="247"/>
      <c r="D216" s="247"/>
    </row>
    <row r="217" spans="1:4">
      <c r="A217" s="247"/>
      <c r="B217" s="247"/>
      <c r="C217" s="247"/>
      <c r="D217" s="247"/>
    </row>
    <row r="218" spans="1:4">
      <c r="A218" s="247"/>
      <c r="B218" s="247"/>
      <c r="C218" s="247"/>
      <c r="D218" s="247"/>
    </row>
    <row r="219" spans="1:4">
      <c r="A219" s="247"/>
      <c r="B219" s="247"/>
      <c r="C219" s="247"/>
      <c r="D219" s="247"/>
    </row>
    <row r="220" spans="1:4">
      <c r="A220" s="247"/>
      <c r="B220" s="247"/>
      <c r="C220" s="247"/>
      <c r="D220" s="247"/>
    </row>
    <row r="221" spans="1:4">
      <c r="A221" s="247"/>
      <c r="B221" s="247"/>
      <c r="C221" s="247"/>
      <c r="D221" s="247"/>
    </row>
    <row r="222" spans="1:4">
      <c r="A222" s="247"/>
      <c r="B222" s="247"/>
      <c r="C222" s="247"/>
      <c r="D222" s="247"/>
    </row>
    <row r="223" spans="1:4">
      <c r="A223" s="247"/>
      <c r="B223" s="247"/>
      <c r="C223" s="247"/>
      <c r="D223" s="247"/>
    </row>
    <row r="224" spans="1:4">
      <c r="A224" s="247"/>
      <c r="B224" s="247"/>
      <c r="C224" s="247"/>
      <c r="D224" s="247"/>
    </row>
    <row r="225" spans="1:4">
      <c r="A225" s="247"/>
      <c r="B225" s="247"/>
      <c r="C225" s="247"/>
      <c r="D225" s="247"/>
    </row>
    <row r="226" spans="1:4">
      <c r="A226" s="247"/>
      <c r="B226" s="247"/>
      <c r="C226" s="247"/>
      <c r="D226" s="247"/>
    </row>
    <row r="227" spans="1:4">
      <c r="A227" s="247"/>
      <c r="B227" s="247"/>
      <c r="C227" s="247"/>
      <c r="D227" s="247"/>
    </row>
    <row r="228" spans="1:4">
      <c r="A228" s="247"/>
      <c r="B228" s="247"/>
      <c r="C228" s="247"/>
      <c r="D228" s="247"/>
    </row>
    <row r="229" spans="1:4">
      <c r="A229" s="247"/>
      <c r="B229" s="247"/>
      <c r="C229" s="247"/>
      <c r="D229" s="247"/>
    </row>
    <row r="230" spans="1:4">
      <c r="A230" s="247"/>
      <c r="B230" s="247"/>
      <c r="C230" s="247"/>
      <c r="D230" s="247"/>
    </row>
    <row r="231" spans="1:4">
      <c r="A231" s="247"/>
      <c r="B231" s="247"/>
      <c r="C231" s="247"/>
      <c r="D231" s="247"/>
    </row>
    <row r="232" spans="1:4">
      <c r="A232" s="247"/>
      <c r="B232" s="247"/>
      <c r="C232" s="247"/>
      <c r="D232" s="247"/>
    </row>
    <row r="233" spans="1:4">
      <c r="A233" s="247"/>
      <c r="B233" s="247"/>
      <c r="C233" s="247"/>
      <c r="D233" s="247"/>
    </row>
    <row r="234" spans="1:4">
      <c r="A234" s="247"/>
      <c r="B234" s="247"/>
      <c r="C234" s="247"/>
      <c r="D234" s="247"/>
    </row>
    <row r="235" spans="1:4">
      <c r="A235" s="247"/>
      <c r="B235" s="247"/>
      <c r="C235" s="247"/>
      <c r="D235" s="247"/>
    </row>
    <row r="236" spans="1:4">
      <c r="A236" s="247"/>
      <c r="B236" s="247"/>
      <c r="C236" s="247"/>
      <c r="D236" s="247"/>
    </row>
    <row r="237" spans="1:4">
      <c r="A237" s="247"/>
      <c r="B237" s="247"/>
      <c r="C237" s="247"/>
      <c r="D237" s="247"/>
    </row>
    <row r="238" spans="1:4">
      <c r="A238" s="247"/>
      <c r="B238" s="247"/>
      <c r="C238" s="247"/>
      <c r="D238" s="247"/>
    </row>
    <row r="239" spans="1:4">
      <c r="A239" s="247"/>
      <c r="B239" s="247"/>
      <c r="C239" s="247"/>
      <c r="D239" s="247"/>
    </row>
    <row r="240" spans="1:4">
      <c r="A240" s="247"/>
      <c r="B240" s="247"/>
      <c r="C240" s="247"/>
      <c r="D240" s="247"/>
    </row>
    <row r="241" spans="1:4">
      <c r="A241" s="247"/>
      <c r="B241" s="247"/>
      <c r="C241" s="247"/>
      <c r="D241" s="247"/>
    </row>
    <row r="242" spans="1:4">
      <c r="A242" s="247"/>
      <c r="B242" s="247"/>
      <c r="C242" s="247"/>
      <c r="D242" s="247"/>
    </row>
    <row r="243" spans="1:4">
      <c r="A243" s="247"/>
      <c r="B243" s="247"/>
      <c r="C243" s="247"/>
      <c r="D243" s="247"/>
    </row>
    <row r="244" spans="1:4">
      <c r="A244" s="247"/>
      <c r="B244" s="247"/>
      <c r="C244" s="247"/>
      <c r="D244" s="247"/>
    </row>
    <row r="245" spans="1:4">
      <c r="A245" s="247"/>
      <c r="B245" s="247"/>
      <c r="C245" s="247"/>
      <c r="D245" s="247"/>
    </row>
    <row r="246" spans="1:4">
      <c r="A246" s="247"/>
      <c r="B246" s="247"/>
      <c r="C246" s="247"/>
      <c r="D246" s="247"/>
    </row>
    <row r="247" spans="1:4">
      <c r="A247" s="247"/>
      <c r="B247" s="247"/>
      <c r="C247" s="247"/>
      <c r="D247" s="247"/>
    </row>
    <row r="248" spans="1:4">
      <c r="A248" s="247"/>
      <c r="B248" s="247"/>
      <c r="C248" s="247"/>
      <c r="D248" s="247"/>
    </row>
    <row r="249" spans="1:4">
      <c r="A249" s="247"/>
      <c r="B249" s="247"/>
      <c r="C249" s="247"/>
      <c r="D249" s="247"/>
    </row>
    <row r="250" spans="1:4">
      <c r="A250" s="247"/>
      <c r="B250" s="247"/>
      <c r="C250" s="247"/>
      <c r="D250" s="247"/>
    </row>
    <row r="251" spans="1:4">
      <c r="A251" s="247"/>
      <c r="B251" s="247"/>
      <c r="C251" s="247"/>
      <c r="D251" s="247"/>
    </row>
    <row r="252" spans="1:4">
      <c r="A252" s="247"/>
      <c r="B252" s="247"/>
      <c r="C252" s="247"/>
      <c r="D252" s="247"/>
    </row>
    <row r="253" spans="1:4">
      <c r="A253" s="247"/>
      <c r="B253" s="247"/>
      <c r="C253" s="247"/>
      <c r="D253" s="247"/>
    </row>
    <row r="254" spans="1:4">
      <c r="A254" s="247"/>
      <c r="B254" s="247"/>
      <c r="C254" s="247"/>
      <c r="D254" s="247"/>
    </row>
  </sheetData>
  <mergeCells count="1">
    <mergeCell ref="A1:D1"/>
  </mergeCells>
  <printOptions horizontalCentered="1"/>
  <pageMargins left="0.75" right="0.75" top="0.788888888888889" bottom="0.588888888888889" header="0.509027777777778" footer="0.509027777777778"/>
  <pageSetup paperSize="9" orientation="portrait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54"/>
  <sheetViews>
    <sheetView zoomScale="80" zoomScaleNormal="80" workbookViewId="0">
      <selection activeCell="I29" sqref="I29"/>
    </sheetView>
  </sheetViews>
  <sheetFormatPr defaultColWidth="9" defaultRowHeight="14.25"/>
  <cols>
    <col min="1" max="1" width="30.125" style="562" customWidth="1"/>
    <col min="2" max="2" width="12" style="562" customWidth="1"/>
    <col min="3" max="3" width="10.625" style="562" customWidth="1"/>
    <col min="4" max="4" width="12.125" style="527" customWidth="1"/>
    <col min="5" max="5" width="10.625" style="562" customWidth="1"/>
    <col min="6" max="6" width="9" style="562"/>
    <col min="7" max="7" width="10.5" style="562" customWidth="1"/>
    <col min="8" max="8" width="9.75" style="562" customWidth="1"/>
    <col min="9" max="9" width="11.75" style="562" customWidth="1"/>
    <col min="10" max="16384" width="9" style="562"/>
  </cols>
  <sheetData>
    <row r="1" s="44" customFormat="1" ht="28.5" customHeight="1" spans="1:9">
      <c r="A1" s="498" t="s">
        <v>129</v>
      </c>
      <c r="B1" s="498"/>
      <c r="C1" s="498"/>
      <c r="D1" s="498"/>
      <c r="E1" s="498"/>
    </row>
    <row r="2" s="44" customFormat="1" ht="19.5" customHeight="1" spans="1:9">
      <c r="A2" s="626"/>
      <c r="B2" s="626"/>
      <c r="C2" s="626"/>
      <c r="D2" s="627" t="s">
        <v>37</v>
      </c>
      <c r="E2" s="628"/>
    </row>
    <row r="3" s="44" customFormat="1" ht="35.25" customHeight="1" spans="1:9">
      <c r="A3" s="629" t="s">
        <v>38</v>
      </c>
      <c r="B3" s="630" t="s">
        <v>77</v>
      </c>
      <c r="C3" s="631" t="s">
        <v>78</v>
      </c>
      <c r="D3" s="632" t="s">
        <v>79</v>
      </c>
      <c r="E3" s="631" t="s">
        <v>78</v>
      </c>
      <c r="G3" s="513"/>
      <c r="I3" s="513"/>
    </row>
    <row r="4" s="44" customFormat="1" ht="24.95" customHeight="1" spans="1:9">
      <c r="A4" s="633" t="s">
        <v>130</v>
      </c>
      <c r="B4" s="634">
        <v>156.9033</v>
      </c>
      <c r="C4" s="635">
        <v>3.8</v>
      </c>
      <c r="D4" s="636">
        <v>340.3943</v>
      </c>
      <c r="E4" s="637">
        <v>4.1</v>
      </c>
      <c r="G4" s="513"/>
      <c r="I4" s="513"/>
    </row>
    <row r="5" s="44" customFormat="1" ht="24.95" customHeight="1" spans="1:9">
      <c r="A5" s="579" t="s">
        <v>131</v>
      </c>
      <c r="B5" s="474">
        <v>0.0759</v>
      </c>
      <c r="C5" s="582">
        <v>7.7</v>
      </c>
      <c r="D5" s="486">
        <v>0.1297</v>
      </c>
      <c r="E5" s="584">
        <v>36.1</v>
      </c>
      <c r="G5" s="513"/>
      <c r="I5" s="513"/>
    </row>
    <row r="6" s="44" customFormat="1" ht="24.95" customHeight="1" spans="1:9">
      <c r="A6" s="579" t="s">
        <v>132</v>
      </c>
      <c r="B6" s="474">
        <v>0.1675</v>
      </c>
      <c r="C6" s="582">
        <v>107.6</v>
      </c>
      <c r="D6" s="486">
        <v>0.4335</v>
      </c>
      <c r="E6" s="584">
        <v>120.8</v>
      </c>
      <c r="G6" s="513"/>
      <c r="I6" s="513"/>
    </row>
    <row r="7" s="44" customFormat="1" ht="24.95" customHeight="1" spans="1:9">
      <c r="A7" s="579" t="s">
        <v>133</v>
      </c>
      <c r="B7" s="474">
        <v>0.5912</v>
      </c>
      <c r="C7" s="582">
        <v>51.5</v>
      </c>
      <c r="D7" s="486">
        <v>1.556</v>
      </c>
      <c r="E7" s="584">
        <v>90.8</v>
      </c>
      <c r="G7" s="513"/>
      <c r="I7" s="513"/>
    </row>
    <row r="8" s="44" customFormat="1" ht="24.95" customHeight="1" spans="1:9">
      <c r="A8" s="579" t="s">
        <v>134</v>
      </c>
      <c r="B8" s="474">
        <v>0.3223</v>
      </c>
      <c r="C8" s="582">
        <v>44.8</v>
      </c>
      <c r="D8" s="486">
        <v>0.7104</v>
      </c>
      <c r="E8" s="584">
        <v>79.9</v>
      </c>
      <c r="G8" s="513"/>
      <c r="I8" s="513"/>
    </row>
    <row r="9" s="44" customFormat="1" ht="24.95" customHeight="1" spans="1:9">
      <c r="A9" s="579" t="s">
        <v>135</v>
      </c>
      <c r="B9" s="474">
        <v>0</v>
      </c>
      <c r="C9" s="582">
        <v>0</v>
      </c>
      <c r="D9" s="486">
        <v>0</v>
      </c>
      <c r="E9" s="584">
        <v>0</v>
      </c>
      <c r="G9" s="513"/>
      <c r="I9" s="513"/>
    </row>
    <row r="10" s="44" customFormat="1" ht="24.95" customHeight="1" spans="1:9">
      <c r="A10" s="579" t="s">
        <v>136</v>
      </c>
      <c r="B10" s="474">
        <v>26.3348</v>
      </c>
      <c r="C10" s="582">
        <v>1.8</v>
      </c>
      <c r="D10" s="486">
        <v>64.5295</v>
      </c>
      <c r="E10" s="584">
        <v>7</v>
      </c>
      <c r="G10" s="513"/>
      <c r="I10" s="513"/>
    </row>
    <row r="11" s="44" customFormat="1" ht="24.95" customHeight="1" spans="1:9">
      <c r="A11" s="579" t="s">
        <v>137</v>
      </c>
      <c r="B11" s="474">
        <v>4.7568</v>
      </c>
      <c r="C11" s="582">
        <v>50.1</v>
      </c>
      <c r="D11" s="486">
        <v>11.9192</v>
      </c>
      <c r="E11" s="584">
        <v>42.8</v>
      </c>
      <c r="G11" s="513"/>
      <c r="I11" s="513"/>
    </row>
    <row r="12" s="44" customFormat="1" ht="24.95" customHeight="1" spans="1:9">
      <c r="A12" s="579" t="s">
        <v>138</v>
      </c>
      <c r="B12" s="474">
        <v>9.5503</v>
      </c>
      <c r="C12" s="582">
        <v>-12</v>
      </c>
      <c r="D12" s="486">
        <v>22.0185</v>
      </c>
      <c r="E12" s="584">
        <v>-6.3</v>
      </c>
      <c r="G12" s="513"/>
      <c r="I12" s="513"/>
    </row>
    <row r="13" s="44" customFormat="1" ht="24.95" customHeight="1" spans="1:9">
      <c r="A13" s="638" t="s">
        <v>139</v>
      </c>
      <c r="B13" s="474">
        <v>3.1551</v>
      </c>
      <c r="C13" s="624">
        <v>-9.5</v>
      </c>
      <c r="D13" s="486">
        <v>10.8384</v>
      </c>
      <c r="E13" s="584">
        <v>2.9</v>
      </c>
      <c r="G13" s="513"/>
      <c r="I13" s="513"/>
    </row>
    <row r="14" s="44" customFormat="1" ht="24.95" customHeight="1" spans="1:9">
      <c r="A14" s="638" t="s">
        <v>140</v>
      </c>
      <c r="B14" s="474">
        <v>0.905</v>
      </c>
      <c r="C14" s="624">
        <v>21.1</v>
      </c>
      <c r="D14" s="486">
        <v>1.9753</v>
      </c>
      <c r="E14" s="584">
        <v>5.5</v>
      </c>
      <c r="G14" s="513"/>
      <c r="I14" s="513"/>
    </row>
    <row r="15" s="44" customFormat="1" ht="24.95" customHeight="1" spans="1:9">
      <c r="A15" s="579" t="s">
        <v>141</v>
      </c>
      <c r="B15" s="474">
        <v>1.4597</v>
      </c>
      <c r="C15" s="582">
        <v>7</v>
      </c>
      <c r="D15" s="486">
        <v>3.3197</v>
      </c>
      <c r="E15" s="584">
        <v>16.5</v>
      </c>
      <c r="G15" s="513"/>
      <c r="I15" s="513"/>
    </row>
    <row r="16" s="44" customFormat="1" ht="24.95" customHeight="1" spans="1:9">
      <c r="A16" s="579" t="s">
        <v>142</v>
      </c>
      <c r="B16" s="474">
        <v>0.7151</v>
      </c>
      <c r="C16" s="582">
        <v>-18.9</v>
      </c>
      <c r="D16" s="486">
        <v>5.0048</v>
      </c>
      <c r="E16" s="584">
        <v>24.3</v>
      </c>
      <c r="F16" s="639"/>
      <c r="G16" s="591"/>
      <c r="I16" s="513"/>
    </row>
    <row r="17" s="44" customFormat="1" ht="24.95" customHeight="1" spans="1:9">
      <c r="A17" s="579" t="s">
        <v>143</v>
      </c>
      <c r="B17" s="474">
        <v>0.5035</v>
      </c>
      <c r="C17" s="582">
        <v>-18.8</v>
      </c>
      <c r="D17" s="486">
        <v>1.1369</v>
      </c>
      <c r="E17" s="584">
        <v>-8.9</v>
      </c>
      <c r="F17" s="639"/>
      <c r="G17" s="513"/>
      <c r="I17" s="513"/>
    </row>
    <row r="18" s="44" customFormat="1" ht="24.95" customHeight="1" spans="1:9">
      <c r="A18" s="579" t="s">
        <v>144</v>
      </c>
      <c r="B18" s="474">
        <v>0.4229</v>
      </c>
      <c r="C18" s="582">
        <v>13.5</v>
      </c>
      <c r="D18" s="486">
        <v>0.7631</v>
      </c>
      <c r="E18" s="584">
        <v>17.6</v>
      </c>
      <c r="F18" s="639"/>
      <c r="G18" s="513"/>
      <c r="I18" s="513"/>
    </row>
    <row r="19" s="44" customFormat="1" ht="24.95" customHeight="1" spans="1:9">
      <c r="A19" s="579" t="s">
        <v>145</v>
      </c>
      <c r="B19" s="474">
        <v>1.5537</v>
      </c>
      <c r="C19" s="582">
        <v>11.1</v>
      </c>
      <c r="D19" s="486">
        <v>3.4857</v>
      </c>
      <c r="E19" s="584">
        <v>14.9</v>
      </c>
      <c r="G19" s="513"/>
      <c r="I19" s="513"/>
    </row>
    <row r="20" s="44" customFormat="1" ht="24.95" customHeight="1" spans="1:9">
      <c r="A20" s="579" t="s">
        <v>146</v>
      </c>
      <c r="B20" s="474">
        <v>2.0629</v>
      </c>
      <c r="C20" s="582">
        <v>-4.1</v>
      </c>
      <c r="D20" s="486">
        <v>4.9801</v>
      </c>
      <c r="E20" s="584">
        <v>-11.7</v>
      </c>
      <c r="G20" s="513"/>
      <c r="I20" s="513"/>
    </row>
    <row r="21" s="44" customFormat="1" ht="24.95" customHeight="1" spans="1:9">
      <c r="A21" s="579" t="s">
        <v>147</v>
      </c>
      <c r="B21" s="474">
        <v>3.7213</v>
      </c>
      <c r="C21" s="582">
        <v>15.8</v>
      </c>
      <c r="D21" s="486">
        <v>8.1709</v>
      </c>
      <c r="E21" s="584">
        <v>10.1</v>
      </c>
      <c r="G21" s="513"/>
      <c r="I21" s="513"/>
    </row>
    <row r="22" s="44" customFormat="1" ht="24.95" customHeight="1" spans="1:9">
      <c r="A22" s="579" t="s">
        <v>148</v>
      </c>
      <c r="B22" s="474">
        <v>15.8095</v>
      </c>
      <c r="C22" s="582">
        <v>18</v>
      </c>
      <c r="D22" s="486">
        <v>24.415</v>
      </c>
      <c r="E22" s="584">
        <v>20.2</v>
      </c>
      <c r="G22" s="513"/>
      <c r="I22" s="513"/>
    </row>
    <row r="23" s="44" customFormat="1" ht="24.95" customHeight="1" spans="1:9">
      <c r="A23" s="640" t="s">
        <v>149</v>
      </c>
      <c r="B23" s="641">
        <v>0.6275</v>
      </c>
      <c r="C23" s="642">
        <v>-30.5</v>
      </c>
      <c r="D23" s="492">
        <v>1.974</v>
      </c>
      <c r="E23" s="643">
        <v>-9.4</v>
      </c>
      <c r="G23" s="513"/>
      <c r="I23" s="513"/>
    </row>
    <row r="24" s="44" customFormat="1"/>
    <row r="25" s="44" customFormat="1"/>
    <row r="26" s="44" customFormat="1"/>
    <row r="27" s="44" customFormat="1"/>
    <row r="28" s="44" customFormat="1"/>
    <row r="29" s="44" customFormat="1"/>
    <row r="30" s="44" customFormat="1"/>
    <row r="31" s="44" customFormat="1"/>
    <row r="32" s="44" customFormat="1"/>
    <row r="33" s="44" customFormat="1"/>
    <row r="34" s="44" customFormat="1"/>
    <row r="35" s="44" customFormat="1"/>
    <row r="36" s="44" customFormat="1"/>
    <row r="37" s="44" customFormat="1"/>
    <row r="38" s="44" customFormat="1"/>
    <row r="39" s="44" customFormat="1"/>
    <row r="40" s="44" customFormat="1"/>
    <row r="41" s="44" customFormat="1"/>
    <row r="42" s="44" customFormat="1"/>
    <row r="43" s="44" customFormat="1"/>
    <row r="44" s="44" customFormat="1"/>
    <row r="45" s="44" customFormat="1"/>
    <row r="46" s="44" customFormat="1"/>
    <row r="47" s="44" customFormat="1"/>
    <row r="48" s="44" customFormat="1"/>
    <row r="49" s="44" customFormat="1"/>
    <row r="50" s="44" customFormat="1"/>
    <row r="51" s="44" customFormat="1"/>
    <row r="52" s="44" customFormat="1"/>
    <row r="53" s="44" customFormat="1"/>
    <row r="54" s="44" customFormat="1"/>
    <row r="55" s="44" customFormat="1"/>
    <row r="56" s="44" customFormat="1"/>
    <row r="57" s="44" customFormat="1"/>
    <row r="58" s="44" customFormat="1"/>
    <row r="59" s="44" customFormat="1"/>
    <row r="60" s="44" customFormat="1"/>
    <row r="61" s="44" customFormat="1"/>
    <row r="62" s="44" customFormat="1"/>
    <row r="63" s="44" customFormat="1"/>
    <row r="64" s="44" customFormat="1"/>
    <row r="65" s="44" customFormat="1"/>
    <row r="66" s="44" customFormat="1"/>
    <row r="67" s="44" customFormat="1"/>
    <row r="68" s="44" customFormat="1"/>
    <row r="69" s="44" customFormat="1"/>
    <row r="70" s="44" customFormat="1"/>
    <row r="71" s="44" customFormat="1"/>
    <row r="72" s="44" customFormat="1"/>
    <row r="73" s="44" customFormat="1"/>
    <row r="74" s="44" customFormat="1"/>
    <row r="75" s="44" customFormat="1"/>
    <row r="76" s="44" customFormat="1"/>
    <row r="77" s="44" customFormat="1"/>
    <row r="78" s="44" customFormat="1"/>
    <row r="79" s="44" customFormat="1"/>
    <row r="80" s="44" customFormat="1"/>
    <row r="81" s="44" customFormat="1"/>
    <row r="82" s="44" customFormat="1"/>
    <row r="83" s="44" customFormat="1"/>
    <row r="84" s="44" customFormat="1"/>
    <row r="85" s="44" customFormat="1"/>
    <row r="86" s="44" customFormat="1"/>
    <row r="87" s="44" customFormat="1"/>
    <row r="88" s="44" customFormat="1"/>
    <row r="89" s="44" customFormat="1"/>
    <row r="90" s="44" customFormat="1"/>
    <row r="91" s="44" customFormat="1"/>
    <row r="92" s="44" customFormat="1"/>
    <row r="93" s="44" customFormat="1"/>
    <row r="94" s="44" customFormat="1"/>
    <row r="95" s="44" customFormat="1"/>
    <row r="96" s="44" customFormat="1"/>
    <row r="97" s="44" customFormat="1"/>
    <row r="98" s="44" customFormat="1"/>
    <row r="99" s="44" customFormat="1"/>
    <row r="100" s="44" customFormat="1"/>
    <row r="101" s="44" customFormat="1"/>
    <row r="102" s="44" customFormat="1"/>
    <row r="103" s="44" customFormat="1"/>
    <row r="104" s="44" customFormat="1"/>
    <row r="105" s="44" customFormat="1"/>
    <row r="106" s="44" customFormat="1"/>
    <row r="107" s="44" customFormat="1"/>
    <row r="108" s="44" customFormat="1"/>
    <row r="109" s="44" customFormat="1"/>
    <row r="110" s="44" customFormat="1"/>
    <row r="111" s="44" customFormat="1"/>
    <row r="112" s="44" customFormat="1"/>
    <row r="113" s="44" customFormat="1"/>
    <row r="114" s="44" customFormat="1"/>
    <row r="115" s="44" customFormat="1"/>
    <row r="116" s="44" customFormat="1"/>
    <row r="117" s="44" customFormat="1"/>
    <row r="118" s="44" customFormat="1"/>
    <row r="119" s="44" customFormat="1"/>
    <row r="120" s="44" customFormat="1"/>
    <row r="121" s="44" customFormat="1"/>
    <row r="122" s="44" customFormat="1"/>
    <row r="123" s="44" customFormat="1"/>
    <row r="124" s="44" customFormat="1"/>
    <row r="125" s="44" customFormat="1"/>
    <row r="126" s="44" customFormat="1"/>
    <row r="127" s="44" customFormat="1"/>
    <row r="128" s="44" customFormat="1"/>
    <row r="129" s="44" customFormat="1"/>
    <row r="130" s="44" customFormat="1"/>
    <row r="131" s="44" customFormat="1"/>
    <row r="132" s="44" customFormat="1"/>
    <row r="133" s="44" customFormat="1"/>
    <row r="134" s="44" customFormat="1"/>
    <row r="135" s="44" customFormat="1"/>
    <row r="136" s="44" customFormat="1"/>
    <row r="137" s="44" customFormat="1"/>
    <row r="138" s="44" customFormat="1"/>
    <row r="139" s="44" customFormat="1"/>
    <row r="140" s="44" customFormat="1"/>
    <row r="141" s="44" customFormat="1"/>
    <row r="142" s="44" customFormat="1"/>
    <row r="143" s="44" customFormat="1"/>
    <row r="144" s="44" customFormat="1"/>
    <row r="145" s="44" customFormat="1"/>
    <row r="146" s="44" customFormat="1"/>
    <row r="147" s="44" customFormat="1"/>
    <row r="148" s="44" customFormat="1"/>
    <row r="149" s="44" customFormat="1"/>
    <row r="150" s="44" customFormat="1"/>
    <row r="151" s="44" customFormat="1"/>
    <row r="152" s="44" customFormat="1"/>
    <row r="153" s="44" customFormat="1"/>
    <row r="154" s="44" customFormat="1"/>
    <row r="155" s="44" customFormat="1"/>
    <row r="156" s="44" customFormat="1"/>
    <row r="157" s="44" customFormat="1"/>
    <row r="158" s="44" customFormat="1"/>
    <row r="159" s="44" customFormat="1"/>
    <row r="160" s="44" customFormat="1"/>
    <row r="161" s="44" customFormat="1"/>
    <row r="162" s="44" customFormat="1"/>
    <row r="163" s="44" customFormat="1"/>
    <row r="164" s="44" customFormat="1"/>
    <row r="165" s="44" customFormat="1"/>
    <row r="166" s="44" customFormat="1"/>
    <row r="167" s="44" customFormat="1"/>
    <row r="168" s="44" customFormat="1"/>
    <row r="169" s="44" customFormat="1"/>
    <row r="170" s="44" customFormat="1"/>
    <row r="171" s="44" customFormat="1"/>
    <row r="172" s="44" customFormat="1"/>
    <row r="173" s="44" customFormat="1"/>
    <row r="174" s="44" customFormat="1"/>
    <row r="175" s="44" customFormat="1"/>
    <row r="176" s="44" customFormat="1"/>
    <row r="177" s="44" customFormat="1"/>
    <row r="178" s="44" customFormat="1"/>
    <row r="179" s="44" customFormat="1"/>
    <row r="180" s="44" customFormat="1"/>
    <row r="181" s="44" customFormat="1"/>
    <row r="182" s="44" customFormat="1"/>
    <row r="183" s="44" customFormat="1"/>
    <row r="184" s="44" customFormat="1"/>
    <row r="185" s="44" customFormat="1"/>
    <row r="186" s="44" customFormat="1"/>
    <row r="187" s="44" customFormat="1"/>
    <row r="188" s="44" customFormat="1"/>
    <row r="189" s="44" customFormat="1"/>
    <row r="190" s="44" customFormat="1"/>
    <row r="191" s="44" customFormat="1"/>
    <row r="192" s="44" customFormat="1"/>
    <row r="193" s="44" customFormat="1"/>
    <row r="194" s="44" customFormat="1"/>
    <row r="195" s="44" customFormat="1"/>
    <row r="196" s="44" customFormat="1"/>
    <row r="197" s="44" customFormat="1"/>
    <row r="198" s="44" customFormat="1"/>
    <row r="199" s="44" customFormat="1"/>
    <row r="200" s="44" customFormat="1"/>
    <row r="201" s="44" customFormat="1"/>
    <row r="202" s="44" customFormat="1"/>
    <row r="203" s="44" customFormat="1"/>
    <row r="204" s="44" customFormat="1"/>
    <row r="205" s="44" customFormat="1"/>
    <row r="206" s="44" customFormat="1"/>
    <row r="207" s="44" customFormat="1"/>
    <row r="208" s="44" customFormat="1"/>
    <row r="209" s="44" customFormat="1"/>
    <row r="210" s="44" customFormat="1"/>
    <row r="211" s="44" customFormat="1"/>
    <row r="212" s="44" customFormat="1"/>
    <row r="213" s="44" customFormat="1"/>
    <row r="214" s="44" customFormat="1"/>
    <row r="215" s="44" customFormat="1"/>
    <row r="216" s="44" customFormat="1"/>
    <row r="217" s="44" customFormat="1"/>
    <row r="218" s="44" customFormat="1"/>
    <row r="219" s="44" customFormat="1"/>
    <row r="220" s="44" customFormat="1"/>
    <row r="221" s="44" customFormat="1"/>
    <row r="222" s="44" customFormat="1"/>
    <row r="223" s="44" customFormat="1"/>
    <row r="224" s="44" customFormat="1"/>
    <row r="225" s="44" customFormat="1"/>
    <row r="226" s="44" customFormat="1"/>
    <row r="227" s="44" customFormat="1"/>
    <row r="228" s="44" customFormat="1"/>
    <row r="229" s="44" customFormat="1"/>
    <row r="230" s="44" customFormat="1"/>
    <row r="231" s="44" customFormat="1"/>
    <row r="232" s="44" customFormat="1"/>
    <row r="233" s="44" customFormat="1"/>
    <row r="234" s="44" customFormat="1"/>
    <row r="235" s="44" customFormat="1"/>
    <row r="236" s="44" customFormat="1"/>
    <row r="237" s="44" customFormat="1"/>
    <row r="238" s="44" customFormat="1"/>
    <row r="239" s="44" customFormat="1"/>
    <row r="240" s="44" customFormat="1"/>
    <row r="241" s="44" customFormat="1"/>
    <row r="242" s="44" customFormat="1"/>
    <row r="243" s="44" customFormat="1"/>
    <row r="244" s="44" customFormat="1"/>
    <row r="245" s="44" customFormat="1"/>
    <row r="246" s="44" customFormat="1"/>
    <row r="247" s="44" customFormat="1"/>
    <row r="248" s="44" customFormat="1"/>
    <row r="249" s="44" customFormat="1"/>
    <row r="250" s="44" customFormat="1"/>
    <row r="251" s="44" customFormat="1"/>
    <row r="252" s="44" customFormat="1"/>
    <row r="253" s="44" customFormat="1"/>
    <row r="254" s="44" customFormat="1"/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yz</Company>
  <Application>Microsoft Excel</Application>
  <HeadingPairs>
    <vt:vector size="2" baseType="variant">
      <vt:variant>
        <vt:lpstr>工作表</vt:lpstr>
      </vt:variant>
      <vt:variant>
        <vt:i4>56</vt:i4>
      </vt:variant>
    </vt:vector>
  </HeadingPairs>
  <TitlesOfParts>
    <vt:vector size="56" baseType="lpstr">
      <vt:lpstr>-------</vt:lpstr>
      <vt:lpstr>全市指标1</vt:lpstr>
      <vt:lpstr>全市指标2</vt:lpstr>
      <vt:lpstr>GDP</vt:lpstr>
      <vt:lpstr>农业</vt:lpstr>
      <vt:lpstr>工业1</vt:lpstr>
      <vt:lpstr>工业2</vt:lpstr>
      <vt:lpstr>工业经济效益</vt:lpstr>
      <vt:lpstr>分行业工业总产值1</vt:lpstr>
      <vt:lpstr>分行业工业总产值2</vt:lpstr>
      <vt:lpstr>主要工业产品产量1</vt:lpstr>
      <vt:lpstr>主要工业产品产量2 </vt:lpstr>
      <vt:lpstr>主要工业产品产量3</vt:lpstr>
      <vt:lpstr>工业综合能源消费量</vt:lpstr>
      <vt:lpstr>交通 </vt:lpstr>
      <vt:lpstr>投资</vt:lpstr>
      <vt:lpstr>国内贸易</vt:lpstr>
      <vt:lpstr>财税</vt:lpstr>
      <vt:lpstr>金融</vt:lpstr>
      <vt:lpstr>进出口</vt:lpstr>
      <vt:lpstr>居民收支</vt:lpstr>
      <vt:lpstr>消价</vt:lpstr>
      <vt:lpstr>分县1</vt:lpstr>
      <vt:lpstr>分县2</vt:lpstr>
      <vt:lpstr>分县3</vt:lpstr>
      <vt:lpstr>分县4</vt:lpstr>
      <vt:lpstr>分县5</vt:lpstr>
      <vt:lpstr>分县6</vt:lpstr>
      <vt:lpstr>分县7</vt:lpstr>
      <vt:lpstr>分县8</vt:lpstr>
      <vt:lpstr>分县9</vt:lpstr>
      <vt:lpstr>分县10</vt:lpstr>
      <vt:lpstr>分县11</vt:lpstr>
      <vt:lpstr>分县12</vt:lpstr>
      <vt:lpstr>分县13</vt:lpstr>
      <vt:lpstr>分县14</vt:lpstr>
      <vt:lpstr>分县15</vt:lpstr>
      <vt:lpstr>分县16</vt:lpstr>
      <vt:lpstr>分县17</vt:lpstr>
      <vt:lpstr>分县18</vt:lpstr>
      <vt:lpstr>分县19</vt:lpstr>
      <vt:lpstr>分市5（旧）</vt:lpstr>
      <vt:lpstr>工业序列（原）</vt:lpstr>
      <vt:lpstr>工业序列</vt:lpstr>
      <vt:lpstr>投资序列</vt:lpstr>
      <vt:lpstr>消费序列</vt:lpstr>
      <vt:lpstr>进出口序列</vt:lpstr>
      <vt:lpstr>预算收入序列</vt:lpstr>
      <vt:lpstr>价格指数序列</vt:lpstr>
      <vt:lpstr>用电量序列</vt:lpstr>
      <vt:lpstr>投资序列(原)</vt:lpstr>
      <vt:lpstr>消费序列（原）</vt:lpstr>
      <vt:lpstr>出口序列（原）</vt:lpstr>
      <vt:lpstr>地方预算收入序列（原）</vt:lpstr>
      <vt:lpstr>工业用电量序列 （原）</vt:lpstr>
      <vt:lpstr>价格序列（原）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mmtjj07</dc:creator>
  <cp:lastModifiedBy>筱瑾</cp:lastModifiedBy>
  <cp:revision>1</cp:revision>
  <dcterms:created xsi:type="dcterms:W3CDTF">2006-03-05T01:13:00Z</dcterms:created>
  <cp:lastPrinted>2016-10-14T02:19:00Z</cp:lastPrinted>
  <dcterms:modified xsi:type="dcterms:W3CDTF">2026-06-08T07:03:40Z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E314B7D461F648B9B83DD16BF7FD627F_12</vt:lpwstr>
  </property>
  <property fmtid="{D5CDD505-2E9C-101B-9397-08002B2CF9AE}" pid="5" name="CalculationRule">
    <vt:i4>0</vt:i4>
  </property>
</Properties>
</file>