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886" firstSheet="1" activeTab="1"/>
  </bookViews>
  <sheets>
    <sheet name="-------" sheetId="138" state="hidden" r:id="rId1"/>
    <sheet name="全市指标1" sheetId="209" r:id="rId2"/>
    <sheet name="GDP" sheetId="139" r:id="rId3"/>
    <sheet name="农业" sheetId="145" r:id="rId4"/>
    <sheet name="工业1" sheetId="125" r:id="rId5"/>
    <sheet name="工业2" sheetId="173" r:id="rId6"/>
    <sheet name="工业经济效益" sheetId="9" r:id="rId7"/>
    <sheet name="分行业工业总产值1" sheetId="162" r:id="rId8"/>
    <sheet name="分行业工业总产值2" sheetId="163" r:id="rId9"/>
    <sheet name="主要工业产品产量1" sheetId="160" r:id="rId10"/>
    <sheet name="主要工业产品产量2 " sheetId="161" r:id="rId11"/>
    <sheet name="主要工业产品产量3" sheetId="177" r:id="rId12"/>
    <sheet name="工业综合能源消费量" sheetId="174" r:id="rId13"/>
    <sheet name="交通 " sheetId="98" r:id="rId14"/>
    <sheet name="投资" sheetId="68" r:id="rId15"/>
    <sheet name="国内贸易" sheetId="11" r:id="rId16"/>
    <sheet name="财税" sheetId="23" r:id="rId17"/>
    <sheet name="金融" sheetId="146" r:id="rId18"/>
    <sheet name="进出口" sheetId="124" r:id="rId19"/>
    <sheet name="居民收支" sheetId="99" r:id="rId20"/>
    <sheet name="消价" sheetId="42" r:id="rId21"/>
    <sheet name="分县1" sheetId="100" r:id="rId22"/>
    <sheet name="分县2" sheetId="149" r:id="rId23"/>
    <sheet name="分县3" sheetId="181" r:id="rId24"/>
    <sheet name="分县4" sheetId="167" r:id="rId25"/>
    <sheet name="分县5" sheetId="182" r:id="rId26"/>
    <sheet name="分县6" sheetId="101" r:id="rId27"/>
    <sheet name="分县7" sheetId="183" r:id="rId28"/>
    <sheet name="分县8" sheetId="166" r:id="rId29"/>
    <sheet name="分县9" sheetId="165" r:id="rId30"/>
    <sheet name="分县10" sheetId="171" r:id="rId31"/>
    <sheet name="分县11" sheetId="184" r:id="rId32"/>
    <sheet name="分县12" sheetId="170" r:id="rId33"/>
    <sheet name="分县13" sheetId="193" r:id="rId34"/>
    <sheet name="分县14" sheetId="185" r:id="rId35"/>
    <sheet name="分县15" sheetId="172" r:id="rId36"/>
    <sheet name="分县16" sheetId="127" r:id="rId37"/>
    <sheet name="分县17" sheetId="147" r:id="rId38"/>
    <sheet name="分县18" sheetId="186" r:id="rId39"/>
    <sheet name="分市5（旧）" sheetId="194" state="hidden" r:id="rId40"/>
    <sheet name="工业序列（原）" sheetId="158" state="hidden" r:id="rId41"/>
    <sheet name="工业序列" sheetId="199" r:id="rId42"/>
    <sheet name="投资序列" sheetId="200" r:id="rId43"/>
    <sheet name="消费序列" sheetId="201" r:id="rId44"/>
    <sheet name="进出口序列" sheetId="202" r:id="rId45"/>
    <sheet name="预算收入序列" sheetId="204" r:id="rId46"/>
    <sheet name="价格指数序列" sheetId="208" r:id="rId47"/>
    <sheet name="用电量序列" sheetId="205" r:id="rId48"/>
    <sheet name="投资序列(原)" sheetId="157" state="hidden" r:id="rId49"/>
    <sheet name="消费序列（原）" sheetId="156" state="hidden" r:id="rId50"/>
    <sheet name="出口序列（原）" sheetId="155" state="hidden" r:id="rId51"/>
    <sheet name="地方预算收入序列（原）" sheetId="154" state="hidden" r:id="rId52"/>
    <sheet name="工业用电量序列 （原）" sheetId="198" state="hidden" r:id="rId53"/>
    <sheet name="价格序列（原）" sheetId="153" state="hidden" r:id="rId54"/>
  </sheets>
  <externalReferences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</externalReferences>
  <definedNames>
    <definedName name="_21114" localSheetId="52">#REF!</definedName>
    <definedName name="_21114">#REF!</definedName>
    <definedName name="_Fill" localSheetId="52" hidden="1">[1]eqpmad2!#REF!</definedName>
    <definedName name="_Fill" hidden="1">[1]eqpmad2!#REF!</definedName>
    <definedName name="_xlnm._FilterDatabase" localSheetId="52" hidden="1">#REF!</definedName>
    <definedName name="_xlnm._FilterDatabase" hidden="1">#REF!</definedName>
    <definedName name="_Order1" hidden="1">255</definedName>
    <definedName name="_Order2" hidden="1">255</definedName>
    <definedName name="A" localSheetId="52">#REF!</definedName>
    <definedName name="A">#REF!</definedName>
    <definedName name="aa" localSheetId="52">#REF!</definedName>
    <definedName name="aa">#REF!</definedName>
    <definedName name="as">#N/A</definedName>
    <definedName name="data" localSheetId="52">#REF!</definedName>
    <definedName name="data">#REF!</definedName>
    <definedName name="Database" localSheetId="52" hidden="1">#REF!</definedName>
    <definedName name="Database" hidden="1">#REF!</definedName>
    <definedName name="database2" localSheetId="52">#REF!</definedName>
    <definedName name="database2">#REF!</definedName>
    <definedName name="database3" localSheetId="52">#REF!</definedName>
    <definedName name="database3">#REF!</definedName>
    <definedName name="dss" localSheetId="52" hidden="1">#REF!</definedName>
    <definedName name="dss" hidden="1">#REF!</definedName>
    <definedName name="E206." localSheetId="52">#REF!</definedName>
    <definedName name="E206.">#REF!</definedName>
    <definedName name="eee" localSheetId="52">#REF!</definedName>
    <definedName name="eee">#REF!</definedName>
    <definedName name="fff" localSheetId="52">#REF!</definedName>
    <definedName name="fff">#REF!</definedName>
    <definedName name="gxxe2003">'[2]P1012001'!$A$6:$E$117</definedName>
    <definedName name="gxxe20032">'[2]P1012001'!$A$6:$E$117</definedName>
    <definedName name="hhhh" localSheetId="52">#REF!</definedName>
    <definedName name="hhhh">#REF!</definedName>
    <definedName name="HWSheet">1</definedName>
    <definedName name="kkkk" localSheetId="52">#REF!</definedName>
    <definedName name="kkkk">#REF!</definedName>
    <definedName name="Module.Prix_SMC" localSheetId="31">Module.Prix_SMC</definedName>
    <definedName name="Module.Prix_SMC" localSheetId="34">分县11!Module.Prix_SMC</definedName>
    <definedName name="Module.Prix_SMC" localSheetId="36">分县16!Module.Prix_SMC</definedName>
    <definedName name="Module.Prix_SMC" localSheetId="38">分县11!Module.Prix_SMC</definedName>
    <definedName name="Module.Prix_SMC" localSheetId="23">分县11!Module.Prix_SMC</definedName>
    <definedName name="Module.Prix_SMC" localSheetId="25">分县11!Module.Prix_SMC</definedName>
    <definedName name="Module.Prix_SMC" localSheetId="27">分县11!Module.Prix_SMC</definedName>
    <definedName name="Module.Prix_SMC" localSheetId="4">工业1!Module.Prix_SMC</definedName>
    <definedName name="Module.Prix_SMC" localSheetId="46">分县11!Module.Prix_SMC</definedName>
    <definedName name="Module.Prix_SMC" localSheetId="18">进出口!Module.Prix_SMC</definedName>
    <definedName name="Module.Prix_SMC" localSheetId="44">分县11!Module.Prix_SMC</definedName>
    <definedName name="Module.Prix_SMC" localSheetId="42">分县11!Module.Prix_SMC</definedName>
    <definedName name="Module.Prix_SMC" localSheetId="43">分县11!Module.Prix_SMC</definedName>
    <definedName name="Module.Prix_SMC" localSheetId="47">分县11!Module.Prix_SMC</definedName>
    <definedName name="Module.Prix_SMC" localSheetId="45">分县11!Module.Prix_SMC</definedName>
    <definedName name="Module.Prix_SMC">分县11!Module.Prix_SMC</definedName>
    <definedName name="panduan">OR([3]Sheet!$G1="日期有误",[3]Sheet!$G1="请检查身份证号码",[3]Sheet!$G1="识别码有误")</definedName>
    <definedName name="_xlnm.Print_Area" localSheetId="30">分县10!$A$1:$D$27</definedName>
    <definedName name="_xlnm.Print_Area" localSheetId="31">分县11!$A$1:$D$27</definedName>
    <definedName name="_xlnm.Print_Area" localSheetId="34">分县14!$A$1:$D$27</definedName>
    <definedName name="_xlnm.Print_Area" localSheetId="35">分县15!$A$1:$D$27</definedName>
    <definedName name="_xlnm.Print_Area" localSheetId="37">分县17!$A$1:$D$27</definedName>
    <definedName name="_xlnm.Print_Area" localSheetId="38">分县18!$A$1:$D$27</definedName>
    <definedName name="_xlnm.Print_Area" localSheetId="22">分县2!$A$1:$D$27</definedName>
    <definedName name="_xlnm.Print_Area" localSheetId="23">分县3!$A$1:$D$28</definedName>
    <definedName name="_xlnm.Print_Area" localSheetId="26">分县6!$A$1:$D$26</definedName>
    <definedName name="_xlnm.Print_Area" localSheetId="27">分县7!$A$1:$D$26</definedName>
    <definedName name="_xlnm.Print_Area" localSheetId="28">分县8!$A$1:$D$26</definedName>
    <definedName name="_xlnm.Print_Area" localSheetId="29">分县9!$A$1:$D$27</definedName>
    <definedName name="_xlnm.Print_Area" localSheetId="4">工业1!$A$1:$E$22</definedName>
    <definedName name="_xlnm.Print_Area" localSheetId="52" hidden="1">#REF!</definedName>
    <definedName name="_xlnm.Print_Area" localSheetId="15">国内贸易!$A$1:$C$29</definedName>
    <definedName name="_xlnm.Print_Area" localSheetId="19">居民收支!$A$1:$C$21</definedName>
    <definedName name="_xlnm.Print_Area" localSheetId="14">投资!$A$1:$D$24</definedName>
    <definedName name="_xlnm.Print_Area" localSheetId="20">消价!$A$1:$C$21</definedName>
    <definedName name="_xlnm.Print_Area" hidden="1">#REF!</definedName>
    <definedName name="Print_Area_MI" localSheetId="52">#REF!</definedName>
    <definedName name="Print_Area_MI">#REF!</definedName>
    <definedName name="_xlnm.Print_Titles" hidden="1">#N/A</definedName>
    <definedName name="rrrr" localSheetId="52">#REF!</definedName>
    <definedName name="rrrr">#REF!</definedName>
    <definedName name="s" localSheetId="52">#REF!</definedName>
    <definedName name="s">#REF!</definedName>
    <definedName name="sfeggsafasfas" localSheetId="52">#REF!</definedName>
    <definedName name="sfeggsafasfas">#REF!</definedName>
    <definedName name="Sheet1" localSheetId="52">#REF!</definedName>
    <definedName name="Sheet1">#REF!</definedName>
    <definedName name="Sheet10" localSheetId="52">#REF!</definedName>
    <definedName name="Sheet10">#REF!</definedName>
    <definedName name="Sheet11" localSheetId="52">#REF!</definedName>
    <definedName name="Sheet11">#REF!</definedName>
    <definedName name="Sheet12" localSheetId="52">#REF!</definedName>
    <definedName name="Sheet12">#REF!</definedName>
    <definedName name="Sheet3" localSheetId="52">#REF!</definedName>
    <definedName name="Sheet3">#REF!</definedName>
    <definedName name="Sheet4" localSheetId="52">#REF!</definedName>
    <definedName name="Sheet4">#REF!</definedName>
    <definedName name="Sheet5" localSheetId="52">#REF!</definedName>
    <definedName name="Sheet5">#REF!</definedName>
    <definedName name="Sheet6" localSheetId="52">#REF!</definedName>
    <definedName name="Sheet6">#REF!</definedName>
    <definedName name="Sheet7" localSheetId="52">#REF!</definedName>
    <definedName name="Sheet7">#REF!</definedName>
    <definedName name="Sheet8" localSheetId="52">#REF!</definedName>
    <definedName name="Sheet8">#REF!</definedName>
    <definedName name="Sheet9" localSheetId="52">#REF!</definedName>
    <definedName name="Sheet9">#REF!</definedName>
    <definedName name="ss" localSheetId="52">#REF!</definedName>
    <definedName name="ss">#REF!</definedName>
    <definedName name="ttt" localSheetId="52">#REF!</definedName>
    <definedName name="ttt">#REF!</definedName>
    <definedName name="tttt" localSheetId="52">#REF!</definedName>
    <definedName name="tttt">#REF!</definedName>
    <definedName name="UFPrn20010712083924" localSheetId="52">#REF!</definedName>
    <definedName name="UFPrn20010712083924">#REF!</definedName>
    <definedName name="UFPrn20020224093130" localSheetId="52">#REF!</definedName>
    <definedName name="UFPrn20020224093130">#REF!</definedName>
    <definedName name="UFPrn20020224094757" localSheetId="52">#REF!</definedName>
    <definedName name="UFPrn20020224094757">#REF!</definedName>
    <definedName name="UFPrn20020224101302" localSheetId="52">#REF!</definedName>
    <definedName name="UFPrn20020224101302">#REF!</definedName>
    <definedName name="UFPrn20020224101600" localSheetId="52">#REF!</definedName>
    <definedName name="UFPrn20020224101600">#REF!</definedName>
    <definedName name="UFPrn20020228143318" localSheetId="52">#REF!</definedName>
    <definedName name="UFPrn20020228143318">#REF!</definedName>
    <definedName name="UFPrn20020303094007" localSheetId="52">#REF!</definedName>
    <definedName name="UFPrn20020303094007">#REF!</definedName>
    <definedName name="www" localSheetId="52">#REF!</definedName>
    <definedName name="www">#REF!</definedName>
    <definedName name="yyyy" localSheetId="52">#REF!</definedName>
    <definedName name="yyyy">#REF!</definedName>
    <definedName name="备___注" localSheetId="52">#REF!</definedName>
    <definedName name="备___注">#REF!</definedName>
    <definedName name="本级标准收入2004年">[4]本年收入合计!$E$4:$E$184</definedName>
    <definedName name="拨款汇总_合计" localSheetId="52">SUM([5]汇总!#REF!)</definedName>
    <definedName name="拨款汇总_合计">SUM([5]汇总!#REF!)</definedName>
    <definedName name="财力" localSheetId="52">#REF!</definedName>
    <definedName name="财力">#REF!</definedName>
    <definedName name="财政供养人员增幅2004年">[6]财政供养人员增幅!$E$6</definedName>
    <definedName name="财政供养人员增幅2004年分县">[6]财政供养人员增幅!$E$4:$E$184</definedName>
    <definedName name="村级标准支出">[7]村级支出!$E$4:$E$184</definedName>
    <definedName name="存货合计" localSheetId="52">#REF!</definedName>
    <definedName name="存货合计">#REF!</definedName>
    <definedName name="存货明细" localSheetId="52">#REF!</definedName>
    <definedName name="存货明细">#REF!</definedName>
    <definedName name="大多数">'[8]13 铁路配件'!$A$15</definedName>
    <definedName name="大幅度" localSheetId="52">#REF!</definedName>
    <definedName name="大幅度">#REF!</definedName>
    <definedName name="地区名称" localSheetId="52">[9]封面!#REF!</definedName>
    <definedName name="地区名称">[9]封面!#REF!</definedName>
    <definedName name="第二产业分县2003年">[10]GDP!$G$4:$G$184</definedName>
    <definedName name="第二产业合计2003年">[10]GDP!$G$4</definedName>
    <definedName name="第三产业分县2003年">[10]GDP!$H$4:$H$184</definedName>
    <definedName name="第三产业合计2003年">[10]GDP!$H$4</definedName>
    <definedName name="耕地占用税分县2003年">[11]一般预算收入!$U$4:$U$184</definedName>
    <definedName name="耕地占用税合计2003年">[11]一般预算收入!$U$4</definedName>
    <definedName name="工商税收2004年">[12]工商税收!$S$4:$S$184</definedName>
    <definedName name="工商税收合计2004年">[12]工商税收!$S$4</definedName>
    <definedName name="公检法司部门编制数">[13]公检法司编制!$E$4:$E$184</definedName>
    <definedName name="公用标准支出">[14]合计!$E$4:$E$184</definedName>
    <definedName name="行政管理部门编制数">[13]行政编制!$E$4:$E$184</definedName>
    <definedName name="合___计" localSheetId="52">#REF!</definedName>
    <definedName name="合___计">#REF!</definedName>
    <definedName name="汇率" localSheetId="52">#REF!</definedName>
    <definedName name="汇率">#REF!</definedName>
    <definedName name="科目编码">[15]编码!$A$2:$A$145</definedName>
    <definedName name="农业人口2003年">[16]农业人口!$E$4:$E$184</definedName>
    <definedName name="农业税分县2003年">[11]一般预算收入!$S$4:$S$184</definedName>
    <definedName name="农业税合计2003年">[11]一般预算收入!$S$4</definedName>
    <definedName name="农业特产税分县2003年">[11]一般预算收入!$T$4:$T$184</definedName>
    <definedName name="农业特产税合计2003年">[11]一般预算收入!$T$4</definedName>
    <definedName name="农业用地面积">[17]农业用地!$E$4:$E$184</definedName>
    <definedName name="契税分县2003年">[11]一般预算收入!$V$4:$V$184</definedName>
    <definedName name="契税合计2003年">[11]一般预算收入!$V$4</definedName>
    <definedName name="全额差额比例" localSheetId="52">'[18]C01-1'!#REF!</definedName>
    <definedName name="全额差额比例">'[18]C01-1'!#REF!</definedName>
    <definedName name="人员标准支出">[19]人员支出!$E$4:$E$184</definedName>
    <definedName name="生产列1" localSheetId="52">#REF!</definedName>
    <definedName name="生产列1">#REF!</definedName>
    <definedName name="生产列11" localSheetId="52">#REF!</definedName>
    <definedName name="生产列11">#REF!</definedName>
    <definedName name="生产列15" localSheetId="52">#REF!</definedName>
    <definedName name="生产列15">#REF!</definedName>
    <definedName name="生产列16" localSheetId="52">#REF!</definedName>
    <definedName name="生产列16">#REF!</definedName>
    <definedName name="生产列17" localSheetId="52">#REF!</definedName>
    <definedName name="生产列17">#REF!</definedName>
    <definedName name="生产列19" localSheetId="52">#REF!</definedName>
    <definedName name="生产列19">#REF!</definedName>
    <definedName name="生产列2" localSheetId="52">#REF!</definedName>
    <definedName name="生产列2">#REF!</definedName>
    <definedName name="生产列20" localSheetId="52">#REF!</definedName>
    <definedName name="生产列20">#REF!</definedName>
    <definedName name="生产列3" localSheetId="52">#REF!</definedName>
    <definedName name="生产列3">#REF!</definedName>
    <definedName name="生产列4" localSheetId="52">#REF!</definedName>
    <definedName name="生产列4">#REF!</definedName>
    <definedName name="生产列5" localSheetId="52">#REF!</definedName>
    <definedName name="生产列5">#REF!</definedName>
    <definedName name="生产列6" localSheetId="52">#REF!</definedName>
    <definedName name="生产列6">#REF!</definedName>
    <definedName name="生产列7" localSheetId="52">#REF!</definedName>
    <definedName name="生产列7">#REF!</definedName>
    <definedName name="生产列8" localSheetId="52">#REF!</definedName>
    <definedName name="生产列8">#REF!</definedName>
    <definedName name="生产列9" localSheetId="52">#REF!</definedName>
    <definedName name="生产列9">#REF!</definedName>
    <definedName name="生产期" localSheetId="52">#REF!</definedName>
    <definedName name="生产期">#REF!</definedName>
    <definedName name="生产期1" localSheetId="52">#REF!</definedName>
    <definedName name="生产期1">#REF!</definedName>
    <definedName name="生产期11" localSheetId="52">#REF!</definedName>
    <definedName name="生产期11">#REF!</definedName>
    <definedName name="生产期123" localSheetId="52">#REF!</definedName>
    <definedName name="生产期123">#REF!</definedName>
    <definedName name="生产期15" localSheetId="52">#REF!</definedName>
    <definedName name="生产期15">#REF!</definedName>
    <definedName name="生产期16" localSheetId="52">#REF!</definedName>
    <definedName name="生产期16">#REF!</definedName>
    <definedName name="生产期17" localSheetId="52">#REF!</definedName>
    <definedName name="生产期17">#REF!</definedName>
    <definedName name="生产期19" localSheetId="52">#REF!</definedName>
    <definedName name="生产期19">#REF!</definedName>
    <definedName name="生产期2" localSheetId="52">#REF!</definedName>
    <definedName name="生产期2">#REF!</definedName>
    <definedName name="生产期20" localSheetId="52">#REF!</definedName>
    <definedName name="生产期20">#REF!</definedName>
    <definedName name="生产期3" localSheetId="52">#REF!</definedName>
    <definedName name="生产期3">#REF!</definedName>
    <definedName name="生产期4" localSheetId="52">#REF!</definedName>
    <definedName name="生产期4">#REF!</definedName>
    <definedName name="生产期5" localSheetId="52">#REF!</definedName>
    <definedName name="生产期5">#REF!</definedName>
    <definedName name="生产期6" localSheetId="52">#REF!</definedName>
    <definedName name="生产期6">#REF!</definedName>
    <definedName name="生产期7" localSheetId="52">#REF!</definedName>
    <definedName name="生产期7">#REF!</definedName>
    <definedName name="生产期8" localSheetId="52">#REF!</definedName>
    <definedName name="生产期8">#REF!</definedName>
    <definedName name="生产期9" localSheetId="52">#REF!</definedName>
    <definedName name="生产期9">#REF!</definedName>
    <definedName name="事业发展支出">[20]事业发展!$E$4:$E$184</definedName>
    <definedName name="是" localSheetId="52">#REF!</definedName>
    <definedName name="是">#REF!</definedName>
    <definedName name="手机">OR([3]Sheet!$AL1="未填手机号码",[3]Sheet!$AL1="请检查手机号码")</definedName>
    <definedName name="索引号" localSheetId="52">#REF!</definedName>
    <definedName name="索引号">#REF!</definedName>
    <definedName name="未审合计" localSheetId="52">#REF!</definedName>
    <definedName name="未审合计">#REF!</definedName>
    <definedName name="未审数" localSheetId="52">#REF!</definedName>
    <definedName name="未审数">#REF!</definedName>
    <definedName name="位次d" localSheetId="52">[21]四月份月报!#REF!</definedName>
    <definedName name="位次d">[21]四月份月报!#REF!</definedName>
    <definedName name="乡镇个数">[22]行政区划!$D$6:$D$184</definedName>
    <definedName name="性别">[3]Sheet!$D1="性别填写有误"</definedName>
    <definedName name="学历">[23]基础编码!$S$2:$S$9</definedName>
    <definedName name="一般预算收入2002年">'[24]2002年一般预算收入'!$AC$4:$AC$184</definedName>
    <definedName name="一般预算收入2003年">[11]一般预算收入!$AD$4:$AD$184</definedName>
    <definedName name="一般预算收入合计2003年">[11]一般预算收入!$AC$4</definedName>
    <definedName name="支出">'[25]P1012001'!$A$6:$E$117</definedName>
    <definedName name="中国" localSheetId="52">#REF!</definedName>
    <definedName name="中国">#REF!</definedName>
    <definedName name="中小学生人数2003年">[26]中小学生!$E$4:$E$184</definedName>
    <definedName name="总人口2003年">[27]总人口!$E$4:$E$184</definedName>
    <definedName name="전" localSheetId="52">#REF!</definedName>
    <definedName name="전">#REF!</definedName>
    <definedName name="주택사업본부" localSheetId="52">#REF!</definedName>
    <definedName name="주택사업본부">#REF!</definedName>
    <definedName name="철구사업본부" localSheetId="52">#REF!</definedName>
    <definedName name="철구사업본부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<sst xmlns="http://schemas.openxmlformats.org/spreadsheetml/2006/main" count="1687" uniqueCount="583">
  <si>
    <t>主要经济指标完成情况</t>
  </si>
  <si>
    <t>指   标</t>
  </si>
  <si>
    <t>单位</t>
  </si>
  <si>
    <t>2018年</t>
  </si>
  <si>
    <t>绝对值</t>
  </si>
  <si>
    <t>增长%</t>
  </si>
  <si>
    <t>生产总值(GDP)</t>
  </si>
  <si>
    <t>亿元</t>
  </si>
  <si>
    <t>-</t>
  </si>
  <si>
    <t>规模以上工业总产值</t>
  </si>
  <si>
    <t>规模以上工业增加值</t>
  </si>
  <si>
    <t>固定资产投资</t>
  </si>
  <si>
    <t xml:space="preserve">    房地产开发投资</t>
  </si>
  <si>
    <t xml:space="preserve">    商品房销售面积</t>
  </si>
  <si>
    <t>万平方米</t>
  </si>
  <si>
    <t>社会消费品零售总额</t>
  </si>
  <si>
    <t>地方一般公共预算收入</t>
  </si>
  <si>
    <t>地方一般公共预算支出</t>
  </si>
  <si>
    <t>税收收入</t>
  </si>
  <si>
    <t>进出口总额（2018年）</t>
  </si>
  <si>
    <t xml:space="preserve">    出口总额</t>
  </si>
  <si>
    <t xml:space="preserve">    进口总额</t>
  </si>
  <si>
    <t>实际使用外资（2018年）</t>
  </si>
  <si>
    <t>万美元</t>
  </si>
  <si>
    <t>金融机构本外币存款余额</t>
  </si>
  <si>
    <t xml:space="preserve">    #住户存款余额</t>
  </si>
  <si>
    <t>金融机构本外币贷款余额</t>
  </si>
  <si>
    <t>居民消费价格指数</t>
  </si>
  <si>
    <t>%</t>
  </si>
  <si>
    <t>工业生产者出厂价格指数</t>
  </si>
  <si>
    <t>全社会用电量</t>
  </si>
  <si>
    <t>亿千瓦时</t>
  </si>
  <si>
    <t xml:space="preserve">    工业用电量</t>
  </si>
  <si>
    <t>注：生产总值按季度统计，税收收入按自然口径计算。</t>
  </si>
  <si>
    <t>全市生产总值（GDP）</t>
  </si>
  <si>
    <t>单位：亿元</t>
  </si>
  <si>
    <t>指  标</t>
  </si>
  <si>
    <t>生产总值</t>
  </si>
  <si>
    <t xml:space="preserve">    第一产业</t>
  </si>
  <si>
    <t xml:space="preserve">    第二产业</t>
  </si>
  <si>
    <t xml:space="preserve">        建筑业</t>
  </si>
  <si>
    <t xml:space="preserve">    第三产业</t>
  </si>
  <si>
    <t xml:space="preserve">        交运仓储邮电通信业</t>
  </si>
  <si>
    <t xml:space="preserve">        批发和零售业</t>
  </si>
  <si>
    <t xml:space="preserve">        住宿和餐饮业</t>
  </si>
  <si>
    <t xml:space="preserve">        金融业</t>
  </si>
  <si>
    <t xml:space="preserve">        房地产业</t>
  </si>
  <si>
    <t xml:space="preserve">        营利性服务业</t>
  </si>
  <si>
    <t xml:space="preserve">        非营利性服务业</t>
  </si>
  <si>
    <t xml:space="preserve">        农业</t>
  </si>
  <si>
    <t xml:space="preserve">        工业</t>
  </si>
  <si>
    <t xml:space="preserve">  三次产业结构（%）</t>
  </si>
  <si>
    <t>17.7:36.1:46.1</t>
  </si>
  <si>
    <t>注：生产总值按季度核算。</t>
  </si>
  <si>
    <t>农业生产情况</t>
  </si>
  <si>
    <t>一、农林牧渔业总产值</t>
  </si>
  <si>
    <t xml:space="preserve">        农  业</t>
  </si>
  <si>
    <t xml:space="preserve">        林  业</t>
  </si>
  <si>
    <t xml:space="preserve">        畜牧业</t>
  </si>
  <si>
    <t xml:space="preserve">        渔  业</t>
  </si>
  <si>
    <t xml:space="preserve">        农林牧渔服务业</t>
  </si>
  <si>
    <t>二、农林牧渔业增加值</t>
  </si>
  <si>
    <t>三、主要农产品产量</t>
  </si>
  <si>
    <t xml:space="preserve">        粮  食 </t>
  </si>
  <si>
    <t>万吨</t>
  </si>
  <si>
    <t xml:space="preserve">            #稻  谷</t>
  </si>
  <si>
    <t xml:space="preserve">        蔬  菜 </t>
  </si>
  <si>
    <t xml:space="preserve">        园林水果 </t>
  </si>
  <si>
    <t xml:space="preserve">        生  猪（出栏量） </t>
  </si>
  <si>
    <t>万头</t>
  </si>
  <si>
    <t xml:space="preserve">        家  禽（出栏量）      </t>
  </si>
  <si>
    <t>万只</t>
  </si>
  <si>
    <t xml:space="preserve">        水产品 </t>
  </si>
  <si>
    <t>注：农业总产值和增加值按季度核算，增长速度按可比价格计算，以2017年农普修订的季度数据为基数。</t>
  </si>
  <si>
    <t>规模以上工业生产情况（一）</t>
  </si>
  <si>
    <t>增速（%）</t>
  </si>
  <si>
    <t>一、工业总产值</t>
  </si>
  <si>
    <t xml:space="preserve">  # 轻工业</t>
  </si>
  <si>
    <t xml:space="preserve">    重工业</t>
  </si>
  <si>
    <t xml:space="preserve">  # 国有企业</t>
  </si>
  <si>
    <t xml:space="preserve">    集体企业</t>
  </si>
  <si>
    <t xml:space="preserve">    股份合作制企业</t>
  </si>
  <si>
    <t xml:space="preserve">    股份制企业</t>
  </si>
  <si>
    <t xml:space="preserve">    外商及港澳台企业</t>
  </si>
  <si>
    <t xml:space="preserve">    其他经济类型企业</t>
  </si>
  <si>
    <t xml:space="preserve">  # 国有及国有控股企业</t>
  </si>
  <si>
    <t xml:space="preserve">    民营企业</t>
  </si>
  <si>
    <t xml:space="preserve">  # 大型企业</t>
  </si>
  <si>
    <t xml:space="preserve">    中型企业</t>
  </si>
  <si>
    <t xml:space="preserve">    小型企业</t>
  </si>
  <si>
    <t xml:space="preserve">    微型企业</t>
  </si>
  <si>
    <t>二、出口交货值</t>
  </si>
  <si>
    <t>现价销售产值         （亿元）</t>
  </si>
  <si>
    <t>产品销售率（%）</t>
  </si>
  <si>
    <t>产品销售率增速（%）</t>
  </si>
  <si>
    <t>三、销售产值及产销率</t>
  </si>
  <si>
    <t>注：2011年起，规模以上工业统计范围为主营业务收入2000万元及以上的工业法人企业。</t>
  </si>
  <si>
    <t>规模以上工业生产情况（二）</t>
  </si>
  <si>
    <t>一、工业增加值</t>
  </si>
  <si>
    <t>规模以上工业企业经济效益</t>
  </si>
  <si>
    <t>计量单位</t>
  </si>
  <si>
    <t>企业单位数</t>
  </si>
  <si>
    <t>个</t>
  </si>
  <si>
    <t xml:space="preserve">    #亏损企业</t>
  </si>
  <si>
    <t>亏损企业亏损额</t>
  </si>
  <si>
    <t>主营业务收入</t>
  </si>
  <si>
    <t>实现利税总额</t>
  </si>
  <si>
    <t xml:space="preserve">    #利润总额</t>
  </si>
  <si>
    <t>资产合计</t>
  </si>
  <si>
    <t>负债合计</t>
  </si>
  <si>
    <t>应收帐款净额</t>
  </si>
  <si>
    <t>产成品存货</t>
  </si>
  <si>
    <t>利息支出</t>
  </si>
  <si>
    <t>全部从业人员平均人数</t>
  </si>
  <si>
    <t>万人</t>
  </si>
  <si>
    <t>经济效益综合指数</t>
  </si>
  <si>
    <t>资产贡献率</t>
  </si>
  <si>
    <t>资产增值率</t>
  </si>
  <si>
    <t>资产负债率</t>
  </si>
  <si>
    <t>流动资产周转率</t>
  </si>
  <si>
    <t>次</t>
  </si>
  <si>
    <t>成本利润率</t>
  </si>
  <si>
    <t>劳动生产率</t>
  </si>
  <si>
    <t>万元/人</t>
  </si>
  <si>
    <t>产品销售率</t>
  </si>
  <si>
    <t>分行业规模以上工业企业总产值(一）</t>
  </si>
  <si>
    <t>全市总计</t>
  </si>
  <si>
    <t>黑色金属矿采矿业</t>
  </si>
  <si>
    <t>有色金属矿采选业</t>
  </si>
  <si>
    <t>非金属矿采选业</t>
  </si>
  <si>
    <t>开采辅助活动</t>
  </si>
  <si>
    <t>其他采矿业</t>
  </si>
  <si>
    <t>农副食品加工业</t>
  </si>
  <si>
    <t xml:space="preserve">    其中：植物油加工    </t>
  </si>
  <si>
    <t xml:space="preserve">          制糖</t>
  </si>
  <si>
    <t xml:space="preserve">          水产品加工</t>
  </si>
  <si>
    <t>食品制造业</t>
  </si>
  <si>
    <t>酒.饮料和精制茶制造业</t>
  </si>
  <si>
    <t>烟草制品业</t>
  </si>
  <si>
    <t>纺织业</t>
  </si>
  <si>
    <t>纺织服装、服饰业</t>
  </si>
  <si>
    <t>皮革毛皮羽毛制品业</t>
  </si>
  <si>
    <t>木材.竹.藤.棕.草制品业</t>
  </si>
  <si>
    <t>家具制造业</t>
  </si>
  <si>
    <t>造纸及纸制品业</t>
  </si>
  <si>
    <t>印刷、记录媒介复制</t>
  </si>
  <si>
    <t>分行业规模以上工业企业总产值(二）</t>
  </si>
  <si>
    <t>文教体育娱乐用品制造业</t>
  </si>
  <si>
    <t>石油加工.炼焦业</t>
  </si>
  <si>
    <t>化学原料及化学制造业</t>
  </si>
  <si>
    <t>医药制造业</t>
  </si>
  <si>
    <t>橡胶和塑料制品业</t>
  </si>
  <si>
    <t>非金属矿制品业</t>
  </si>
  <si>
    <t>黑色金属冶炼压延加工业</t>
  </si>
  <si>
    <t>有色金属冶炼压延加工业</t>
  </si>
  <si>
    <t>金属制品业</t>
  </si>
  <si>
    <t>通用机械制造业</t>
  </si>
  <si>
    <t>专用设备制造业</t>
  </si>
  <si>
    <t>汽车制造业</t>
  </si>
  <si>
    <t>铁路船舶和其他运输设备制造</t>
  </si>
  <si>
    <t>电气机械及器材制造业</t>
  </si>
  <si>
    <t>通信设备.计算机制造业</t>
  </si>
  <si>
    <t>其他制造业</t>
  </si>
  <si>
    <t>废弃资源废旧材料回收业</t>
  </si>
  <si>
    <t>金属制品.机械和设备修理业</t>
  </si>
  <si>
    <t>电力.热力生产和供应业</t>
  </si>
  <si>
    <t>燃气生产和供应业</t>
  </si>
  <si>
    <t>自来水的生产和供应业</t>
  </si>
  <si>
    <t>规模以上工业企业主要产品产量(一）</t>
  </si>
  <si>
    <t>原  盐</t>
  </si>
  <si>
    <t>饲  料</t>
  </si>
  <si>
    <t>食用植物油</t>
  </si>
  <si>
    <t>小麦粉</t>
  </si>
  <si>
    <t>鲜冷藏冻肉</t>
  </si>
  <si>
    <t>成品糖</t>
  </si>
  <si>
    <t>罐头</t>
  </si>
  <si>
    <t>发酵酒精</t>
  </si>
  <si>
    <t>千升</t>
  </si>
  <si>
    <t>饮料酒</t>
  </si>
  <si>
    <t xml:space="preserve">  其中:白酒   </t>
  </si>
  <si>
    <t xml:space="preserve">       啤酒   </t>
  </si>
  <si>
    <t>乳制品</t>
  </si>
  <si>
    <t>饮料</t>
  </si>
  <si>
    <t>冷冻水产品</t>
  </si>
  <si>
    <t>卷  烟</t>
  </si>
  <si>
    <t>亿支</t>
  </si>
  <si>
    <t>纱</t>
  </si>
  <si>
    <t>布</t>
  </si>
  <si>
    <t>万米</t>
  </si>
  <si>
    <t>服装</t>
  </si>
  <si>
    <t>万件</t>
  </si>
  <si>
    <t>规模以上工业企业主要产品产量(二）</t>
  </si>
  <si>
    <t>纸浆</t>
  </si>
  <si>
    <t>人造板</t>
  </si>
  <si>
    <t>万立方米</t>
  </si>
  <si>
    <t>家具</t>
  </si>
  <si>
    <t>机制纸及纸板</t>
  </si>
  <si>
    <t>纸制品</t>
  </si>
  <si>
    <t>原油加工量</t>
  </si>
  <si>
    <t>汽油</t>
  </si>
  <si>
    <t>柴油</t>
  </si>
  <si>
    <t>燃料油</t>
  </si>
  <si>
    <t>石脑油</t>
  </si>
  <si>
    <t>石油沥青</t>
  </si>
  <si>
    <t>液化石油气</t>
  </si>
  <si>
    <t>硫酸(折100%)</t>
  </si>
  <si>
    <t>纯苯</t>
  </si>
  <si>
    <t>农用化学肥料</t>
  </si>
  <si>
    <t>磷酸二铵（实物量）</t>
  </si>
  <si>
    <t>初级形态的塑料</t>
  </si>
  <si>
    <t>化学药品原药</t>
  </si>
  <si>
    <t>涂料</t>
  </si>
  <si>
    <t>中成药</t>
  </si>
  <si>
    <t>规模以上工业企业主要产品产量(三）</t>
  </si>
  <si>
    <t>塑料制品</t>
  </si>
  <si>
    <t>塑料薄膜</t>
  </si>
  <si>
    <t>橡胶轮胎外胎</t>
  </si>
  <si>
    <t>万条</t>
  </si>
  <si>
    <t>水泥</t>
  </si>
  <si>
    <t>商品混凝土</t>
  </si>
  <si>
    <t>砖(折标准砖)</t>
  </si>
  <si>
    <t>亿块</t>
  </si>
  <si>
    <t>玻璃包装容器</t>
  </si>
  <si>
    <t>瓷砖</t>
  </si>
  <si>
    <t>生铁</t>
  </si>
  <si>
    <t>粗钢</t>
  </si>
  <si>
    <t>钢材</t>
  </si>
  <si>
    <t>不锈钢日用制品</t>
  </si>
  <si>
    <t>铝  材</t>
  </si>
  <si>
    <t>金属紧固件</t>
  </si>
  <si>
    <t>农产品初加工机械</t>
  </si>
  <si>
    <t>台</t>
  </si>
  <si>
    <t>变压器</t>
  </si>
  <si>
    <t>万千伏安</t>
  </si>
  <si>
    <t>电饭锅</t>
  </si>
  <si>
    <t>万个</t>
  </si>
  <si>
    <t>灯具照明装置</t>
  </si>
  <si>
    <t>万台（套）</t>
  </si>
  <si>
    <t>发电量</t>
  </si>
  <si>
    <t>供电量</t>
  </si>
  <si>
    <t>工业综合能源消费量</t>
  </si>
  <si>
    <t>单位：万吨标准煤</t>
  </si>
  <si>
    <t>规模以上工业企业</t>
  </si>
  <si>
    <t xml:space="preserve">    采矿业</t>
  </si>
  <si>
    <t xml:space="preserve">    制造业</t>
  </si>
  <si>
    <t xml:space="preserve">    电力、热力、燃气及水生产和供应业</t>
  </si>
  <si>
    <t xml:space="preserve"> 高耗能行业</t>
  </si>
  <si>
    <t xml:space="preserve">  25.石油、煤炭及其他燃料加工业 </t>
  </si>
  <si>
    <t xml:space="preserve">  26.化学原料和化学制品制造业</t>
  </si>
  <si>
    <t xml:space="preserve">  30.非金属矿物制品业</t>
  </si>
  <si>
    <t xml:space="preserve">  31.黑色金属冶炼和压延加工业</t>
  </si>
  <si>
    <t xml:space="preserve">  32.有色金属冶炼和压延加工业 </t>
  </si>
  <si>
    <t xml:space="preserve">  44.电力、热力生产和供应业</t>
  </si>
  <si>
    <t>注：工业综合能源消费量(按当量值计算)为企业在工业生产活动中实际消费的各种能源的总和净值。</t>
  </si>
  <si>
    <t>交通运输完成情况</t>
  </si>
  <si>
    <t>1月</t>
  </si>
  <si>
    <t>一、港口货物吞吐量</t>
  </si>
  <si>
    <t>全市港口货物吞吐量</t>
  </si>
  <si>
    <t>全市港口集装箱吞吐量</t>
  </si>
  <si>
    <t>万TEU</t>
  </si>
  <si>
    <t>二、交通运输</t>
  </si>
  <si>
    <t>（一）公 路</t>
  </si>
  <si>
    <t xml:space="preserve">        货运量</t>
  </si>
  <si>
    <t>亿吨</t>
  </si>
  <si>
    <t xml:space="preserve">        货物周转量</t>
  </si>
  <si>
    <t>亿吨公里</t>
  </si>
  <si>
    <t xml:space="preserve">        客运量</t>
  </si>
  <si>
    <t xml:space="preserve">        旅客周转量</t>
  </si>
  <si>
    <t>亿人公里</t>
  </si>
  <si>
    <t>（二）水 路</t>
  </si>
  <si>
    <t>固定资产投资完成情况</t>
  </si>
  <si>
    <t>一、固定资产投资</t>
  </si>
  <si>
    <t xml:space="preserve">       基础设施 </t>
  </si>
  <si>
    <t xml:space="preserve">          #城市建设</t>
  </si>
  <si>
    <t xml:space="preserve">           交通运输基础设施投资</t>
  </si>
  <si>
    <t xml:space="preserve">       房地产开发</t>
  </si>
  <si>
    <t xml:space="preserve">       工业</t>
  </si>
  <si>
    <t xml:space="preserve">          #技术改造</t>
  </si>
  <si>
    <t xml:space="preserve">    按注册类型分：国有经济投资</t>
  </si>
  <si>
    <t xml:space="preserve">                  民间投资</t>
  </si>
  <si>
    <t xml:space="preserve">                  港澳台及外商投资</t>
  </si>
  <si>
    <t xml:space="preserve">    按产业分：第一产业</t>
  </si>
  <si>
    <t xml:space="preserve">              第二产业</t>
  </si>
  <si>
    <t xml:space="preserve">              第三产业</t>
  </si>
  <si>
    <t>二、施工项目个数</t>
  </si>
  <si>
    <t xml:space="preserve">      #亿元以上项目</t>
  </si>
  <si>
    <t xml:space="preserve">      #工业新增项目</t>
  </si>
  <si>
    <t>三、本年施工房屋面积</t>
  </si>
  <si>
    <t xml:space="preserve">       #住宅</t>
  </si>
  <si>
    <t>四、竣工面积</t>
  </si>
  <si>
    <t>五、商品房销售面积</t>
  </si>
  <si>
    <t>六、商品房销售额</t>
  </si>
  <si>
    <t>一、社会消费品零售总额</t>
  </si>
  <si>
    <t>（一）按销售单位所在地分</t>
  </si>
  <si>
    <t xml:space="preserve">       1.城镇</t>
  </si>
  <si>
    <t xml:space="preserve">       2.乡村</t>
  </si>
  <si>
    <t>（二）按行业分</t>
  </si>
  <si>
    <t xml:space="preserve">       1.批发零售贸易业</t>
  </si>
  <si>
    <t xml:space="preserve">       2.住宿和餐饮业</t>
  </si>
  <si>
    <t>（三）限额以上批发和零售业消费品零售额</t>
  </si>
  <si>
    <t xml:space="preserve">      粮油、食品、饮料、烟酒类</t>
  </si>
  <si>
    <t xml:space="preserve">      服装鞋帽针纺织品类</t>
  </si>
  <si>
    <t xml:space="preserve">      化妆品类</t>
  </si>
  <si>
    <t xml:space="preserve">      金银珠宝类</t>
  </si>
  <si>
    <t xml:space="preserve">      日用品类</t>
  </si>
  <si>
    <t xml:space="preserve">      五金电料类</t>
  </si>
  <si>
    <t xml:space="preserve">      体育娱乐用品类</t>
  </si>
  <si>
    <t xml:space="preserve">      书报杂志类</t>
  </si>
  <si>
    <t xml:space="preserve">      电子出版物及音像制品类</t>
  </si>
  <si>
    <t xml:space="preserve">      家用电器和音像器材类</t>
  </si>
  <si>
    <t xml:space="preserve">      中西药品类</t>
  </si>
  <si>
    <t xml:space="preserve">      文化办公用品类</t>
  </si>
  <si>
    <t xml:space="preserve">      家具类</t>
  </si>
  <si>
    <t xml:space="preserve">      通讯器材类</t>
  </si>
  <si>
    <t xml:space="preserve">      石油及制品类</t>
  </si>
  <si>
    <t xml:space="preserve">      建筑及装潢材料类</t>
  </si>
  <si>
    <t xml:space="preserve">      机电产品及设备类</t>
  </si>
  <si>
    <t xml:space="preserve">      汽车类</t>
  </si>
  <si>
    <t xml:space="preserve">      其他类</t>
  </si>
  <si>
    <t>财政收支情况</t>
  </si>
  <si>
    <t>单位:亿元</t>
  </si>
  <si>
    <t>增长％</t>
  </si>
  <si>
    <t xml:space="preserve">     地方一般公共预算收入</t>
  </si>
  <si>
    <t xml:space="preserve">       ＃税收收入</t>
  </si>
  <si>
    <t xml:space="preserve">            ＃增值税</t>
  </si>
  <si>
    <t xml:space="preserve">              企业所得税</t>
  </si>
  <si>
    <t xml:space="preserve">              个人所得税</t>
  </si>
  <si>
    <t xml:space="preserve">         非税收入</t>
  </si>
  <si>
    <t xml:space="preserve">    地方一般公共预算支出</t>
  </si>
  <si>
    <t xml:space="preserve">        ＃一般公共服务</t>
  </si>
  <si>
    <t xml:space="preserve">          科学技术</t>
  </si>
  <si>
    <t xml:space="preserve">          民生支出合计</t>
  </si>
  <si>
    <t xml:space="preserve">             ＃教育</t>
  </si>
  <si>
    <t xml:space="preserve">              文化体育与传媒</t>
  </si>
  <si>
    <t xml:space="preserve">              社会保障和就业</t>
  </si>
  <si>
    <t xml:space="preserve">              医疗卫生和计划生育</t>
  </si>
  <si>
    <t xml:space="preserve">              节能环保</t>
  </si>
  <si>
    <t xml:space="preserve">              城乡社区事务</t>
  </si>
  <si>
    <t xml:space="preserve">              农林水事务</t>
  </si>
  <si>
    <t xml:space="preserve">              交通运输</t>
  </si>
  <si>
    <t xml:space="preserve">              住房保障支出</t>
  </si>
  <si>
    <t xml:space="preserve">              粮油物资储备事务</t>
  </si>
  <si>
    <t>注：财政数据由湛江市财政局提供。</t>
  </si>
  <si>
    <t>金  融</t>
  </si>
  <si>
    <t>本月余额</t>
  </si>
  <si>
    <t>金融机构本外币各项存款余额</t>
  </si>
  <si>
    <t>　　（一）境内存款</t>
  </si>
  <si>
    <t>　　　　1.住户存款</t>
  </si>
  <si>
    <t xml:space="preserve">        2.非金融企业存款</t>
  </si>
  <si>
    <t xml:space="preserve">        3.广义政府存款</t>
  </si>
  <si>
    <t xml:space="preserve">        4.非银行业金融机构存款</t>
  </si>
  <si>
    <t>　　（二）境外存款</t>
  </si>
  <si>
    <t>金融机构本外币各项贷款余额</t>
  </si>
  <si>
    <t>　　（一）境内贷款</t>
  </si>
  <si>
    <t>　　　　1.住户贷款</t>
  </si>
  <si>
    <t xml:space="preserve">        2.非金融企业及机关团体贷款</t>
  </si>
  <si>
    <t xml:space="preserve">        3.非银行业金融机构贷款</t>
  </si>
  <si>
    <t>　　（二）境外贷款</t>
  </si>
  <si>
    <t>金融机构人民币各项存款余额</t>
  </si>
  <si>
    <t>　　　　　　其中：活期存款</t>
  </si>
  <si>
    <t>　　　　　　其中：机关团体存款</t>
  </si>
  <si>
    <t>金融机构人民币各项贷款余额</t>
  </si>
  <si>
    <t>　　　　　　其中：中长期贷款</t>
  </si>
  <si>
    <t>　　　　　　其中：短期贷款</t>
  </si>
  <si>
    <t>　　　　　　      中长期贷款</t>
  </si>
  <si>
    <t>注：金融数据由中国人民银行湛江市中心支行提供。</t>
  </si>
  <si>
    <t>对  外  经  济</t>
  </si>
  <si>
    <t>一、外贸进出口总额</t>
  </si>
  <si>
    <t xml:space="preserve">   (一)出口总额</t>
  </si>
  <si>
    <t xml:space="preserve">   1.按主要贸易方式分</t>
  </si>
  <si>
    <t xml:space="preserve">       一般贸易</t>
  </si>
  <si>
    <t xml:space="preserve">       来料加工</t>
  </si>
  <si>
    <t xml:space="preserve">       进料加工</t>
  </si>
  <si>
    <t xml:space="preserve">         保税仓进出境货物</t>
  </si>
  <si>
    <t xml:space="preserve">   2.按主要经济类型分</t>
  </si>
  <si>
    <t xml:space="preserve">       国有企业</t>
  </si>
  <si>
    <t xml:space="preserve">      “三”资企业</t>
  </si>
  <si>
    <t>   集体企业</t>
  </si>
  <si>
    <t xml:space="preserve">       私营企业</t>
  </si>
  <si>
    <t xml:space="preserve">   4.按主要国家（地区）分</t>
  </si>
  <si>
    <t>美     国</t>
  </si>
  <si>
    <t>东     盟</t>
  </si>
  <si>
    <t>欧     盟</t>
  </si>
  <si>
    <t>香     港</t>
  </si>
  <si>
    <t>印     度</t>
  </si>
  <si>
    <t xml:space="preserve">  (二)进口总额</t>
  </si>
  <si>
    <t xml:space="preserve">  按主要贸易方式分</t>
  </si>
  <si>
    <t>一般贸易</t>
  </si>
  <si>
    <t>来料加工</t>
  </si>
  <si>
    <t>进料加工</t>
  </si>
  <si>
    <t xml:space="preserve">      保税仓进出境货物</t>
  </si>
  <si>
    <t xml:space="preserve">二、使用外资金额 </t>
  </si>
  <si>
    <t xml:space="preserve">      外商直接投资项目个数 </t>
  </si>
  <si>
    <t xml:space="preserve">      合同利用外商直接投资</t>
  </si>
  <si>
    <t xml:space="preserve">      实际利用外商直接投资</t>
  </si>
  <si>
    <t>注:对外经济数据由湛江市商务局提供。</t>
  </si>
  <si>
    <t>人 民 生 活</t>
  </si>
  <si>
    <t>单位：元</t>
  </si>
  <si>
    <t>一、居民人均可支配收入</t>
  </si>
  <si>
    <t xml:space="preserve">    1、工资性收入</t>
  </si>
  <si>
    <t xml:space="preserve">    2、经营净收入</t>
  </si>
  <si>
    <t xml:space="preserve">    3、财产净收入</t>
  </si>
  <si>
    <t xml:space="preserve">    4、转移净收入</t>
  </si>
  <si>
    <t>其中：城镇常住居民人均可支配收入</t>
  </si>
  <si>
    <t xml:space="preserve">      农村常住居民人均可支配收入</t>
  </si>
  <si>
    <t>二、居民人均消费支出</t>
  </si>
  <si>
    <t xml:space="preserve">    1、食品烟酒</t>
  </si>
  <si>
    <t xml:space="preserve">    2、衣着</t>
  </si>
  <si>
    <t xml:space="preserve">    3、居住</t>
  </si>
  <si>
    <t xml:space="preserve">    4、生活用品及服务</t>
  </si>
  <si>
    <t xml:space="preserve">    5、交通通信</t>
  </si>
  <si>
    <t xml:space="preserve">    6、教育文化娱乐</t>
  </si>
  <si>
    <t xml:space="preserve">    7、医疗保健</t>
  </si>
  <si>
    <t xml:space="preserve">    8、其他用品和服务</t>
  </si>
  <si>
    <t>其中：城镇常住居民人均消费支出</t>
  </si>
  <si>
    <t xml:space="preserve">      农村常住居民人均消费支出</t>
  </si>
  <si>
    <t>注:居民收支数据由国家统计局湛江调查队提供。</t>
  </si>
  <si>
    <t>单位：%</t>
  </si>
  <si>
    <t>上年同月=100</t>
  </si>
  <si>
    <t>上年同期=100</t>
  </si>
  <si>
    <t>一、居民消费价格总指数</t>
  </si>
  <si>
    <t>（一）食品烟酒</t>
  </si>
  <si>
    <t xml:space="preserve">       #粮食</t>
  </si>
  <si>
    <t xml:space="preserve">        鲜菜</t>
  </si>
  <si>
    <t xml:space="preserve">        畜肉类</t>
  </si>
  <si>
    <t xml:space="preserve">        水产品</t>
  </si>
  <si>
    <t xml:space="preserve">        蛋类</t>
  </si>
  <si>
    <t xml:space="preserve">        在外餐饮</t>
  </si>
  <si>
    <t>（二）衣着</t>
  </si>
  <si>
    <t>（三）居住</t>
  </si>
  <si>
    <t xml:space="preserve">（四）生活用品及服务 </t>
  </si>
  <si>
    <t>（五）交通和通信</t>
  </si>
  <si>
    <t>（六）教育文化和娱乐</t>
  </si>
  <si>
    <t xml:space="preserve">      #教育</t>
  </si>
  <si>
    <t>（七）医疗保健</t>
  </si>
  <si>
    <t>（八）其他用品和服务</t>
  </si>
  <si>
    <t>服务项目价格指数</t>
  </si>
  <si>
    <t>二、商品零售价格指数（%）</t>
  </si>
  <si>
    <t>注:价格指数数据由国家统计局湛江调查队提供。</t>
  </si>
  <si>
    <t>各县（市、 区）主要经济指标完成情况（一）</t>
  </si>
  <si>
    <t>市  别</t>
  </si>
  <si>
    <t>增速排位</t>
  </si>
  <si>
    <t>一、生产总值</t>
  </si>
  <si>
    <t xml:space="preserve">     全  市</t>
  </si>
  <si>
    <t xml:space="preserve">     赤坎区</t>
  </si>
  <si>
    <t xml:space="preserve">     霞山区</t>
  </si>
  <si>
    <t xml:space="preserve">     坡头区</t>
  </si>
  <si>
    <t xml:space="preserve">     麻章区</t>
  </si>
  <si>
    <t xml:space="preserve">     开发区</t>
  </si>
  <si>
    <t xml:space="preserve">     吴川市</t>
  </si>
  <si>
    <t xml:space="preserve">     徐闻县</t>
  </si>
  <si>
    <t xml:space="preserve">     雷州市</t>
  </si>
  <si>
    <t xml:space="preserve">     遂溪县</t>
  </si>
  <si>
    <t xml:space="preserve">     廉江市</t>
  </si>
  <si>
    <t>二、第一产业增加值</t>
  </si>
  <si>
    <t>注：地区生产总值（GDP）按季度核算。</t>
  </si>
  <si>
    <t>各县（市、 区）主要经济指标完成情况（二）</t>
  </si>
  <si>
    <t>三、第二产业增加值</t>
  </si>
  <si>
    <t>四、第三产业增加值</t>
  </si>
  <si>
    <t>各县（市、 区）主要经济指标完成情况（三）</t>
  </si>
  <si>
    <t>五、工业增加值</t>
  </si>
  <si>
    <t>六、规模以上工业产品销售产值</t>
  </si>
  <si>
    <t xml:space="preserve">       其中：奋勇新区</t>
  </si>
  <si>
    <t xml:space="preserve">  总计中：开发区</t>
  </si>
  <si>
    <t>各县（市、 区）主要经济指标完成情况（四）</t>
  </si>
  <si>
    <t>七、规模以上工业增加值</t>
  </si>
  <si>
    <t xml:space="preserve"> 附：区属规模以上工业增加值</t>
  </si>
  <si>
    <t>各县（市、 区）主要经济指标完成情况（五）</t>
  </si>
  <si>
    <t>八、规模以上工业总产值</t>
  </si>
  <si>
    <t xml:space="preserve"> 附：区属规模以上工业总产值</t>
  </si>
  <si>
    <t>各县（市、 区）主要经济指标完成情况（六）</t>
  </si>
  <si>
    <t>九、规模以上产品销售率(%)</t>
  </si>
  <si>
    <t>十、规模以上工业产品出口交货值（亿元）</t>
  </si>
  <si>
    <t>各县（市、 区）主要经济指标完成情况（七）</t>
  </si>
  <si>
    <t>十一、规模以上工业企业经济效益综合指数(%)</t>
  </si>
  <si>
    <t>十二、规模以上工业企业单位数（个）</t>
  </si>
  <si>
    <t>各县（市、 区）主要经济指标完成情况（八）</t>
  </si>
  <si>
    <t>十三、规模以上工业亏损企业数（个）</t>
  </si>
  <si>
    <t>十四、规模以上工业企业主营业务收入(亿元)</t>
  </si>
  <si>
    <t>各县（市、 区）主要经济指标完成情况（九）</t>
  </si>
  <si>
    <t>十五、规模以上工业企业利润总额</t>
  </si>
  <si>
    <t>十六、规模以上工业企业亏损额</t>
  </si>
  <si>
    <t>各县（市、 区）主要经济指标完成情况（十）</t>
  </si>
  <si>
    <t>十七、规模以上工业企业利税总额</t>
  </si>
  <si>
    <t>十八、规模以上工业企业资产合计</t>
  </si>
  <si>
    <t>各县（市、 区）主要经济指标完成情况（十一）</t>
  </si>
  <si>
    <t>十九、规模以上工业企业负债合计</t>
  </si>
  <si>
    <t>二十、规模以上工业企业应收账款净额</t>
  </si>
  <si>
    <t>各县（市、 区）主要经济指标完成情况（十二）</t>
  </si>
  <si>
    <t>二十一、规模以上工业企业产成品存货</t>
  </si>
  <si>
    <t>二十二、规模以上工业企业利息支出</t>
  </si>
  <si>
    <t>各县（市、 区）主要经济指标完成情况（十三）</t>
  </si>
  <si>
    <t>二十三、规模以上工业企业全部平均人数(人）</t>
  </si>
  <si>
    <t>二十四、规模以上工业企业资产贡献率（%）</t>
  </si>
  <si>
    <t>各县（市、 区）主要经济指标完成情况（十四）</t>
  </si>
  <si>
    <t>二十五、规模以上工业企业资产增值率</t>
  </si>
  <si>
    <t>二十六、规模以上工业企业资产负债率</t>
  </si>
  <si>
    <t>各县（市、 区）主要经济指标完成情况（十五）</t>
  </si>
  <si>
    <t>二十七、规模以上工业企业流动资产周转率</t>
  </si>
  <si>
    <t>二十八、规模以上工业企业成本利润率</t>
  </si>
  <si>
    <t>各县（市、 区）主要经济指标完成情况（十六）</t>
  </si>
  <si>
    <t>二十九、固定资产投资</t>
  </si>
  <si>
    <t>三十、社会消费品零售总额</t>
  </si>
  <si>
    <t>各县（市、 区）主要经济指标完成情况（十七）</t>
  </si>
  <si>
    <t>三十一、地方一般公共预算收入</t>
  </si>
  <si>
    <t>三十二、地方一般公共预算支出</t>
  </si>
  <si>
    <t>各县（市、 区）主要经济指标完成情况（十八）</t>
  </si>
  <si>
    <t>三十三、进出口总额（亿元）</t>
  </si>
  <si>
    <t>三十四、实际使用外资（万美元）</t>
  </si>
  <si>
    <t>注：实际使用外资按原口径统计。</t>
  </si>
  <si>
    <t>全国及全省各市主要经济指标完成情况（五）</t>
  </si>
  <si>
    <t xml:space="preserve"> 市    别 </t>
  </si>
  <si>
    <t>地税收入</t>
  </si>
  <si>
    <t>国税收入</t>
  </si>
  <si>
    <t>1-5月</t>
  </si>
  <si>
    <t>增长（%）</t>
  </si>
  <si>
    <t>全  国</t>
  </si>
  <si>
    <t>全  省</t>
  </si>
  <si>
    <t>广州市</t>
  </si>
  <si>
    <t>深圳市</t>
  </si>
  <si>
    <t>珠海市</t>
  </si>
  <si>
    <t>汕头市</t>
  </si>
  <si>
    <t>佛山市</t>
  </si>
  <si>
    <t>韶关市</t>
  </si>
  <si>
    <t>河源市</t>
  </si>
  <si>
    <t>梅州市</t>
  </si>
  <si>
    <t>惠州市</t>
  </si>
  <si>
    <t>汕尾市</t>
  </si>
  <si>
    <t>东莞市</t>
  </si>
  <si>
    <t>中山市</t>
  </si>
  <si>
    <t>江门市</t>
  </si>
  <si>
    <t>阳江市</t>
  </si>
  <si>
    <t>湛江市</t>
  </si>
  <si>
    <t>茂名市</t>
  </si>
  <si>
    <t>肇庆市</t>
  </si>
  <si>
    <t>清远市</t>
  </si>
  <si>
    <t>潮州市</t>
  </si>
  <si>
    <t>揭阳市</t>
  </si>
  <si>
    <t>云浮市</t>
  </si>
  <si>
    <t>规模以上工业增加值序列</t>
  </si>
  <si>
    <t xml:space="preserve">  单位：万元</t>
  </si>
  <si>
    <t>时间</t>
  </si>
  <si>
    <t xml:space="preserve">  累计</t>
  </si>
  <si>
    <t>累计增长%</t>
  </si>
  <si>
    <t>月份</t>
  </si>
  <si>
    <t>2016年</t>
  </si>
  <si>
    <t>2017年</t>
  </si>
  <si>
    <t>累计数</t>
  </si>
  <si>
    <t>增速%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</si>
  <si>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</si>
  <si>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</si>
  <si>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</si>
  <si>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</si>
  <si>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</si>
  <si>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</si>
  <si>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</si>
  <si>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</si>
  <si>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</si>
  <si>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</si>
  <si>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</si>
  <si>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2019年</t>
  </si>
  <si>
    <t>进出口总额</t>
  </si>
  <si>
    <t>单位：亿元、亿美元</t>
  </si>
  <si>
    <t>注：2016年起，进出口总额数据以人民币计价。</t>
  </si>
  <si>
    <t>一般公共预算收入</t>
  </si>
  <si>
    <t>备注：地方一般公共预算收入增速为可比口径增长。</t>
  </si>
  <si>
    <t>同比增减
百分点</t>
  </si>
  <si>
    <t>累计指数</t>
  </si>
  <si>
    <t>工业用电量</t>
  </si>
  <si>
    <t>单位：亿千瓦时</t>
  </si>
  <si>
    <t>固定资产投资序列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</si>
  <si>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单位：万元</t>
    </r>
  </si>
  <si>
    <t>社会消费品零售总额序列</t>
  </si>
  <si>
    <t>出口序列</t>
  </si>
  <si>
    <t xml:space="preserve">    单位：万元</t>
  </si>
  <si>
    <t>外贸出口总额</t>
  </si>
  <si>
    <t xml:space="preserve"> </t>
  </si>
  <si>
    <t>地方一般公共预算收入序列</t>
  </si>
  <si>
    <t>工业用电量序列</t>
  </si>
  <si>
    <t xml:space="preserve">  单位：亿千瓦时</t>
  </si>
  <si>
    <t>（上年同期＝100）单位：%</t>
  </si>
  <si>
    <t>当月</t>
  </si>
  <si>
    <t>累计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</si>
</sst>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;\-#,##0;&quot;-&quot;"/>
    <numFmt numFmtId="177" formatCode="#,##0;\(#,##0\)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\ * #,##0.00_-;_-&quot;$&quot;\ * #,##0.00\-;_-&quot;$&quot;\ * &quot;-&quot;??_-;_-@_-"/>
    <numFmt numFmtId="181" formatCode="\$#,##0.00;\(\$#,##0.00\)"/>
    <numFmt numFmtId="182" formatCode="\$#,##0;\(\$#,##0\)"/>
    <numFmt numFmtId="183" formatCode="#,##0.0_);\(#,##0.0\)"/>
    <numFmt numFmtId="184" formatCode="_-&quot;$&quot;\ * #,##0_-;_-&quot;$&quot;\ * #,##0\-;_-&quot;$&quot;\ * &quot;-&quot;_-;_-@_-"/>
    <numFmt numFmtId="185" formatCode="&quot;$&quot;#,##0_);[Red]\(&quot;$&quot;#,##0\)"/>
    <numFmt numFmtId="186" formatCode="&quot;$&quot;#,##0.00_);[Red]\(&quot;$&quot;#,##0.00\)"/>
    <numFmt numFmtId="187" formatCode="&quot;$&quot;\ #,##0.00_-;[Red]&quot;$&quot;\ #,##0.00\-"/>
    <numFmt numFmtId="188" formatCode="&quot;$&quot;\ #,##0_-;[Red]&quot;$&quot;\ #,##0\-"/>
    <numFmt numFmtId="189" formatCode="0.00_)"/>
    <numFmt numFmtId="190" formatCode="#\ ??/??"/>
    <numFmt numFmtId="191" formatCode="_(&quot;$&quot;* #,##0.00_);_(&quot;$&quot;* \(#,##0.00\);_(&quot;$&quot;* &quot;-&quot;??_);_(@_)"/>
    <numFmt numFmtId="192" formatCode="_(&quot;$&quot;* #,##0_);_(&quot;$&quot;* \(#,##0\);_(&quot;$&quot;* &quot;-&quot;_);_(@_)"/>
    <numFmt numFmtId="193" formatCode="_-* #,##0_$_-;\-* #,##0_$_-;_-* &quot;-&quot;_$_-;_-@_-"/>
    <numFmt numFmtId="194" formatCode="_-* #,##0.00_$_-;\-* #,##0.00_$_-;_-* &quot;-&quot;??_$_-;_-@_-"/>
    <numFmt numFmtId="195" formatCode="_-* #,##0&quot;$&quot;_-;\-* #,##0&quot;$&quot;_-;_-* &quot;-&quot;&quot;$&quot;_-;_-@_-"/>
    <numFmt numFmtId="196" formatCode="_-* #,##0.00&quot;$&quot;_-;\-* #,##0.00&quot;$&quot;_-;_-* &quot;-&quot;??&quot;$&quot;_-;_-@_-"/>
    <numFmt numFmtId="197" formatCode="0_);\(0\)"/>
    <numFmt numFmtId="198" formatCode="yy\.mm\.dd"/>
    <numFmt numFmtId="199" formatCode="0.0"/>
    <numFmt numFmtId="200" formatCode="0.0_);[Red]\(0.0\)"/>
    <numFmt numFmtId="201" formatCode="0.0_ "/>
    <numFmt numFmtId="202" formatCode="0_);[Red]\(0\)"/>
    <numFmt numFmtId="203" formatCode="0.00_ "/>
    <numFmt numFmtId="204" formatCode="0;_؄"/>
    <numFmt numFmtId="205" formatCode="0_ "/>
    <numFmt numFmtId="206" formatCode="0.00_);[Red]\(0.00\)"/>
    <numFmt numFmtId="207" formatCode="0.0_ ;[Red]\-0.0\ "/>
    <numFmt numFmtId="208" formatCode="0.0%"/>
    <numFmt numFmtId="209" formatCode="0.0000_ "/>
  </numFmts>
  <fonts count="117">
    <font>
      <sz val="12"/>
      <name val="宋体"/>
      <charset val="134"/>
    </font>
    <font>
      <sz val="8"/>
      <name val="宋体"/>
      <charset val="134"/>
    </font>
    <font>
      <sz val="10"/>
      <name val="Arial"/>
      <charset val="134"/>
    </font>
    <font>
      <b/>
      <sz val="18"/>
      <name val="方正小标宋简体"/>
      <charset val="134"/>
    </font>
    <font>
      <sz val="10"/>
      <name val="宋体"/>
      <charset val="134"/>
    </font>
    <font>
      <sz val="12"/>
      <color indexed="10"/>
      <name val="宋体"/>
      <charset val="134"/>
    </font>
    <font>
      <b/>
      <sz val="18"/>
      <color indexed="10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color indexed="10"/>
      <name val="黑体"/>
      <charset val="134"/>
    </font>
    <font>
      <sz val="16"/>
      <name val="黑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b/>
      <sz val="9"/>
      <name val="Times New Roman"/>
      <charset val="134"/>
    </font>
    <font>
      <sz val="9"/>
      <name val="Times New Roman"/>
      <charset val="134"/>
    </font>
    <font>
      <sz val="10.5"/>
      <name val="Times New Roman"/>
      <charset val="134"/>
    </font>
    <font>
      <sz val="14"/>
      <name val="仿宋_GB2312"/>
      <charset val="134"/>
    </font>
    <font>
      <sz val="10"/>
      <name val="宋体"/>
      <charset val="134"/>
      <scheme val="minor"/>
    </font>
    <font>
      <sz val="11"/>
      <name val="宋体"/>
      <charset val="134"/>
      <scheme val="major"/>
    </font>
    <font>
      <b/>
      <sz val="11"/>
      <name val="宋体"/>
      <charset val="134"/>
      <scheme val="major"/>
    </font>
    <font>
      <sz val="11"/>
      <name val="宋体"/>
      <charset val="134"/>
    </font>
    <font>
      <b/>
      <sz val="11"/>
      <name val="宋体"/>
      <charset val="134"/>
    </font>
    <font>
      <sz val="12"/>
      <name val="Times New Roman"/>
      <charset val="134"/>
    </font>
    <font>
      <sz val="9"/>
      <name val="宋体"/>
      <charset val="134"/>
    </font>
    <font>
      <b/>
      <sz val="18"/>
      <name val="黑体"/>
      <charset val="13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????"/>
      <charset val="134"/>
    </font>
    <font>
      <sz val="10"/>
      <name val="Helv"/>
      <charset val="134"/>
    </font>
    <font>
      <sz val="10"/>
      <name val="Geneva"/>
      <charset val="134"/>
    </font>
    <font>
      <sz val="11"/>
      <color indexed="8"/>
      <name val="宋体"/>
      <charset val="134"/>
    </font>
    <font>
      <sz val="12"/>
      <color indexed="8"/>
      <name val="楷体_GB2312"/>
      <charset val="134"/>
    </font>
    <font>
      <sz val="11"/>
      <color indexed="9"/>
      <name val="宋体"/>
      <charset val="134"/>
    </font>
    <font>
      <sz val="12"/>
      <color indexed="9"/>
      <name val="楷体_GB2312"/>
      <charset val="134"/>
    </font>
    <font>
      <sz val="12"/>
      <color indexed="9"/>
      <name val="宋体"/>
      <charset val="134"/>
    </font>
    <font>
      <sz val="12"/>
      <color indexed="8"/>
      <name val="宋体"/>
      <charset val="134"/>
    </font>
    <font>
      <sz val="8"/>
      <name val="Times New Roman"/>
      <charset val="134"/>
    </font>
    <font>
      <sz val="11"/>
      <color indexed="20"/>
      <name val="宋体"/>
      <charset val="134"/>
    </font>
    <font>
      <sz val="10"/>
      <color indexed="8"/>
      <name val="Arial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0"/>
      <name val="Times New Roman"/>
      <charset val="134"/>
    </font>
    <font>
      <sz val="12"/>
      <name val="Arial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sz val="8"/>
      <name val="Arial"/>
      <charset val="134"/>
    </font>
    <font>
      <b/>
      <sz val="12"/>
      <name val="Arial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name val="Arial"/>
      <charset val="134"/>
    </font>
    <font>
      <sz val="11"/>
      <color indexed="62"/>
      <name val="宋体"/>
      <charset val="134"/>
    </font>
    <font>
      <sz val="12"/>
      <name val="Helv"/>
      <charset val="134"/>
    </font>
    <font>
      <sz val="11"/>
      <color indexed="52"/>
      <name val="宋体"/>
      <charset val="134"/>
    </font>
    <font>
      <sz val="12"/>
      <color indexed="9"/>
      <name val="Helv"/>
      <charset val="134"/>
    </font>
    <font>
      <sz val="11"/>
      <color indexed="60"/>
      <name val="宋体"/>
      <charset val="134"/>
    </font>
    <font>
      <sz val="7"/>
      <name val="Small Fonts"/>
      <charset val="134"/>
    </font>
    <font>
      <sz val="10"/>
      <name val="Courier"/>
      <charset val="134"/>
    </font>
    <font>
      <b/>
      <sz val="11"/>
      <color indexed="63"/>
      <name val="宋体"/>
      <charset val="134"/>
    </font>
    <font>
      <b/>
      <sz val="10"/>
      <name val="MS Sans Serif"/>
      <charset val="134"/>
    </font>
    <font>
      <b/>
      <sz val="10"/>
      <name val="Arial"/>
      <charset val="134"/>
    </font>
    <font>
      <b/>
      <sz val="10"/>
      <name val="Tms Rmn"/>
      <charset val="134"/>
    </font>
    <font>
      <sz val="10"/>
      <color indexed="8"/>
      <name val="MS Sans Serif"/>
      <charset val="134"/>
    </font>
    <font>
      <b/>
      <sz val="18"/>
      <color indexed="56"/>
      <name val="宋体"/>
      <charset val="134"/>
    </font>
    <font>
      <sz val="11"/>
      <color indexed="10"/>
      <name val="宋体"/>
      <charset val="134"/>
    </font>
    <font>
      <b/>
      <sz val="15"/>
      <color indexed="56"/>
      <name val="楷体_GB2312"/>
      <charset val="134"/>
    </font>
    <font>
      <b/>
      <sz val="13"/>
      <color indexed="56"/>
      <name val="楷体_GB2312"/>
      <charset val="134"/>
    </font>
    <font>
      <b/>
      <sz val="11"/>
      <color indexed="56"/>
      <name val="楷体_GB2312"/>
      <charset val="134"/>
    </font>
    <font>
      <b/>
      <sz val="14"/>
      <name val="楷体"/>
      <charset val="134"/>
    </font>
    <font>
      <b/>
      <sz val="18"/>
      <color indexed="62"/>
      <name val="宋体"/>
      <charset val="134"/>
    </font>
    <font>
      <sz val="10"/>
      <name val="楷体"/>
      <charset val="134"/>
    </font>
    <font>
      <sz val="12"/>
      <color indexed="20"/>
      <name val="楷体_GB2312"/>
      <charset val="134"/>
    </font>
    <font>
      <sz val="12"/>
      <color indexed="20"/>
      <name val="宋体"/>
      <charset val="134"/>
    </font>
    <font>
      <sz val="10.5"/>
      <color indexed="20"/>
      <name val="宋体"/>
      <charset val="134"/>
    </font>
    <font>
      <sz val="12"/>
      <color indexed="16"/>
      <name val="宋体"/>
      <charset val="134"/>
    </font>
    <font>
      <sz val="10"/>
      <color indexed="20"/>
      <name val="宋体"/>
      <charset val="134"/>
    </font>
    <font>
      <b/>
      <sz val="9"/>
      <name val="Arial"/>
      <charset val="134"/>
    </font>
    <font>
      <sz val="12"/>
      <color indexed="17"/>
      <name val="楷体_GB2312"/>
      <charset val="134"/>
    </font>
    <font>
      <sz val="12"/>
      <color indexed="17"/>
      <name val="宋体"/>
      <charset val="134"/>
    </font>
    <font>
      <sz val="10.5"/>
      <color indexed="17"/>
      <name val="宋体"/>
      <charset val="134"/>
    </font>
    <font>
      <sz val="10"/>
      <color indexed="17"/>
      <name val="宋体"/>
      <charset val="134"/>
    </font>
    <font>
      <u/>
      <sz val="12"/>
      <color indexed="36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楷体_GB2312"/>
      <charset val="134"/>
    </font>
    <font>
      <b/>
      <sz val="12"/>
      <color indexed="52"/>
      <name val="楷体_GB2312"/>
      <charset val="134"/>
    </font>
    <font>
      <b/>
      <sz val="12"/>
      <color indexed="9"/>
      <name val="楷体_GB2312"/>
      <charset val="134"/>
    </font>
    <font>
      <i/>
      <sz val="12"/>
      <color indexed="23"/>
      <name val="楷体_GB2312"/>
      <charset val="134"/>
    </font>
    <font>
      <sz val="12"/>
      <color indexed="10"/>
      <name val="楷体_GB2312"/>
      <charset val="134"/>
    </font>
    <font>
      <sz val="12"/>
      <color indexed="52"/>
      <name val="楷体_GB2312"/>
      <charset val="134"/>
    </font>
    <font>
      <sz val="12"/>
      <name val="官帕眉"/>
      <charset val="134"/>
    </font>
    <font>
      <b/>
      <sz val="12"/>
      <color indexed="8"/>
      <name val="宋体"/>
      <charset val="134"/>
    </font>
    <font>
      <sz val="12"/>
      <color indexed="60"/>
      <name val="楷体_GB2312"/>
      <charset val="134"/>
    </font>
    <font>
      <b/>
      <sz val="12"/>
      <color indexed="63"/>
      <name val="楷体_GB2312"/>
      <charset val="134"/>
    </font>
    <font>
      <sz val="12"/>
      <color indexed="62"/>
      <name val="楷体_GB2312"/>
      <charset val="134"/>
    </font>
    <font>
      <sz val="12"/>
      <name val="Courier"/>
      <charset val="134"/>
    </font>
    <font>
      <sz val="10"/>
      <name val="MS Sans Serif"/>
      <charset val="134"/>
    </font>
    <font>
      <sz val="12"/>
      <name val="바탕체"/>
      <charset val="134"/>
    </font>
  </fonts>
  <fills count="6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</fills>
  <borders count="7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auto="1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152">
    <xf numFmtId="0" fontId="0" fillId="0" borderId="0"/>
    <xf numFmtId="43" fontId="0" fillId="0" borderId="0" applyFont="0" applyFill="0" applyBorder="0" applyAlignment="0" applyProtection="0"/>
    <xf numFmtId="44" fontId="2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3" borderId="59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60" applyNumberFormat="0" applyFill="0" applyAlignment="0" applyProtection="0">
      <alignment vertical="center"/>
    </xf>
    <xf numFmtId="0" fontId="34" fillId="0" borderId="60" applyNumberFormat="0" applyFill="0" applyAlignment="0" applyProtection="0">
      <alignment vertical="center"/>
    </xf>
    <xf numFmtId="0" fontId="35" fillId="0" borderId="6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" borderId="62" applyNumberFormat="0" applyAlignment="0" applyProtection="0">
      <alignment vertical="center"/>
    </xf>
    <xf numFmtId="0" fontId="37" fillId="5" borderId="63" applyNumberFormat="0" applyAlignment="0" applyProtection="0">
      <alignment vertical="center"/>
    </xf>
    <xf numFmtId="0" fontId="38" fillId="5" borderId="62" applyNumberFormat="0" applyAlignment="0" applyProtection="0">
      <alignment vertical="center"/>
    </xf>
    <xf numFmtId="0" fontId="39" fillId="6" borderId="64" applyNumberFormat="0" applyAlignment="0" applyProtection="0">
      <alignment vertical="center"/>
    </xf>
    <xf numFmtId="0" fontId="40" fillId="0" borderId="65" applyNumberFormat="0" applyFill="0" applyAlignment="0" applyProtection="0">
      <alignment vertical="center"/>
    </xf>
    <xf numFmtId="0" fontId="41" fillId="0" borderId="66" applyNumberFormat="0" applyFill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2" fillId="0" borderId="0"/>
    <xf numFmtId="0" fontId="47" fillId="0" borderId="0"/>
    <xf numFmtId="0" fontId="23" fillId="0" borderId="0"/>
    <xf numFmtId="0" fontId="23" fillId="0" borderId="0"/>
    <xf numFmtId="0" fontId="48" fillId="0" borderId="0"/>
    <xf numFmtId="0" fontId="49" fillId="0" borderId="0"/>
    <xf numFmtId="49" fontId="0" fillId="0" borderId="0" applyFont="0" applyFill="0" applyBorder="0" applyAlignment="0" applyProtection="0"/>
    <xf numFmtId="0" fontId="48" fillId="0" borderId="0"/>
    <xf numFmtId="0" fontId="23" fillId="0" borderId="0"/>
    <xf numFmtId="0" fontId="49" fillId="0" borderId="0"/>
    <xf numFmtId="0" fontId="23" fillId="0" borderId="0"/>
    <xf numFmtId="0" fontId="23" fillId="0" borderId="0"/>
    <xf numFmtId="0" fontId="23" fillId="0" borderId="0"/>
    <xf numFmtId="0" fontId="23" fillId="0" borderId="0">
      <protection locked="0"/>
    </xf>
    <xf numFmtId="0" fontId="48" fillId="0" borderId="0"/>
    <xf numFmtId="0" fontId="23" fillId="0" borderId="0"/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48" fillId="0" borderId="0">
      <protection locked="0"/>
    </xf>
    <xf numFmtId="0" fontId="54" fillId="48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2" fillId="49" borderId="0" applyNumberFormat="0" applyBorder="0" applyAlignment="0" applyProtection="0">
      <alignment vertical="center"/>
    </xf>
    <xf numFmtId="0" fontId="54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2" fillId="54" borderId="0" applyNumberFormat="0" applyBorder="0" applyAlignment="0" applyProtection="0">
      <alignment vertical="center"/>
    </xf>
    <xf numFmtId="0" fontId="54" fillId="53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2" fillId="55" borderId="0" applyNumberFormat="0" applyBorder="0" applyAlignment="0" applyProtection="0">
      <alignment vertical="center"/>
    </xf>
    <xf numFmtId="0" fontId="54" fillId="48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2" fillId="45" borderId="0" applyNumberFormat="0" applyBorder="0" applyAlignment="0" applyProtection="0">
      <alignment vertical="center"/>
    </xf>
    <xf numFmtId="0" fontId="54" fillId="46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2" fillId="46" borderId="0" applyNumberFormat="0" applyBorder="0" applyAlignment="0" applyProtection="0">
      <alignment vertical="center"/>
    </xf>
    <xf numFmtId="0" fontId="54" fillId="47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47" borderId="0" applyNumberFormat="0" applyBorder="0" applyAlignment="0" applyProtection="0"/>
    <xf numFmtId="0" fontId="54" fillId="47" borderId="0" applyNumberFormat="0" applyBorder="0" applyAlignment="0" applyProtection="0"/>
    <xf numFmtId="0" fontId="54" fillId="47" borderId="0" applyNumberFormat="0" applyBorder="0" applyAlignment="0" applyProtection="0"/>
    <xf numFmtId="0" fontId="54" fillId="47" borderId="0" applyNumberFormat="0" applyBorder="0" applyAlignment="0" applyProtection="0"/>
    <xf numFmtId="0" fontId="54" fillId="47" borderId="0" applyNumberFormat="0" applyBorder="0" applyAlignment="0" applyProtection="0"/>
    <xf numFmtId="0" fontId="54" fillId="47" borderId="0" applyNumberFormat="0" applyBorder="0" applyAlignment="0" applyProtection="0"/>
    <xf numFmtId="0" fontId="54" fillId="47" borderId="0" applyNumberFormat="0" applyBorder="0" applyAlignment="0" applyProtection="0"/>
    <xf numFmtId="0" fontId="54" fillId="47" borderId="0" applyNumberFormat="0" applyBorder="0" applyAlignment="0" applyProtection="0"/>
    <xf numFmtId="0" fontId="52" fillId="56" borderId="0" applyNumberFormat="0" applyBorder="0" applyAlignment="0" applyProtection="0">
      <alignment vertical="center"/>
    </xf>
    <xf numFmtId="0" fontId="56" fillId="0" borderId="0">
      <alignment horizontal="center" wrapText="1"/>
      <protection locked="0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176" fontId="58" fillId="0" borderId="0" applyFill="0" applyBorder="0" applyAlignment="0"/>
    <xf numFmtId="0" fontId="59" fillId="52" borderId="67" applyNumberFormat="0" applyAlignment="0" applyProtection="0">
      <alignment vertical="center"/>
    </xf>
    <xf numFmtId="0" fontId="59" fillId="52" borderId="67" applyNumberFormat="0" applyAlignment="0" applyProtection="0">
      <alignment vertical="center"/>
    </xf>
    <xf numFmtId="0" fontId="59" fillId="52" borderId="67" applyNumberFormat="0" applyAlignment="0" applyProtection="0">
      <alignment vertical="center"/>
    </xf>
    <xf numFmtId="0" fontId="59" fillId="52" borderId="67" applyNumberFormat="0" applyAlignment="0" applyProtection="0">
      <alignment vertical="center"/>
    </xf>
    <xf numFmtId="0" fontId="59" fillId="52" borderId="67" applyNumberFormat="0" applyAlignment="0" applyProtection="0">
      <alignment vertical="center"/>
    </xf>
    <xf numFmtId="0" fontId="59" fillId="52" borderId="67" applyNumberFormat="0" applyAlignment="0" applyProtection="0">
      <alignment vertical="center"/>
    </xf>
    <xf numFmtId="0" fontId="59" fillId="52" borderId="67" applyNumberFormat="0" applyAlignment="0" applyProtection="0">
      <alignment vertical="center"/>
    </xf>
    <xf numFmtId="0" fontId="59" fillId="52" borderId="67" applyNumberFormat="0" applyAlignment="0" applyProtection="0">
      <alignment vertical="center"/>
    </xf>
    <xf numFmtId="0" fontId="59" fillId="52" borderId="67" applyNumberFormat="0" applyAlignment="0" applyProtection="0">
      <alignment vertical="center"/>
    </xf>
    <xf numFmtId="0" fontId="60" fillId="53" borderId="68" applyNumberFormat="0" applyAlignment="0" applyProtection="0">
      <alignment vertical="center"/>
    </xf>
    <xf numFmtId="0" fontId="60" fillId="53" borderId="68" applyNumberFormat="0" applyAlignment="0" applyProtection="0">
      <alignment vertical="center"/>
    </xf>
    <xf numFmtId="0" fontId="60" fillId="53" borderId="68" applyNumberFormat="0" applyAlignment="0" applyProtection="0">
      <alignment vertical="center"/>
    </xf>
    <xf numFmtId="0" fontId="60" fillId="53" borderId="68" applyNumberFormat="0" applyAlignment="0" applyProtection="0">
      <alignment vertical="center"/>
    </xf>
    <xf numFmtId="0" fontId="60" fillId="53" borderId="68" applyNumberFormat="0" applyAlignment="0" applyProtection="0">
      <alignment vertical="center"/>
    </xf>
    <xf numFmtId="0" fontId="60" fillId="53" borderId="68" applyNumberFormat="0" applyAlignment="0" applyProtection="0">
      <alignment vertical="center"/>
    </xf>
    <xf numFmtId="0" fontId="60" fillId="53" borderId="68" applyNumberFormat="0" applyAlignment="0" applyProtection="0">
      <alignment vertical="center"/>
    </xf>
    <xf numFmtId="0" fontId="60" fillId="53" borderId="68" applyNumberFormat="0" applyAlignment="0" applyProtection="0">
      <alignment vertical="center"/>
    </xf>
    <xf numFmtId="0" fontId="60" fillId="53" borderId="68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top"/>
    </xf>
    <xf numFmtId="41" fontId="0" fillId="0" borderId="0" applyFont="0" applyFill="0" applyBorder="0" applyAlignment="0" applyProtection="0"/>
    <xf numFmtId="177" fontId="61" fillId="0" borderId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1" fontId="61" fillId="0" borderId="0"/>
    <xf numFmtId="0" fontId="62" fillId="0" borderId="0" applyProtection="0"/>
    <xf numFmtId="182" fontId="61" fillId="0" borderId="0"/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2" fontId="62" fillId="0" borderId="0" applyProtection="0"/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5" fillId="52" borderId="0" applyNumberFormat="0" applyBorder="0" applyAlignment="0" applyProtection="0"/>
    <xf numFmtId="0" fontId="66" fillId="0" borderId="69" applyNumberFormat="0" applyAlignment="0" applyProtection="0">
      <alignment horizontal="left" vertical="center"/>
    </xf>
    <xf numFmtId="0" fontId="66" fillId="0" borderId="25">
      <alignment horizontal="left" vertical="center"/>
    </xf>
    <xf numFmtId="0" fontId="67" fillId="0" borderId="70" applyNumberFormat="0" applyFill="0" applyAlignment="0" applyProtection="0">
      <alignment vertical="center"/>
    </xf>
    <xf numFmtId="0" fontId="67" fillId="0" borderId="70" applyNumberFormat="0" applyFill="0" applyAlignment="0" applyProtection="0">
      <alignment vertical="center"/>
    </xf>
    <xf numFmtId="0" fontId="67" fillId="0" borderId="70" applyNumberFormat="0" applyFill="0" applyAlignment="0" applyProtection="0">
      <alignment vertical="center"/>
    </xf>
    <xf numFmtId="0" fontId="67" fillId="0" borderId="70" applyNumberFormat="0" applyFill="0" applyAlignment="0" applyProtection="0">
      <alignment vertical="center"/>
    </xf>
    <xf numFmtId="0" fontId="67" fillId="0" borderId="70" applyNumberFormat="0" applyFill="0" applyAlignment="0" applyProtection="0">
      <alignment vertical="center"/>
    </xf>
    <xf numFmtId="0" fontId="67" fillId="0" borderId="70" applyNumberFormat="0" applyFill="0" applyAlignment="0" applyProtection="0">
      <alignment vertical="center"/>
    </xf>
    <xf numFmtId="0" fontId="67" fillId="0" borderId="70" applyNumberFormat="0" applyFill="0" applyAlignment="0" applyProtection="0">
      <alignment vertical="center"/>
    </xf>
    <xf numFmtId="0" fontId="67" fillId="0" borderId="70" applyNumberFormat="0" applyFill="0" applyAlignment="0" applyProtection="0">
      <alignment vertical="center"/>
    </xf>
    <xf numFmtId="0" fontId="67" fillId="0" borderId="70" applyNumberFormat="0" applyFill="0" applyAlignment="0" applyProtection="0">
      <alignment vertical="center"/>
    </xf>
    <xf numFmtId="0" fontId="68" fillId="0" borderId="71" applyNumberFormat="0" applyFill="0" applyAlignment="0" applyProtection="0">
      <alignment vertical="center"/>
    </xf>
    <xf numFmtId="0" fontId="68" fillId="0" borderId="71" applyNumberFormat="0" applyFill="0" applyAlignment="0" applyProtection="0">
      <alignment vertical="center"/>
    </xf>
    <xf numFmtId="0" fontId="68" fillId="0" borderId="71" applyNumberFormat="0" applyFill="0" applyAlignment="0" applyProtection="0">
      <alignment vertical="center"/>
    </xf>
    <xf numFmtId="0" fontId="68" fillId="0" borderId="71" applyNumberFormat="0" applyFill="0" applyAlignment="0" applyProtection="0">
      <alignment vertical="center"/>
    </xf>
    <xf numFmtId="0" fontId="68" fillId="0" borderId="71" applyNumberFormat="0" applyFill="0" applyAlignment="0" applyProtection="0">
      <alignment vertical="center"/>
    </xf>
    <xf numFmtId="0" fontId="68" fillId="0" borderId="71" applyNumberFormat="0" applyFill="0" applyAlignment="0" applyProtection="0">
      <alignment vertical="center"/>
    </xf>
    <xf numFmtId="0" fontId="68" fillId="0" borderId="71" applyNumberFormat="0" applyFill="0" applyAlignment="0" applyProtection="0">
      <alignment vertical="center"/>
    </xf>
    <xf numFmtId="0" fontId="68" fillId="0" borderId="71" applyNumberFormat="0" applyFill="0" applyAlignment="0" applyProtection="0">
      <alignment vertical="center"/>
    </xf>
    <xf numFmtId="0" fontId="68" fillId="0" borderId="71" applyNumberFormat="0" applyFill="0" applyAlignment="0" applyProtection="0">
      <alignment vertical="center"/>
    </xf>
    <xf numFmtId="0" fontId="69" fillId="0" borderId="72" applyNumberFormat="0" applyFill="0" applyAlignment="0" applyProtection="0">
      <alignment vertical="center"/>
    </xf>
    <xf numFmtId="0" fontId="69" fillId="0" borderId="72" applyNumberFormat="0" applyFill="0" applyAlignment="0" applyProtection="0">
      <alignment vertical="center"/>
    </xf>
    <xf numFmtId="0" fontId="69" fillId="0" borderId="72" applyNumberFormat="0" applyFill="0" applyAlignment="0" applyProtection="0">
      <alignment vertical="center"/>
    </xf>
    <xf numFmtId="0" fontId="69" fillId="0" borderId="72" applyNumberFormat="0" applyFill="0" applyAlignment="0" applyProtection="0">
      <alignment vertical="center"/>
    </xf>
    <xf numFmtId="0" fontId="69" fillId="0" borderId="72" applyNumberFormat="0" applyFill="0" applyAlignment="0" applyProtection="0">
      <alignment vertical="center"/>
    </xf>
    <xf numFmtId="0" fontId="69" fillId="0" borderId="72" applyNumberFormat="0" applyFill="0" applyAlignment="0" applyProtection="0">
      <alignment vertical="center"/>
    </xf>
    <xf numFmtId="0" fontId="69" fillId="0" borderId="72" applyNumberFormat="0" applyFill="0" applyAlignment="0" applyProtection="0">
      <alignment vertical="center"/>
    </xf>
    <xf numFmtId="0" fontId="69" fillId="0" borderId="72" applyNumberFormat="0" applyFill="0" applyAlignment="0" applyProtection="0">
      <alignment vertical="center"/>
    </xf>
    <xf numFmtId="0" fontId="69" fillId="0" borderId="72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0" applyProtection="0"/>
    <xf numFmtId="0" fontId="66" fillId="0" borderId="0" applyProtection="0"/>
    <xf numFmtId="0" fontId="71" fillId="39" borderId="67" applyNumberFormat="0" applyAlignment="0" applyProtection="0">
      <alignment vertical="center"/>
    </xf>
    <xf numFmtId="0" fontId="65" fillId="51" borderId="18" applyNumberFormat="0" applyBorder="0" applyAlignment="0" applyProtection="0"/>
    <xf numFmtId="0" fontId="71" fillId="39" borderId="67" applyNumberFormat="0" applyAlignment="0" applyProtection="0">
      <alignment vertical="center"/>
    </xf>
    <xf numFmtId="0" fontId="71" fillId="39" borderId="67" applyNumberFormat="0" applyAlignment="0" applyProtection="0">
      <alignment vertical="center"/>
    </xf>
    <xf numFmtId="0" fontId="71" fillId="39" borderId="67" applyNumberFormat="0" applyAlignment="0" applyProtection="0">
      <alignment vertical="center"/>
    </xf>
    <xf numFmtId="0" fontId="71" fillId="39" borderId="67" applyNumberFormat="0" applyAlignment="0" applyProtection="0">
      <alignment vertical="center"/>
    </xf>
    <xf numFmtId="0" fontId="71" fillId="39" borderId="67" applyNumberFormat="0" applyAlignment="0" applyProtection="0">
      <alignment vertical="center"/>
    </xf>
    <xf numFmtId="0" fontId="71" fillId="39" borderId="67" applyNumberFormat="0" applyAlignment="0" applyProtection="0">
      <alignment vertical="center"/>
    </xf>
    <xf numFmtId="0" fontId="71" fillId="39" borderId="67" applyNumberFormat="0" applyAlignment="0" applyProtection="0">
      <alignment vertical="center"/>
    </xf>
    <xf numFmtId="0" fontId="71" fillId="39" borderId="67" applyNumberFormat="0" applyAlignment="0" applyProtection="0">
      <alignment vertical="center"/>
    </xf>
    <xf numFmtId="183" fontId="72" fillId="57" borderId="0"/>
    <xf numFmtId="0" fontId="73" fillId="0" borderId="73" applyNumberFormat="0" applyFill="0" applyAlignment="0" applyProtection="0">
      <alignment vertical="center"/>
    </xf>
    <xf numFmtId="0" fontId="73" fillId="0" borderId="73" applyNumberFormat="0" applyFill="0" applyAlignment="0" applyProtection="0">
      <alignment vertical="center"/>
    </xf>
    <xf numFmtId="0" fontId="73" fillId="0" borderId="73" applyNumberFormat="0" applyFill="0" applyAlignment="0" applyProtection="0">
      <alignment vertical="center"/>
    </xf>
    <xf numFmtId="0" fontId="73" fillId="0" borderId="73" applyNumberFormat="0" applyFill="0" applyAlignment="0" applyProtection="0">
      <alignment vertical="center"/>
    </xf>
    <xf numFmtId="0" fontId="73" fillId="0" borderId="73" applyNumberFormat="0" applyFill="0" applyAlignment="0" applyProtection="0">
      <alignment vertical="center"/>
    </xf>
    <xf numFmtId="0" fontId="73" fillId="0" borderId="73" applyNumberFormat="0" applyFill="0" applyAlignment="0" applyProtection="0">
      <alignment vertical="center"/>
    </xf>
    <xf numFmtId="0" fontId="73" fillId="0" borderId="73" applyNumberFormat="0" applyFill="0" applyAlignment="0" applyProtection="0">
      <alignment vertical="center"/>
    </xf>
    <xf numFmtId="0" fontId="73" fillId="0" borderId="73" applyNumberFormat="0" applyFill="0" applyAlignment="0" applyProtection="0">
      <alignment vertical="center"/>
    </xf>
    <xf numFmtId="0" fontId="73" fillId="0" borderId="73" applyNumberFormat="0" applyFill="0" applyAlignment="0" applyProtection="0">
      <alignment vertical="center"/>
    </xf>
    <xf numFmtId="183" fontId="74" fillId="58" borderId="0"/>
    <xf numFmtId="38" fontId="0" fillId="0" borderId="0" applyFont="0" applyFill="0" applyBorder="0" applyAlignment="0" applyProtection="0"/>
    <xf numFmtId="40" fontId="0" fillId="0" borderId="0" applyFont="0" applyFill="0" applyBorder="0" applyAlignment="0" applyProtection="0"/>
    <xf numFmtId="184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185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7" fontId="0" fillId="0" borderId="0" applyFont="0" applyFill="0" applyBorder="0" applyAlignment="0" applyProtection="0"/>
    <xf numFmtId="184" fontId="0" fillId="0" borderId="0" applyFont="0" applyFill="0" applyBorder="0" applyAlignment="0" applyProtection="0"/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61" fillId="0" borderId="0"/>
    <xf numFmtId="37" fontId="76" fillId="0" borderId="0"/>
    <xf numFmtId="0" fontId="72" fillId="0" borderId="0"/>
    <xf numFmtId="188" fontId="2" fillId="0" borderId="0"/>
    <xf numFmtId="0" fontId="48" fillId="0" borderId="0"/>
    <xf numFmtId="189" fontId="77" fillId="0" borderId="0"/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78" fillId="52" borderId="75" applyNumberFormat="0" applyAlignment="0" applyProtection="0">
      <alignment vertical="center"/>
    </xf>
    <xf numFmtId="0" fontId="78" fillId="52" borderId="75" applyNumberFormat="0" applyAlignment="0" applyProtection="0">
      <alignment vertical="center"/>
    </xf>
    <xf numFmtId="0" fontId="78" fillId="52" borderId="75" applyNumberFormat="0" applyAlignment="0" applyProtection="0">
      <alignment vertical="center"/>
    </xf>
    <xf numFmtId="0" fontId="78" fillId="52" borderId="75" applyNumberFormat="0" applyAlignment="0" applyProtection="0">
      <alignment vertical="center"/>
    </xf>
    <xf numFmtId="0" fontId="78" fillId="52" borderId="75" applyNumberFormat="0" applyAlignment="0" applyProtection="0">
      <alignment vertical="center"/>
    </xf>
    <xf numFmtId="0" fontId="78" fillId="52" borderId="75" applyNumberFormat="0" applyAlignment="0" applyProtection="0">
      <alignment vertical="center"/>
    </xf>
    <xf numFmtId="0" fontId="78" fillId="52" borderId="75" applyNumberFormat="0" applyAlignment="0" applyProtection="0">
      <alignment vertical="center"/>
    </xf>
    <xf numFmtId="0" fontId="78" fillId="52" borderId="75" applyNumberFormat="0" applyAlignment="0" applyProtection="0">
      <alignment vertical="center"/>
    </xf>
    <xf numFmtId="0" fontId="78" fillId="52" borderId="75" applyNumberFormat="0" applyAlignment="0" applyProtection="0">
      <alignment vertical="center"/>
    </xf>
    <xf numFmtId="14" fontId="56" fillId="0" borderId="0">
      <alignment horizontal="center" wrapText="1"/>
      <protection locked="0"/>
    </xf>
    <xf numFmtId="10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90" fontId="0" fillId="0" borderId="0" applyFont="0" applyFill="0" applyProtection="0"/>
    <xf numFmtId="0" fontId="0" fillId="0" borderId="0" applyNumberFormat="0" applyFont="0" applyFill="0" applyBorder="0" applyAlignment="0" applyProtection="0">
      <alignment horizontal="left"/>
    </xf>
    <xf numFmtId="15" fontId="0" fillId="0" borderId="0" applyFont="0" applyFill="0" applyBorder="0" applyAlignment="0" applyProtection="0"/>
    <xf numFmtId="4" fontId="0" fillId="0" borderId="0" applyFont="0" applyFill="0" applyBorder="0" applyAlignment="0" applyProtection="0"/>
    <xf numFmtId="0" fontId="79" fillId="0" borderId="1">
      <alignment horizontal="center"/>
    </xf>
    <xf numFmtId="3" fontId="0" fillId="0" borderId="0" applyFont="0" applyFill="0" applyBorder="0" applyAlignment="0" applyProtection="0"/>
    <xf numFmtId="0" fontId="0" fillId="60" borderId="0" applyNumberFormat="0" applyFont="0" applyBorder="0" applyAlignment="0" applyProtection="0"/>
    <xf numFmtId="0" fontId="80" fillId="0" borderId="0" applyNumberFormat="0" applyFill="0" applyBorder="0" applyAlignment="0" applyProtection="0"/>
    <xf numFmtId="0" fontId="81" fillId="61" borderId="5">
      <protection locked="0"/>
    </xf>
    <xf numFmtId="0" fontId="82" fillId="0" borderId="0"/>
    <xf numFmtId="0" fontId="81" fillId="61" borderId="5">
      <protection locked="0"/>
    </xf>
    <xf numFmtId="0" fontId="81" fillId="61" borderId="5">
      <protection locked="0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62" fillId="0" borderId="76" applyProtection="0"/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91" fontId="0" fillId="0" borderId="0" applyFont="0" applyFill="0" applyBorder="0" applyAlignment="0" applyProtection="0"/>
    <xf numFmtId="192" fontId="0" fillId="0" borderId="0" applyFont="0" applyFill="0" applyBorder="0" applyAlignment="0" applyProtection="0"/>
    <xf numFmtId="0" fontId="2" fillId="0" borderId="7" applyNumberFormat="0" applyFill="0" applyProtection="0">
      <alignment horizontal="right"/>
    </xf>
    <xf numFmtId="0" fontId="67" fillId="0" borderId="70" applyNumberFormat="0" applyFill="0" applyAlignment="0" applyProtection="0">
      <alignment vertical="center"/>
    </xf>
    <xf numFmtId="0" fontId="85" fillId="0" borderId="70" applyNumberFormat="0" applyFill="0" applyAlignment="0" applyProtection="0">
      <alignment vertical="center"/>
    </xf>
    <xf numFmtId="0" fontId="67" fillId="0" borderId="70" applyNumberFormat="0" applyFill="0" applyAlignment="0" applyProtection="0">
      <alignment vertical="center"/>
    </xf>
    <xf numFmtId="0" fontId="67" fillId="0" borderId="70" applyNumberFormat="0" applyFill="0" applyAlignment="0" applyProtection="0">
      <alignment vertical="center"/>
    </xf>
    <xf numFmtId="0" fontId="67" fillId="0" borderId="70" applyNumberFormat="0" applyFill="0" applyAlignment="0" applyProtection="0">
      <alignment vertical="center"/>
    </xf>
    <xf numFmtId="0" fontId="67" fillId="0" borderId="70" applyNumberFormat="0" applyFill="0" applyAlignment="0" applyProtection="0">
      <alignment vertical="center"/>
    </xf>
    <xf numFmtId="0" fontId="67" fillId="0" borderId="70" applyNumberFormat="0" applyFill="0" applyAlignment="0" applyProtection="0">
      <alignment vertical="center"/>
    </xf>
    <xf numFmtId="0" fontId="67" fillId="0" borderId="70" applyNumberFormat="0" applyFill="0" applyAlignment="0" applyProtection="0">
      <alignment vertical="center"/>
    </xf>
    <xf numFmtId="0" fontId="67" fillId="0" borderId="70" applyNumberFormat="0" applyFill="0" applyAlignment="0" applyProtection="0">
      <alignment vertical="center"/>
    </xf>
    <xf numFmtId="0" fontId="67" fillId="0" borderId="70" applyNumberFormat="0" applyFill="0" applyAlignment="0" applyProtection="0">
      <alignment vertical="center"/>
    </xf>
    <xf numFmtId="0" fontId="67" fillId="0" borderId="70" applyNumberFormat="0" applyFill="0" applyAlignment="0" applyProtection="0">
      <alignment vertical="center"/>
    </xf>
    <xf numFmtId="0" fontId="67" fillId="0" borderId="70" applyNumberFormat="0" applyFill="0" applyAlignment="0" applyProtection="0">
      <alignment vertical="center"/>
    </xf>
    <xf numFmtId="0" fontId="67" fillId="0" borderId="70" applyNumberFormat="0" applyFill="0" applyAlignment="0" applyProtection="0">
      <alignment vertical="center"/>
    </xf>
    <xf numFmtId="0" fontId="67" fillId="0" borderId="70" applyNumberFormat="0" applyFill="0" applyAlignment="0" applyProtection="0">
      <alignment vertical="center"/>
    </xf>
    <xf numFmtId="0" fontId="67" fillId="0" borderId="70" applyNumberFormat="0" applyFill="0" applyAlignment="0" applyProtection="0">
      <alignment vertical="center"/>
    </xf>
    <xf numFmtId="0" fontId="67" fillId="0" borderId="70" applyNumberFormat="0" applyFill="0" applyAlignment="0" applyProtection="0">
      <alignment vertical="center"/>
    </xf>
    <xf numFmtId="0" fontId="67" fillId="0" borderId="70" applyNumberFormat="0" applyFill="0" applyAlignment="0" applyProtection="0">
      <alignment vertical="center"/>
    </xf>
    <xf numFmtId="0" fontId="67" fillId="0" borderId="70" applyNumberFormat="0" applyFill="0" applyAlignment="0" applyProtection="0">
      <alignment vertical="center"/>
    </xf>
    <xf numFmtId="0" fontId="67" fillId="0" borderId="70" applyNumberFormat="0" applyFill="0" applyAlignment="0" applyProtection="0">
      <alignment vertical="center"/>
    </xf>
    <xf numFmtId="0" fontId="67" fillId="0" borderId="70" applyNumberFormat="0" applyFill="0" applyAlignment="0" applyProtection="0">
      <alignment vertical="center"/>
    </xf>
    <xf numFmtId="0" fontId="67" fillId="0" borderId="70" applyNumberFormat="0" applyFill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68" fillId="0" borderId="71" applyNumberFormat="0" applyFill="0" applyAlignment="0" applyProtection="0">
      <alignment vertical="center"/>
    </xf>
    <xf numFmtId="0" fontId="86" fillId="0" borderId="71" applyNumberFormat="0" applyFill="0" applyAlignment="0" applyProtection="0">
      <alignment vertical="center"/>
    </xf>
    <xf numFmtId="0" fontId="68" fillId="0" borderId="71" applyNumberFormat="0" applyFill="0" applyAlignment="0" applyProtection="0">
      <alignment vertical="center"/>
    </xf>
    <xf numFmtId="0" fontId="68" fillId="0" borderId="71" applyNumberFormat="0" applyFill="0" applyAlignment="0" applyProtection="0">
      <alignment vertical="center"/>
    </xf>
    <xf numFmtId="0" fontId="68" fillId="0" borderId="71" applyNumberFormat="0" applyFill="0" applyAlignment="0" applyProtection="0">
      <alignment vertical="center"/>
    </xf>
    <xf numFmtId="0" fontId="68" fillId="0" borderId="71" applyNumberFormat="0" applyFill="0" applyAlignment="0" applyProtection="0">
      <alignment vertical="center"/>
    </xf>
    <xf numFmtId="0" fontId="68" fillId="0" borderId="71" applyNumberFormat="0" applyFill="0" applyAlignment="0" applyProtection="0">
      <alignment vertical="center"/>
    </xf>
    <xf numFmtId="0" fontId="68" fillId="0" borderId="71" applyNumberFormat="0" applyFill="0" applyAlignment="0" applyProtection="0">
      <alignment vertical="center"/>
    </xf>
    <xf numFmtId="0" fontId="68" fillId="0" borderId="71" applyNumberFormat="0" applyFill="0" applyAlignment="0" applyProtection="0">
      <alignment vertical="center"/>
    </xf>
    <xf numFmtId="0" fontId="68" fillId="0" borderId="71" applyNumberFormat="0" applyFill="0" applyAlignment="0" applyProtection="0">
      <alignment vertical="center"/>
    </xf>
    <xf numFmtId="0" fontId="68" fillId="0" borderId="71" applyNumberFormat="0" applyFill="0" applyAlignment="0" applyProtection="0">
      <alignment vertical="center"/>
    </xf>
    <xf numFmtId="0" fontId="68" fillId="0" borderId="71" applyNumberFormat="0" applyFill="0" applyAlignment="0" applyProtection="0">
      <alignment vertical="center"/>
    </xf>
    <xf numFmtId="0" fontId="68" fillId="0" borderId="71" applyNumberFormat="0" applyFill="0" applyAlignment="0" applyProtection="0">
      <alignment vertical="center"/>
    </xf>
    <xf numFmtId="0" fontId="68" fillId="0" borderId="71" applyNumberFormat="0" applyFill="0" applyAlignment="0" applyProtection="0">
      <alignment vertical="center"/>
    </xf>
    <xf numFmtId="0" fontId="68" fillId="0" borderId="71" applyNumberFormat="0" applyFill="0" applyAlignment="0" applyProtection="0">
      <alignment vertical="center"/>
    </xf>
    <xf numFmtId="0" fontId="68" fillId="0" borderId="71" applyNumberFormat="0" applyFill="0" applyAlignment="0" applyProtection="0">
      <alignment vertical="center"/>
    </xf>
    <xf numFmtId="0" fontId="68" fillId="0" borderId="71" applyNumberFormat="0" applyFill="0" applyAlignment="0" applyProtection="0">
      <alignment vertical="center"/>
    </xf>
    <xf numFmtId="0" fontId="68" fillId="0" borderId="71" applyNumberFormat="0" applyFill="0" applyAlignment="0" applyProtection="0">
      <alignment vertical="center"/>
    </xf>
    <xf numFmtId="0" fontId="68" fillId="0" borderId="71" applyNumberFormat="0" applyFill="0" applyAlignment="0" applyProtection="0">
      <alignment vertical="center"/>
    </xf>
    <xf numFmtId="0" fontId="68" fillId="0" borderId="71" applyNumberFormat="0" applyFill="0" applyAlignment="0" applyProtection="0">
      <alignment vertical="center"/>
    </xf>
    <xf numFmtId="0" fontId="68" fillId="0" borderId="71" applyNumberFormat="0" applyFill="0" applyAlignment="0" applyProtection="0">
      <alignment vertical="center"/>
    </xf>
    <xf numFmtId="0" fontId="69" fillId="0" borderId="72" applyNumberFormat="0" applyFill="0" applyAlignment="0" applyProtection="0">
      <alignment vertical="center"/>
    </xf>
    <xf numFmtId="0" fontId="87" fillId="0" borderId="72" applyNumberFormat="0" applyFill="0" applyAlignment="0" applyProtection="0">
      <alignment vertical="center"/>
    </xf>
    <xf numFmtId="0" fontId="69" fillId="0" borderId="72" applyNumberFormat="0" applyFill="0" applyAlignment="0" applyProtection="0">
      <alignment vertical="center"/>
    </xf>
    <xf numFmtId="0" fontId="69" fillId="0" borderId="72" applyNumberFormat="0" applyFill="0" applyAlignment="0" applyProtection="0">
      <alignment vertical="center"/>
    </xf>
    <xf numFmtId="0" fontId="69" fillId="0" borderId="72" applyNumberFormat="0" applyFill="0" applyAlignment="0" applyProtection="0">
      <alignment vertical="center"/>
    </xf>
    <xf numFmtId="0" fontId="69" fillId="0" borderId="72" applyNumberFormat="0" applyFill="0" applyAlignment="0" applyProtection="0">
      <alignment vertical="center"/>
    </xf>
    <xf numFmtId="0" fontId="69" fillId="0" borderId="72" applyNumberFormat="0" applyFill="0" applyAlignment="0" applyProtection="0">
      <alignment vertical="center"/>
    </xf>
    <xf numFmtId="0" fontId="69" fillId="0" borderId="72" applyNumberFormat="0" applyFill="0" applyAlignment="0" applyProtection="0">
      <alignment vertical="center"/>
    </xf>
    <xf numFmtId="0" fontId="69" fillId="0" borderId="72" applyNumberFormat="0" applyFill="0" applyAlignment="0" applyProtection="0">
      <alignment vertical="center"/>
    </xf>
    <xf numFmtId="0" fontId="69" fillId="0" borderId="72" applyNumberFormat="0" applyFill="0" applyAlignment="0" applyProtection="0">
      <alignment vertical="center"/>
    </xf>
    <xf numFmtId="0" fontId="69" fillId="0" borderId="72" applyNumberFormat="0" applyFill="0" applyAlignment="0" applyProtection="0">
      <alignment vertical="center"/>
    </xf>
    <xf numFmtId="0" fontId="69" fillId="0" borderId="72" applyNumberFormat="0" applyFill="0" applyAlignment="0" applyProtection="0">
      <alignment vertical="center"/>
    </xf>
    <xf numFmtId="0" fontId="69" fillId="0" borderId="72" applyNumberFormat="0" applyFill="0" applyAlignment="0" applyProtection="0">
      <alignment vertical="center"/>
    </xf>
    <xf numFmtId="0" fontId="69" fillId="0" borderId="72" applyNumberFormat="0" applyFill="0" applyAlignment="0" applyProtection="0">
      <alignment vertical="center"/>
    </xf>
    <xf numFmtId="0" fontId="69" fillId="0" borderId="72" applyNumberFormat="0" applyFill="0" applyAlignment="0" applyProtection="0">
      <alignment vertical="center"/>
    </xf>
    <xf numFmtId="0" fontId="69" fillId="0" borderId="72" applyNumberFormat="0" applyFill="0" applyAlignment="0" applyProtection="0">
      <alignment vertical="center"/>
    </xf>
    <xf numFmtId="0" fontId="69" fillId="0" borderId="72" applyNumberFormat="0" applyFill="0" applyAlignment="0" applyProtection="0">
      <alignment vertical="center"/>
    </xf>
    <xf numFmtId="0" fontId="69" fillId="0" borderId="72" applyNumberFormat="0" applyFill="0" applyAlignment="0" applyProtection="0">
      <alignment vertical="center"/>
    </xf>
    <xf numFmtId="0" fontId="69" fillId="0" borderId="72" applyNumberFormat="0" applyFill="0" applyAlignment="0" applyProtection="0">
      <alignment vertical="center"/>
    </xf>
    <xf numFmtId="0" fontId="69" fillId="0" borderId="72" applyNumberFormat="0" applyFill="0" applyAlignment="0" applyProtection="0">
      <alignment vertical="center"/>
    </xf>
    <xf numFmtId="0" fontId="69" fillId="0" borderId="72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8" fillId="0" borderId="7" applyNumberFormat="0" applyFill="0" applyProtection="0">
      <alignment horizontal="center"/>
    </xf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0" fillId="0" borderId="2" applyNumberFormat="0" applyFill="0" applyProtection="0">
      <alignment horizontal="center"/>
    </xf>
    <xf numFmtId="0" fontId="57" fillId="35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9" fontId="0" fillId="0" borderId="0" applyFont="0" applyFill="0" applyBorder="0" applyAlignment="0" applyProtection="0"/>
    <xf numFmtId="0" fontId="64" fillId="36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102" fillId="0" borderId="77" applyNumberFormat="0" applyFill="0" applyAlignment="0" applyProtection="0">
      <alignment vertical="center"/>
    </xf>
    <xf numFmtId="0" fontId="103" fillId="0" borderId="77" applyNumberFormat="0" applyFill="0" applyAlignment="0" applyProtection="0">
      <alignment vertical="center"/>
    </xf>
    <xf numFmtId="0" fontId="102" fillId="0" borderId="77" applyNumberFormat="0" applyFill="0" applyAlignment="0" applyProtection="0">
      <alignment vertical="center"/>
    </xf>
    <xf numFmtId="0" fontId="102" fillId="0" borderId="77" applyNumberFormat="0" applyFill="0" applyAlignment="0" applyProtection="0">
      <alignment vertical="center"/>
    </xf>
    <xf numFmtId="0" fontId="102" fillId="0" borderId="77" applyNumberFormat="0" applyFill="0" applyAlignment="0" applyProtection="0">
      <alignment vertical="center"/>
    </xf>
    <xf numFmtId="0" fontId="102" fillId="0" borderId="77" applyNumberFormat="0" applyFill="0" applyAlignment="0" applyProtection="0">
      <alignment vertical="center"/>
    </xf>
    <xf numFmtId="0" fontId="102" fillId="0" borderId="77" applyNumberFormat="0" applyFill="0" applyAlignment="0" applyProtection="0">
      <alignment vertical="center"/>
    </xf>
    <xf numFmtId="0" fontId="102" fillId="0" borderId="77" applyNumberFormat="0" applyFill="0" applyAlignment="0" applyProtection="0">
      <alignment vertical="center"/>
    </xf>
    <xf numFmtId="0" fontId="102" fillId="0" borderId="77" applyNumberFormat="0" applyFill="0" applyAlignment="0" applyProtection="0">
      <alignment vertical="center"/>
    </xf>
    <xf numFmtId="0" fontId="102" fillId="0" borderId="77" applyNumberFormat="0" applyFill="0" applyAlignment="0" applyProtection="0">
      <alignment vertical="center"/>
    </xf>
    <xf numFmtId="0" fontId="102" fillId="0" borderId="77" applyNumberFormat="0" applyFill="0" applyAlignment="0" applyProtection="0">
      <alignment vertical="center"/>
    </xf>
    <xf numFmtId="0" fontId="102" fillId="0" borderId="77" applyNumberFormat="0" applyFill="0" applyAlignment="0" applyProtection="0">
      <alignment vertical="center"/>
    </xf>
    <xf numFmtId="0" fontId="102" fillId="0" borderId="77" applyNumberFormat="0" applyFill="0" applyAlignment="0" applyProtection="0">
      <alignment vertical="center"/>
    </xf>
    <xf numFmtId="0" fontId="102" fillId="0" borderId="77" applyNumberFormat="0" applyFill="0" applyAlignment="0" applyProtection="0">
      <alignment vertical="center"/>
    </xf>
    <xf numFmtId="0" fontId="102" fillId="0" borderId="77" applyNumberFormat="0" applyFill="0" applyAlignment="0" applyProtection="0">
      <alignment vertical="center"/>
    </xf>
    <xf numFmtId="0" fontId="102" fillId="0" borderId="77" applyNumberFormat="0" applyFill="0" applyAlignment="0" applyProtection="0">
      <alignment vertical="center"/>
    </xf>
    <xf numFmtId="0" fontId="102" fillId="0" borderId="77" applyNumberFormat="0" applyFill="0" applyAlignment="0" applyProtection="0">
      <alignment vertical="center"/>
    </xf>
    <xf numFmtId="0" fontId="102" fillId="0" borderId="77" applyNumberFormat="0" applyFill="0" applyAlignment="0" applyProtection="0">
      <alignment vertical="center"/>
    </xf>
    <xf numFmtId="0" fontId="102" fillId="0" borderId="77" applyNumberFormat="0" applyFill="0" applyAlignment="0" applyProtection="0">
      <alignment vertical="center"/>
    </xf>
    <xf numFmtId="0" fontId="102" fillId="0" borderId="77" applyNumberFormat="0" applyFill="0" applyAlignment="0" applyProtection="0">
      <alignment vertical="center"/>
    </xf>
    <xf numFmtId="0" fontId="102" fillId="0" borderId="77" applyNumberFormat="0" applyFill="0" applyAlignment="0" applyProtection="0">
      <alignment vertical="center"/>
    </xf>
    <xf numFmtId="0" fontId="59" fillId="52" borderId="67" applyNumberFormat="0" applyAlignment="0" applyProtection="0">
      <alignment vertical="center"/>
    </xf>
    <xf numFmtId="0" fontId="104" fillId="52" borderId="67" applyNumberFormat="0" applyAlignment="0" applyProtection="0">
      <alignment vertical="center"/>
    </xf>
    <xf numFmtId="0" fontId="59" fillId="52" borderId="67" applyNumberFormat="0" applyAlignment="0" applyProtection="0">
      <alignment vertical="center"/>
    </xf>
    <xf numFmtId="0" fontId="59" fillId="52" borderId="67" applyNumberFormat="0" applyAlignment="0" applyProtection="0">
      <alignment vertical="center"/>
    </xf>
    <xf numFmtId="0" fontId="59" fillId="52" borderId="67" applyNumberFormat="0" applyAlignment="0" applyProtection="0">
      <alignment vertical="center"/>
    </xf>
    <xf numFmtId="0" fontId="59" fillId="52" borderId="67" applyNumberFormat="0" applyAlignment="0" applyProtection="0">
      <alignment vertical="center"/>
    </xf>
    <xf numFmtId="0" fontId="59" fillId="52" borderId="67" applyNumberFormat="0" applyAlignment="0" applyProtection="0">
      <alignment vertical="center"/>
    </xf>
    <xf numFmtId="0" fontId="59" fillId="52" borderId="67" applyNumberFormat="0" applyAlignment="0" applyProtection="0">
      <alignment vertical="center"/>
    </xf>
    <xf numFmtId="0" fontId="59" fillId="52" borderId="67" applyNumberFormat="0" applyAlignment="0" applyProtection="0">
      <alignment vertical="center"/>
    </xf>
    <xf numFmtId="0" fontId="59" fillId="52" borderId="67" applyNumberFormat="0" applyAlignment="0" applyProtection="0">
      <alignment vertical="center"/>
    </xf>
    <xf numFmtId="0" fontId="59" fillId="52" borderId="67" applyNumberFormat="0" applyAlignment="0" applyProtection="0">
      <alignment vertical="center"/>
    </xf>
    <xf numFmtId="0" fontId="59" fillId="52" borderId="67" applyNumberFormat="0" applyAlignment="0" applyProtection="0">
      <alignment vertical="center"/>
    </xf>
    <xf numFmtId="0" fontId="59" fillId="52" borderId="67" applyNumberFormat="0" applyAlignment="0" applyProtection="0">
      <alignment vertical="center"/>
    </xf>
    <xf numFmtId="0" fontId="59" fillId="52" borderId="67" applyNumberFormat="0" applyAlignment="0" applyProtection="0">
      <alignment vertical="center"/>
    </xf>
    <xf numFmtId="0" fontId="59" fillId="52" borderId="67" applyNumberFormat="0" applyAlignment="0" applyProtection="0">
      <alignment vertical="center"/>
    </xf>
    <xf numFmtId="0" fontId="59" fillId="52" borderId="67" applyNumberFormat="0" applyAlignment="0" applyProtection="0">
      <alignment vertical="center"/>
    </xf>
    <xf numFmtId="0" fontId="59" fillId="52" borderId="67" applyNumberFormat="0" applyAlignment="0" applyProtection="0">
      <alignment vertical="center"/>
    </xf>
    <xf numFmtId="0" fontId="59" fillId="52" borderId="67" applyNumberFormat="0" applyAlignment="0" applyProtection="0">
      <alignment vertical="center"/>
    </xf>
    <xf numFmtId="0" fontId="59" fillId="52" borderId="67" applyNumberFormat="0" applyAlignment="0" applyProtection="0">
      <alignment vertical="center"/>
    </xf>
    <xf numFmtId="0" fontId="59" fillId="52" borderId="67" applyNumberFormat="0" applyAlignment="0" applyProtection="0">
      <alignment vertical="center"/>
    </xf>
    <xf numFmtId="0" fontId="59" fillId="52" borderId="67" applyNumberFormat="0" applyAlignment="0" applyProtection="0">
      <alignment vertical="center"/>
    </xf>
    <xf numFmtId="0" fontId="60" fillId="53" borderId="68" applyNumberFormat="0" applyAlignment="0" applyProtection="0">
      <alignment vertical="center"/>
    </xf>
    <xf numFmtId="0" fontId="105" fillId="53" borderId="68" applyNumberFormat="0" applyAlignment="0" applyProtection="0">
      <alignment vertical="center"/>
    </xf>
    <xf numFmtId="0" fontId="60" fillId="53" borderId="68" applyNumberFormat="0" applyAlignment="0" applyProtection="0">
      <alignment vertical="center"/>
    </xf>
    <xf numFmtId="0" fontId="60" fillId="53" borderId="68" applyNumberFormat="0" applyAlignment="0" applyProtection="0">
      <alignment vertical="center"/>
    </xf>
    <xf numFmtId="0" fontId="60" fillId="53" borderId="68" applyNumberFormat="0" applyAlignment="0" applyProtection="0">
      <alignment vertical="center"/>
    </xf>
    <xf numFmtId="0" fontId="60" fillId="53" borderId="68" applyNumberFormat="0" applyAlignment="0" applyProtection="0">
      <alignment vertical="center"/>
    </xf>
    <xf numFmtId="0" fontId="60" fillId="53" borderId="68" applyNumberFormat="0" applyAlignment="0" applyProtection="0">
      <alignment vertical="center"/>
    </xf>
    <xf numFmtId="0" fontId="60" fillId="53" borderId="68" applyNumberFormat="0" applyAlignment="0" applyProtection="0">
      <alignment vertical="center"/>
    </xf>
    <xf numFmtId="0" fontId="60" fillId="53" borderId="68" applyNumberFormat="0" applyAlignment="0" applyProtection="0">
      <alignment vertical="center"/>
    </xf>
    <xf numFmtId="0" fontId="60" fillId="53" borderId="68" applyNumberFormat="0" applyAlignment="0" applyProtection="0">
      <alignment vertical="center"/>
    </xf>
    <xf numFmtId="0" fontId="60" fillId="53" borderId="68" applyNumberFormat="0" applyAlignment="0" applyProtection="0">
      <alignment vertical="center"/>
    </xf>
    <xf numFmtId="0" fontId="60" fillId="53" borderId="68" applyNumberFormat="0" applyAlignment="0" applyProtection="0">
      <alignment vertical="center"/>
    </xf>
    <xf numFmtId="0" fontId="60" fillId="53" borderId="68" applyNumberFormat="0" applyAlignment="0" applyProtection="0">
      <alignment vertical="center"/>
    </xf>
    <xf numFmtId="0" fontId="60" fillId="53" borderId="68" applyNumberFormat="0" applyAlignment="0" applyProtection="0">
      <alignment vertical="center"/>
    </xf>
    <xf numFmtId="0" fontId="60" fillId="53" borderId="68" applyNumberFormat="0" applyAlignment="0" applyProtection="0">
      <alignment vertical="center"/>
    </xf>
    <xf numFmtId="0" fontId="60" fillId="53" borderId="68" applyNumberFormat="0" applyAlignment="0" applyProtection="0">
      <alignment vertical="center"/>
    </xf>
    <xf numFmtId="0" fontId="60" fillId="53" borderId="68" applyNumberFormat="0" applyAlignment="0" applyProtection="0">
      <alignment vertical="center"/>
    </xf>
    <xf numFmtId="0" fontId="60" fillId="53" borderId="68" applyNumberFormat="0" applyAlignment="0" applyProtection="0">
      <alignment vertical="center"/>
    </xf>
    <xf numFmtId="0" fontId="60" fillId="53" borderId="68" applyNumberFormat="0" applyAlignment="0" applyProtection="0">
      <alignment vertical="center"/>
    </xf>
    <xf numFmtId="0" fontId="60" fillId="53" borderId="68" applyNumberFormat="0" applyAlignment="0" applyProtection="0">
      <alignment vertical="center"/>
    </xf>
    <xf numFmtId="0" fontId="60" fillId="53" borderId="68" applyNumberFormat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90" fillId="0" borderId="2" applyNumberFormat="0" applyFill="0" applyProtection="0">
      <alignment horizontal="left"/>
    </xf>
    <xf numFmtId="0" fontId="8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73" fillId="0" borderId="73" applyNumberFormat="0" applyFill="0" applyAlignment="0" applyProtection="0">
      <alignment vertical="center"/>
    </xf>
    <xf numFmtId="0" fontId="108" fillId="0" borderId="73" applyNumberFormat="0" applyFill="0" applyAlignment="0" applyProtection="0">
      <alignment vertical="center"/>
    </xf>
    <xf numFmtId="0" fontId="73" fillId="0" borderId="73" applyNumberFormat="0" applyFill="0" applyAlignment="0" applyProtection="0">
      <alignment vertical="center"/>
    </xf>
    <xf numFmtId="0" fontId="73" fillId="0" borderId="73" applyNumberFormat="0" applyFill="0" applyAlignment="0" applyProtection="0">
      <alignment vertical="center"/>
    </xf>
    <xf numFmtId="0" fontId="73" fillId="0" borderId="73" applyNumberFormat="0" applyFill="0" applyAlignment="0" applyProtection="0">
      <alignment vertical="center"/>
    </xf>
    <xf numFmtId="0" fontId="73" fillId="0" borderId="73" applyNumberFormat="0" applyFill="0" applyAlignment="0" applyProtection="0">
      <alignment vertical="center"/>
    </xf>
    <xf numFmtId="0" fontId="73" fillId="0" borderId="73" applyNumberFormat="0" applyFill="0" applyAlignment="0" applyProtection="0">
      <alignment vertical="center"/>
    </xf>
    <xf numFmtId="0" fontId="73" fillId="0" borderId="73" applyNumberFormat="0" applyFill="0" applyAlignment="0" applyProtection="0">
      <alignment vertical="center"/>
    </xf>
    <xf numFmtId="0" fontId="73" fillId="0" borderId="73" applyNumberFormat="0" applyFill="0" applyAlignment="0" applyProtection="0">
      <alignment vertical="center"/>
    </xf>
    <xf numFmtId="0" fontId="73" fillId="0" borderId="73" applyNumberFormat="0" applyFill="0" applyAlignment="0" applyProtection="0">
      <alignment vertical="center"/>
    </xf>
    <xf numFmtId="0" fontId="73" fillId="0" borderId="73" applyNumberFormat="0" applyFill="0" applyAlignment="0" applyProtection="0">
      <alignment vertical="center"/>
    </xf>
    <xf numFmtId="0" fontId="73" fillId="0" borderId="73" applyNumberFormat="0" applyFill="0" applyAlignment="0" applyProtection="0">
      <alignment vertical="center"/>
    </xf>
    <xf numFmtId="0" fontId="73" fillId="0" borderId="73" applyNumberFormat="0" applyFill="0" applyAlignment="0" applyProtection="0">
      <alignment vertical="center"/>
    </xf>
    <xf numFmtId="0" fontId="73" fillId="0" borderId="73" applyNumberFormat="0" applyFill="0" applyAlignment="0" applyProtection="0">
      <alignment vertical="center"/>
    </xf>
    <xf numFmtId="0" fontId="73" fillId="0" borderId="73" applyNumberFormat="0" applyFill="0" applyAlignment="0" applyProtection="0">
      <alignment vertical="center"/>
    </xf>
    <xf numFmtId="0" fontId="73" fillId="0" borderId="73" applyNumberFormat="0" applyFill="0" applyAlignment="0" applyProtection="0">
      <alignment vertical="center"/>
    </xf>
    <xf numFmtId="0" fontId="73" fillId="0" borderId="73" applyNumberFormat="0" applyFill="0" applyAlignment="0" applyProtection="0">
      <alignment vertical="center"/>
    </xf>
    <xf numFmtId="0" fontId="73" fillId="0" borderId="73" applyNumberFormat="0" applyFill="0" applyAlignment="0" applyProtection="0">
      <alignment vertical="center"/>
    </xf>
    <xf numFmtId="0" fontId="73" fillId="0" borderId="73" applyNumberFormat="0" applyFill="0" applyAlignment="0" applyProtection="0">
      <alignment vertical="center"/>
    </xf>
    <xf numFmtId="0" fontId="73" fillId="0" borderId="73" applyNumberFormat="0" applyFill="0" applyAlignment="0" applyProtection="0">
      <alignment vertical="center"/>
    </xf>
    <xf numFmtId="0" fontId="73" fillId="0" borderId="73" applyNumberFormat="0" applyFill="0" applyAlignment="0" applyProtection="0">
      <alignment vertical="center"/>
    </xf>
    <xf numFmtId="193" fontId="0" fillId="0" borderId="0" applyFont="0" applyFill="0" applyBorder="0" applyAlignment="0" applyProtection="0"/>
    <xf numFmtId="194" fontId="0" fillId="0" borderId="0" applyFont="0" applyFill="0" applyBorder="0" applyAlignment="0" applyProtection="0"/>
    <xf numFmtId="195" fontId="0" fillId="0" borderId="0" applyFont="0" applyFill="0" applyBorder="0" applyAlignment="0" applyProtection="0"/>
    <xf numFmtId="196" fontId="0" fillId="0" borderId="0" applyFont="0" applyFill="0" applyBorder="0" applyAlignment="0" applyProtection="0"/>
    <xf numFmtId="0" fontId="61" fillId="0" borderId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9" fillId="0" borderId="0"/>
    <xf numFmtId="0" fontId="110" fillId="62" borderId="0" applyNumberFormat="0" applyBorder="0" applyAlignment="0" applyProtection="0"/>
    <xf numFmtId="0" fontId="110" fillId="63" borderId="0" applyNumberFormat="0" applyBorder="0" applyAlignment="0" applyProtection="0"/>
    <xf numFmtId="0" fontId="110" fillId="64" borderId="0" applyNumberFormat="0" applyBorder="0" applyAlignment="0" applyProtection="0"/>
    <xf numFmtId="0" fontId="52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198" fontId="2" fillId="0" borderId="2" applyFill="0" applyProtection="0">
      <alignment horizontal="right"/>
    </xf>
    <xf numFmtId="0" fontId="2" fillId="0" borderId="7" applyNumberFormat="0" applyFill="0" applyProtection="0">
      <alignment horizontal="left"/>
    </xf>
    <xf numFmtId="0" fontId="75" fillId="59" borderId="0" applyNumberFormat="0" applyBorder="0" applyAlignment="0" applyProtection="0">
      <alignment vertical="center"/>
    </xf>
    <xf numFmtId="0" fontId="111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8" fillId="52" borderId="75" applyNumberFormat="0" applyAlignment="0" applyProtection="0">
      <alignment vertical="center"/>
    </xf>
    <xf numFmtId="0" fontId="112" fillId="52" borderId="75" applyNumberFormat="0" applyAlignment="0" applyProtection="0">
      <alignment vertical="center"/>
    </xf>
    <xf numFmtId="0" fontId="78" fillId="52" borderId="75" applyNumberFormat="0" applyAlignment="0" applyProtection="0">
      <alignment vertical="center"/>
    </xf>
    <xf numFmtId="0" fontId="78" fillId="52" borderId="75" applyNumberFormat="0" applyAlignment="0" applyProtection="0">
      <alignment vertical="center"/>
    </xf>
    <xf numFmtId="0" fontId="78" fillId="52" borderId="75" applyNumberFormat="0" applyAlignment="0" applyProtection="0">
      <alignment vertical="center"/>
    </xf>
    <xf numFmtId="0" fontId="78" fillId="52" borderId="75" applyNumberFormat="0" applyAlignment="0" applyProtection="0">
      <alignment vertical="center"/>
    </xf>
    <xf numFmtId="0" fontId="78" fillId="52" borderId="75" applyNumberFormat="0" applyAlignment="0" applyProtection="0">
      <alignment vertical="center"/>
    </xf>
    <xf numFmtId="0" fontId="78" fillId="52" borderId="75" applyNumberFormat="0" applyAlignment="0" applyProtection="0">
      <alignment vertical="center"/>
    </xf>
    <xf numFmtId="0" fontId="78" fillId="52" borderId="75" applyNumberFormat="0" applyAlignment="0" applyProtection="0">
      <alignment vertical="center"/>
    </xf>
    <xf numFmtId="0" fontId="78" fillId="52" borderId="75" applyNumberFormat="0" applyAlignment="0" applyProtection="0">
      <alignment vertical="center"/>
    </xf>
    <xf numFmtId="0" fontId="78" fillId="52" borderId="75" applyNumberFormat="0" applyAlignment="0" applyProtection="0">
      <alignment vertical="center"/>
    </xf>
    <xf numFmtId="0" fontId="78" fillId="52" borderId="75" applyNumberFormat="0" applyAlignment="0" applyProtection="0">
      <alignment vertical="center"/>
    </xf>
    <xf numFmtId="0" fontId="78" fillId="52" borderId="75" applyNumberFormat="0" applyAlignment="0" applyProtection="0">
      <alignment vertical="center"/>
    </xf>
    <xf numFmtId="0" fontId="78" fillId="52" borderId="75" applyNumberFormat="0" applyAlignment="0" applyProtection="0">
      <alignment vertical="center"/>
    </xf>
    <xf numFmtId="0" fontId="78" fillId="52" borderId="75" applyNumberFormat="0" applyAlignment="0" applyProtection="0">
      <alignment vertical="center"/>
    </xf>
    <xf numFmtId="0" fontId="78" fillId="52" borderId="75" applyNumberFormat="0" applyAlignment="0" applyProtection="0">
      <alignment vertical="center"/>
    </xf>
    <xf numFmtId="0" fontId="78" fillId="52" borderId="75" applyNumberFormat="0" applyAlignment="0" applyProtection="0">
      <alignment vertical="center"/>
    </xf>
    <xf numFmtId="0" fontId="78" fillId="52" borderId="75" applyNumberFormat="0" applyAlignment="0" applyProtection="0">
      <alignment vertical="center"/>
    </xf>
    <xf numFmtId="0" fontId="78" fillId="52" borderId="75" applyNumberFormat="0" applyAlignment="0" applyProtection="0">
      <alignment vertical="center"/>
    </xf>
    <xf numFmtId="0" fontId="78" fillId="52" borderId="75" applyNumberFormat="0" applyAlignment="0" applyProtection="0">
      <alignment vertical="center"/>
    </xf>
    <xf numFmtId="0" fontId="78" fillId="52" borderId="75" applyNumberFormat="0" applyAlignment="0" applyProtection="0">
      <alignment vertical="center"/>
    </xf>
    <xf numFmtId="0" fontId="71" fillId="39" borderId="67" applyNumberFormat="0" applyAlignment="0" applyProtection="0">
      <alignment vertical="center"/>
    </xf>
    <xf numFmtId="0" fontId="113" fillId="39" borderId="67" applyNumberFormat="0" applyAlignment="0" applyProtection="0">
      <alignment vertical="center"/>
    </xf>
    <xf numFmtId="0" fontId="71" fillId="39" borderId="67" applyNumberFormat="0" applyAlignment="0" applyProtection="0">
      <alignment vertical="center"/>
    </xf>
    <xf numFmtId="0" fontId="71" fillId="39" borderId="67" applyNumberFormat="0" applyAlignment="0" applyProtection="0">
      <alignment vertical="center"/>
    </xf>
    <xf numFmtId="0" fontId="71" fillId="39" borderId="67" applyNumberFormat="0" applyAlignment="0" applyProtection="0">
      <alignment vertical="center"/>
    </xf>
    <xf numFmtId="0" fontId="71" fillId="39" borderId="67" applyNumberFormat="0" applyAlignment="0" applyProtection="0">
      <alignment vertical="center"/>
    </xf>
    <xf numFmtId="0" fontId="71" fillId="39" borderId="67" applyNumberFormat="0" applyAlignment="0" applyProtection="0">
      <alignment vertical="center"/>
    </xf>
    <xf numFmtId="0" fontId="71" fillId="39" borderId="67" applyNumberFormat="0" applyAlignment="0" applyProtection="0">
      <alignment vertical="center"/>
    </xf>
    <xf numFmtId="0" fontId="71" fillId="39" borderId="67" applyNumberFormat="0" applyAlignment="0" applyProtection="0">
      <alignment vertical="center"/>
    </xf>
    <xf numFmtId="0" fontId="71" fillId="39" borderId="67" applyNumberFormat="0" applyAlignment="0" applyProtection="0">
      <alignment vertical="center"/>
    </xf>
    <xf numFmtId="0" fontId="71" fillId="39" borderId="67" applyNumberFormat="0" applyAlignment="0" applyProtection="0">
      <alignment vertical="center"/>
    </xf>
    <xf numFmtId="0" fontId="71" fillId="39" borderId="67" applyNumberFormat="0" applyAlignment="0" applyProtection="0">
      <alignment vertical="center"/>
    </xf>
    <xf numFmtId="0" fontId="71" fillId="39" borderId="67" applyNumberFormat="0" applyAlignment="0" applyProtection="0">
      <alignment vertical="center"/>
    </xf>
    <xf numFmtId="0" fontId="71" fillId="39" borderId="67" applyNumberFormat="0" applyAlignment="0" applyProtection="0">
      <alignment vertical="center"/>
    </xf>
    <xf numFmtId="0" fontId="71" fillId="39" borderId="67" applyNumberFormat="0" applyAlignment="0" applyProtection="0">
      <alignment vertical="center"/>
    </xf>
    <xf numFmtId="0" fontId="71" fillId="39" borderId="67" applyNumberFormat="0" applyAlignment="0" applyProtection="0">
      <alignment vertical="center"/>
    </xf>
    <xf numFmtId="0" fontId="71" fillId="39" borderId="67" applyNumberFormat="0" applyAlignment="0" applyProtection="0">
      <alignment vertical="center"/>
    </xf>
    <xf numFmtId="0" fontId="71" fillId="39" borderId="67" applyNumberFormat="0" applyAlignment="0" applyProtection="0">
      <alignment vertical="center"/>
    </xf>
    <xf numFmtId="0" fontId="71" fillId="39" borderId="67" applyNumberFormat="0" applyAlignment="0" applyProtection="0">
      <alignment vertical="center"/>
    </xf>
    <xf numFmtId="0" fontId="71" fillId="39" borderId="67" applyNumberFormat="0" applyAlignment="0" applyProtection="0">
      <alignment vertical="center"/>
    </xf>
    <xf numFmtId="0" fontId="71" fillId="39" borderId="67" applyNumberFormat="0" applyAlignment="0" applyProtection="0">
      <alignment vertical="center"/>
    </xf>
    <xf numFmtId="1" fontId="2" fillId="0" borderId="2" applyFill="0" applyProtection="0">
      <alignment horizontal="center"/>
    </xf>
    <xf numFmtId="1" fontId="21" fillId="0" borderId="18">
      <alignment vertical="center"/>
      <protection locked="0"/>
    </xf>
    <xf numFmtId="1" fontId="21" fillId="0" borderId="18">
      <alignment vertical="center"/>
      <protection locked="0"/>
    </xf>
    <xf numFmtId="1" fontId="21" fillId="0" borderId="18">
      <alignment vertical="center"/>
      <protection locked="0"/>
    </xf>
    <xf numFmtId="1" fontId="21" fillId="0" borderId="18">
      <alignment vertical="center"/>
      <protection locked="0"/>
    </xf>
    <xf numFmtId="1" fontId="21" fillId="0" borderId="18">
      <alignment vertical="center"/>
      <protection locked="0"/>
    </xf>
    <xf numFmtId="1" fontId="21" fillId="0" borderId="18">
      <alignment vertical="center"/>
      <protection locked="0"/>
    </xf>
    <xf numFmtId="1" fontId="21" fillId="0" borderId="18">
      <alignment vertical="center"/>
      <protection locked="0"/>
    </xf>
    <xf numFmtId="1" fontId="21" fillId="0" borderId="18">
      <alignment vertical="center"/>
      <protection locked="0"/>
    </xf>
    <xf numFmtId="1" fontId="21" fillId="0" borderId="18">
      <alignment vertical="center"/>
      <protection locked="0"/>
    </xf>
    <xf numFmtId="0" fontId="114" fillId="0" borderId="0"/>
    <xf numFmtId="199" fontId="21" fillId="0" borderId="18">
      <alignment vertical="center"/>
      <protection locked="0"/>
    </xf>
    <xf numFmtId="199" fontId="21" fillId="0" borderId="18">
      <alignment vertical="center"/>
      <protection locked="0"/>
    </xf>
    <xf numFmtId="199" fontId="21" fillId="0" borderId="18">
      <alignment vertical="center"/>
      <protection locked="0"/>
    </xf>
    <xf numFmtId="199" fontId="21" fillId="0" borderId="18">
      <alignment vertical="center"/>
      <protection locked="0"/>
    </xf>
    <xf numFmtId="199" fontId="21" fillId="0" borderId="18">
      <alignment vertical="center"/>
      <protection locked="0"/>
    </xf>
    <xf numFmtId="199" fontId="21" fillId="0" borderId="18">
      <alignment vertical="center"/>
      <protection locked="0"/>
    </xf>
    <xf numFmtId="199" fontId="21" fillId="0" borderId="18">
      <alignment vertical="center"/>
      <protection locked="0"/>
    </xf>
    <xf numFmtId="199" fontId="21" fillId="0" borderId="18">
      <alignment vertical="center"/>
      <protection locked="0"/>
    </xf>
    <xf numFmtId="199" fontId="21" fillId="0" borderId="18">
      <alignment vertical="center"/>
      <protection locked="0"/>
    </xf>
    <xf numFmtId="0" fontId="2" fillId="0" borderId="0"/>
    <xf numFmtId="0" fontId="115" fillId="0" borderId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0" fontId="0" fillId="51" borderId="74" applyNumberFormat="0" applyFont="0" applyAlignment="0" applyProtection="0">
      <alignment vertical="center"/>
    </xf>
    <xf numFmtId="38" fontId="0" fillId="0" borderId="0" applyFont="0" applyFill="0" applyBorder="0" applyAlignment="0" applyProtection="0"/>
    <xf numFmtId="40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0" fontId="116" fillId="0" borderId="0"/>
  </cellStyleXfs>
  <cellXfs count="7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1" xfId="0" applyFont="1" applyBorder="1"/>
    <xf numFmtId="0" fontId="2" fillId="0" borderId="1" xfId="0" applyFont="1" applyBorder="1"/>
    <xf numFmtId="0" fontId="4" fillId="0" borderId="1" xfId="0" applyFont="1" applyBorder="1" applyAlignment="1">
      <alignment horizontal="right"/>
    </xf>
    <xf numFmtId="189" fontId="0" fillId="0" borderId="2" xfId="969" applyFont="1" applyFill="1" applyBorder="1" applyAlignment="1">
      <alignment horizontal="center" vertical="center"/>
    </xf>
    <xf numFmtId="189" fontId="0" fillId="0" borderId="3" xfId="969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00" fontId="0" fillId="0" borderId="5" xfId="0" applyNumberFormat="1" applyFont="1" applyFill="1" applyBorder="1" applyAlignment="1">
      <alignment horizontal="right" vertical="center"/>
    </xf>
    <xf numFmtId="201" fontId="0" fillId="0" borderId="6" xfId="969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201" fontId="0" fillId="0" borderId="0" xfId="969" applyNumberFormat="1" applyFont="1" applyFill="1" applyBorder="1" applyAlignment="1">
      <alignment horizontal="right" vertical="center"/>
    </xf>
    <xf numFmtId="0" fontId="5" fillId="0" borderId="4" xfId="0" applyNumberFormat="1" applyFont="1" applyBorder="1" applyAlignment="1">
      <alignment horizontal="center"/>
    </xf>
    <xf numFmtId="0" fontId="0" fillId="0" borderId="4" xfId="0" applyNumberFormat="1" applyBorder="1"/>
    <xf numFmtId="0" fontId="0" fillId="0" borderId="0" xfId="0" applyNumberFormat="1" applyBorder="1"/>
    <xf numFmtId="200" fontId="0" fillId="0" borderId="4" xfId="0" applyNumberFormat="1" applyFont="1" applyFill="1" applyBorder="1" applyAlignment="1">
      <alignment horizontal="right" vertical="center"/>
    </xf>
    <xf numFmtId="200" fontId="0" fillId="0" borderId="0" xfId="0" applyNumberFormat="1" applyFont="1" applyFill="1" applyBorder="1" applyAlignment="1">
      <alignment horizontal="right" vertical="center"/>
    </xf>
    <xf numFmtId="201" fontId="0" fillId="0" borderId="5" xfId="0" applyNumberFormat="1" applyBorder="1"/>
    <xf numFmtId="201" fontId="0" fillId="0" borderId="0" xfId="0" applyNumberFormat="1" applyBorder="1"/>
    <xf numFmtId="0" fontId="5" fillId="0" borderId="2" xfId="0" applyNumberFormat="1" applyFont="1" applyBorder="1" applyAlignment="1">
      <alignment horizontal="center"/>
    </xf>
    <xf numFmtId="201" fontId="0" fillId="0" borderId="7" xfId="0" applyNumberFormat="1" applyBorder="1"/>
    <xf numFmtId="201" fontId="0" fillId="0" borderId="3" xfId="0" applyNumberFormat="1" applyBorder="1"/>
    <xf numFmtId="0" fontId="6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202" fontId="0" fillId="0" borderId="5" xfId="0" applyNumberFormat="1" applyFont="1" applyBorder="1" applyAlignment="1">
      <alignment horizontal="right" vertical="center"/>
    </xf>
    <xf numFmtId="203" fontId="0" fillId="0" borderId="5" xfId="0" applyNumberFormat="1" applyFont="1" applyBorder="1" applyAlignment="1">
      <alignment horizontal="right" vertical="center"/>
    </xf>
    <xf numFmtId="201" fontId="0" fillId="0" borderId="6" xfId="0" applyNumberFormat="1" applyFont="1" applyBorder="1" applyAlignment="1">
      <alignment horizontal="right" vertical="center"/>
    </xf>
    <xf numFmtId="201" fontId="0" fillId="0" borderId="6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201" fontId="0" fillId="0" borderId="0" xfId="0" applyNumberFormat="1" applyFont="1" applyFill="1" applyBorder="1" applyAlignment="1">
      <alignment horizontal="right" vertical="center"/>
    </xf>
    <xf numFmtId="203" fontId="0" fillId="0" borderId="4" xfId="0" applyNumberFormat="1" applyFont="1" applyBorder="1" applyAlignment="1">
      <alignment horizontal="right" vertical="center"/>
    </xf>
    <xf numFmtId="201" fontId="0" fillId="0" borderId="0" xfId="0" applyNumberFormat="1" applyBorder="1" applyAlignment="1">
      <alignment horizontal="right"/>
    </xf>
    <xf numFmtId="203" fontId="0" fillId="0" borderId="4" xfId="0" applyNumberFormat="1" applyBorder="1"/>
    <xf numFmtId="201" fontId="0" fillId="0" borderId="0" xfId="2049" applyNumberFormat="1" applyFont="1" applyFill="1" applyBorder="1" applyAlignment="1">
      <alignment horizontal="right" vertical="center"/>
    </xf>
    <xf numFmtId="203" fontId="0" fillId="0" borderId="7" xfId="0" applyNumberFormat="1" applyFont="1" applyBorder="1" applyAlignment="1">
      <alignment horizontal="right" vertical="center"/>
    </xf>
    <xf numFmtId="201" fontId="0" fillId="0" borderId="3" xfId="2049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202" fontId="0" fillId="0" borderId="4" xfId="0" applyNumberFormat="1" applyFont="1" applyBorder="1" applyAlignment="1">
      <alignment horizontal="right" vertical="center"/>
    </xf>
    <xf numFmtId="0" fontId="0" fillId="0" borderId="5" xfId="0" applyNumberFormat="1" applyBorder="1"/>
    <xf numFmtId="0" fontId="0" fillId="0" borderId="7" xfId="0" applyNumberFormat="1" applyBorder="1"/>
    <xf numFmtId="0" fontId="0" fillId="0" borderId="0" xfId="0" applyFont="1"/>
    <xf numFmtId="0" fontId="4" fillId="0" borderId="0" xfId="0" applyFont="1"/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0" fillId="0" borderId="0" xfId="0" applyFont="1" applyFill="1" applyAlignment="1"/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0" xfId="0" applyFont="1" applyBorder="1"/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200" fontId="0" fillId="0" borderId="6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center" vertical="center" wrapText="1"/>
    </xf>
    <xf numFmtId="201" fontId="0" fillId="0" borderId="0" xfId="0" applyNumberFormat="1" applyBorder="1" applyAlignment="1">
      <alignment vertical="center"/>
    </xf>
    <xf numFmtId="202" fontId="0" fillId="0" borderId="2" xfId="0" applyNumberFormat="1" applyFont="1" applyBorder="1" applyAlignment="1">
      <alignment horizontal="right" vertical="center"/>
    </xf>
    <xf numFmtId="201" fontId="0" fillId="0" borderId="3" xfId="0" applyNumberFormat="1" applyBorder="1" applyAlignment="1">
      <alignment vertical="center"/>
    </xf>
    <xf numFmtId="0" fontId="0" fillId="0" borderId="1" xfId="0" applyFont="1" applyBorder="1" applyAlignment="1">
      <alignment horizontal="center"/>
    </xf>
    <xf numFmtId="202" fontId="0" fillId="0" borderId="5" xfId="3114" applyNumberFormat="1" applyFont="1" applyBorder="1" applyAlignment="1">
      <alignment horizontal="right" vertical="center"/>
    </xf>
    <xf numFmtId="202" fontId="0" fillId="0" borderId="5" xfId="3114" applyNumberFormat="1" applyFont="1" applyBorder="1" applyAlignment="1">
      <alignment horizontal="right" vertical="center" wrapText="1"/>
    </xf>
    <xf numFmtId="201" fontId="0" fillId="0" borderId="6" xfId="969" applyNumberFormat="1" applyFont="1" applyFill="1" applyBorder="1" applyAlignment="1">
      <alignment horizontal="right" vertical="center" wrapText="1"/>
    </xf>
    <xf numFmtId="204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5" fillId="0" borderId="4" xfId="0" applyNumberFormat="1" applyFont="1" applyBorder="1" applyAlignment="1">
      <alignment horizontal="center" vertical="center"/>
    </xf>
    <xf numFmtId="0" fontId="0" fillId="0" borderId="5" xfId="0" applyNumberFormat="1" applyBorder="1" applyAlignment="1">
      <alignment wrapText="1"/>
    </xf>
    <xf numFmtId="0" fontId="0" fillId="0" borderId="6" xfId="0" applyNumberFormat="1" applyBorder="1" applyAlignment="1">
      <alignment wrapText="1"/>
    </xf>
    <xf numFmtId="201" fontId="0" fillId="0" borderId="6" xfId="0" applyNumberFormat="1" applyBorder="1" applyAlignment="1">
      <alignment wrapText="1"/>
    </xf>
    <xf numFmtId="0" fontId="5" fillId="0" borderId="6" xfId="0" applyNumberFormat="1" applyFont="1" applyBorder="1" applyAlignment="1">
      <alignment horizontal="center" vertical="center"/>
    </xf>
    <xf numFmtId="205" fontId="0" fillId="0" borderId="5" xfId="0" applyNumberFormat="1" applyBorder="1" applyAlignment="1">
      <alignment wrapText="1"/>
    </xf>
    <xf numFmtId="0" fontId="0" fillId="0" borderId="0" xfId="0" applyNumberFormat="1" applyBorder="1" applyAlignment="1">
      <alignment wrapText="1"/>
    </xf>
    <xf numFmtId="201" fontId="0" fillId="0" borderId="0" xfId="0" applyNumberFormat="1" applyBorder="1" applyAlignment="1">
      <alignment wrapText="1"/>
    </xf>
    <xf numFmtId="205" fontId="0" fillId="0" borderId="4" xfId="0" applyNumberFormat="1" applyBorder="1"/>
    <xf numFmtId="205" fontId="0" fillId="0" borderId="11" xfId="0" applyNumberFormat="1" applyBorder="1"/>
    <xf numFmtId="201" fontId="0" fillId="0" borderId="12" xfId="0" applyNumberFormat="1" applyBorder="1"/>
    <xf numFmtId="202" fontId="0" fillId="0" borderId="5" xfId="0" applyNumberFormat="1" applyFont="1" applyFill="1" applyBorder="1" applyAlignment="1">
      <alignment horizontal="right" vertical="center"/>
    </xf>
    <xf numFmtId="200" fontId="0" fillId="0" borderId="6" xfId="0" applyNumberFormat="1" applyFont="1" applyFill="1" applyBorder="1" applyAlignment="1">
      <alignment horizontal="right" vertical="center"/>
    </xf>
    <xf numFmtId="0" fontId="0" fillId="0" borderId="4" xfId="0" applyBorder="1"/>
    <xf numFmtId="0" fontId="0" fillId="0" borderId="6" xfId="0" applyBorder="1"/>
    <xf numFmtId="0" fontId="5" fillId="0" borderId="0" xfId="0" applyNumberFormat="1" applyFont="1" applyBorder="1" applyAlignment="1">
      <alignment horizontal="center" vertical="center"/>
    </xf>
    <xf numFmtId="0" fontId="0" fillId="2" borderId="7" xfId="0" applyFont="1" applyFill="1" applyBorder="1" applyAlignment="1">
      <alignment horizontal="right" vertical="center"/>
    </xf>
    <xf numFmtId="201" fontId="0" fillId="2" borderId="13" xfId="0" applyNumberFormat="1" applyFont="1" applyFill="1" applyBorder="1" applyAlignment="1">
      <alignment horizontal="right" vertical="center"/>
    </xf>
    <xf numFmtId="0" fontId="10" fillId="0" borderId="0" xfId="0" applyFont="1" applyFill="1" applyAlignment="1">
      <alignment horizontal="center" vertical="center"/>
    </xf>
    <xf numFmtId="201" fontId="10" fillId="0" borderId="0" xfId="0" applyNumberFormat="1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201" fontId="11" fillId="0" borderId="0" xfId="0" applyNumberFormat="1" applyFont="1" applyAlignment="1">
      <alignment vertical="center"/>
    </xf>
    <xf numFmtId="0" fontId="11" fillId="0" borderId="0" xfId="0" applyFont="1" applyAlignment="1">
      <alignment horizontal="right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201" fontId="12" fillId="0" borderId="15" xfId="0" applyNumberFormat="1" applyFont="1" applyBorder="1" applyAlignment="1">
      <alignment horizontal="center" vertical="center"/>
    </xf>
    <xf numFmtId="201" fontId="12" fillId="0" borderId="16" xfId="0" applyNumberFormat="1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201" fontId="12" fillId="0" borderId="18" xfId="0" applyNumberFormat="1" applyFont="1" applyBorder="1" applyAlignment="1">
      <alignment horizontal="center" vertical="center" wrapText="1"/>
    </xf>
    <xf numFmtId="201" fontId="12" fillId="0" borderId="19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201" fontId="11" fillId="0" borderId="5" xfId="0" applyNumberFormat="1" applyFont="1" applyBorder="1" applyAlignment="1">
      <alignment horizontal="center" vertical="center" wrapText="1"/>
    </xf>
    <xf numFmtId="201" fontId="11" fillId="0" borderId="6" xfId="0" applyNumberFormat="1" applyFont="1" applyBorder="1" applyAlignment="1">
      <alignment horizontal="center" vertical="center" wrapText="1"/>
    </xf>
    <xf numFmtId="203" fontId="11" fillId="0" borderId="0" xfId="0" applyNumberFormat="1" applyFont="1" applyAlignment="1">
      <alignment vertical="center" wrapText="1"/>
    </xf>
    <xf numFmtId="201" fontId="11" fillId="0" borderId="5" xfId="0" applyNumberFormat="1" applyFont="1" applyBorder="1" applyAlignment="1">
      <alignment horizontal="right" vertical="center" wrapText="1"/>
    </xf>
    <xf numFmtId="201" fontId="11" fillId="0" borderId="6" xfId="0" applyNumberFormat="1" applyFont="1" applyBorder="1" applyAlignment="1">
      <alignment horizontal="right" vertical="center" wrapText="1"/>
    </xf>
    <xf numFmtId="203" fontId="11" fillId="0" borderId="4" xfId="0" applyNumberFormat="1" applyFont="1" applyBorder="1" applyAlignment="1">
      <alignment vertical="center" wrapText="1"/>
    </xf>
    <xf numFmtId="203" fontId="11" fillId="0" borderId="5" xfId="0" applyNumberFormat="1" applyFont="1" applyBorder="1" applyAlignment="1">
      <alignment vertical="center" wrapText="1"/>
    </xf>
    <xf numFmtId="201" fontId="11" fillId="0" borderId="6" xfId="0" applyNumberFormat="1" applyFont="1" applyBorder="1" applyAlignment="1">
      <alignment vertical="center" wrapText="1"/>
    </xf>
    <xf numFmtId="201" fontId="11" fillId="0" borderId="5" xfId="0" applyNumberFormat="1" applyFont="1" applyBorder="1" applyAlignment="1">
      <alignment vertical="center" wrapText="1"/>
    </xf>
    <xf numFmtId="201" fontId="12" fillId="0" borderId="18" xfId="0" applyNumberFormat="1" applyFont="1" applyBorder="1" applyAlignment="1">
      <alignment horizontal="center" vertical="center"/>
    </xf>
    <xf numFmtId="201" fontId="12" fillId="0" borderId="19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203" fontId="11" fillId="0" borderId="20" xfId="0" applyNumberFormat="1" applyFont="1" applyBorder="1" applyAlignment="1">
      <alignment horizontal="right" vertical="center" wrapText="1"/>
    </xf>
    <xf numFmtId="201" fontId="11" fillId="0" borderId="20" xfId="0" applyNumberFormat="1" applyFont="1" applyBorder="1" applyAlignment="1">
      <alignment horizontal="right" vertical="center" wrapText="1"/>
    </xf>
    <xf numFmtId="201" fontId="11" fillId="0" borderId="21" xfId="0" applyNumberFormat="1" applyFont="1" applyBorder="1" applyAlignment="1">
      <alignment horizontal="right" vertical="center" wrapText="1"/>
    </xf>
    <xf numFmtId="203" fontId="11" fillId="0" borderId="20" xfId="0" applyNumberFormat="1" applyFont="1" applyBorder="1" applyAlignment="1">
      <alignment vertical="center" wrapText="1"/>
    </xf>
    <xf numFmtId="201" fontId="11" fillId="0" borderId="20" xfId="0" applyNumberFormat="1" applyFont="1" applyBorder="1" applyAlignment="1">
      <alignment vertical="center" wrapText="1"/>
    </xf>
    <xf numFmtId="203" fontId="11" fillId="0" borderId="20" xfId="0" applyNumberFormat="1" applyFont="1" applyBorder="1" applyAlignment="1">
      <alignment vertical="center"/>
    </xf>
    <xf numFmtId="201" fontId="11" fillId="0" borderId="21" xfId="0" applyNumberFormat="1" applyFont="1" applyBorder="1" applyAlignment="1">
      <alignment vertical="center"/>
    </xf>
    <xf numFmtId="201" fontId="11" fillId="0" borderId="21" xfId="0" applyNumberFormat="1" applyFont="1" applyBorder="1" applyAlignment="1">
      <alignment horizontal="right" vertical="center"/>
    </xf>
    <xf numFmtId="203" fontId="0" fillId="0" borderId="0" xfId="0" applyNumberFormat="1"/>
    <xf numFmtId="0" fontId="11" fillId="0" borderId="1" xfId="0" applyFont="1" applyBorder="1" applyAlignment="1">
      <alignment horizontal="center" vertical="center"/>
    </xf>
    <xf numFmtId="203" fontId="11" fillId="0" borderId="22" xfId="0" applyNumberFormat="1" applyFont="1" applyBorder="1" applyAlignment="1">
      <alignment vertical="center" wrapText="1"/>
    </xf>
    <xf numFmtId="201" fontId="11" fillId="0" borderId="22" xfId="0" applyNumberFormat="1" applyFont="1" applyBorder="1" applyAlignment="1">
      <alignment vertical="center" wrapText="1"/>
    </xf>
    <xf numFmtId="203" fontId="11" fillId="0" borderId="22" xfId="0" applyNumberFormat="1" applyFont="1" applyBorder="1" applyAlignment="1">
      <alignment vertical="center"/>
    </xf>
    <xf numFmtId="201" fontId="11" fillId="0" borderId="23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201" fontId="0" fillId="0" borderId="0" xfId="0" applyNumberFormat="1" applyAlignment="1">
      <alignment vertical="center"/>
    </xf>
    <xf numFmtId="201" fontId="11" fillId="0" borderId="0" xfId="0" applyNumberFormat="1" applyFont="1" applyAlignment="1">
      <alignment horizontal="right" vertical="center"/>
    </xf>
    <xf numFmtId="201" fontId="11" fillId="0" borderId="0" xfId="0" applyNumberFormat="1" applyFont="1" applyAlignment="1">
      <alignment vertical="center" wrapText="1"/>
    </xf>
    <xf numFmtId="201" fontId="11" fillId="0" borderId="4" xfId="0" applyNumberFormat="1" applyFont="1" applyBorder="1" applyAlignment="1">
      <alignment vertical="center" wrapText="1"/>
    </xf>
    <xf numFmtId="201" fontId="11" fillId="0" borderId="20" xfId="0" applyNumberFormat="1" applyFont="1" applyBorder="1" applyAlignment="1">
      <alignment vertical="center"/>
    </xf>
    <xf numFmtId="201" fontId="11" fillId="0" borderId="22" xfId="0" applyNumberFormat="1" applyFont="1" applyBorder="1" applyAlignment="1">
      <alignment vertical="center"/>
    </xf>
    <xf numFmtId="0" fontId="11" fillId="0" borderId="20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11" fillId="0" borderId="20" xfId="0" applyFont="1" applyBorder="1" applyAlignment="1">
      <alignment horizontal="center" vertical="center" wrapText="1"/>
    </xf>
    <xf numFmtId="201" fontId="11" fillId="0" borderId="20" xfId="0" applyNumberFormat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201" fontId="11" fillId="0" borderId="21" xfId="0" applyNumberFormat="1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1" fillId="0" borderId="2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0" fillId="0" borderId="5" xfId="0" applyBorder="1"/>
    <xf numFmtId="0" fontId="0" fillId="0" borderId="0" xfId="0" applyFont="1" applyBorder="1" applyAlignment="1">
      <alignment horizontal="right" vertical="center"/>
    </xf>
    <xf numFmtId="201" fontId="0" fillId="0" borderId="6" xfId="0" applyNumberFormat="1" applyBorder="1"/>
    <xf numFmtId="201" fontId="0" fillId="0" borderId="6" xfId="0" applyNumberFormat="1" applyFill="1" applyBorder="1"/>
    <xf numFmtId="0" fontId="5" fillId="0" borderId="0" xfId="0" applyFont="1" applyBorder="1" applyAlignment="1">
      <alignment horizontal="center"/>
    </xf>
    <xf numFmtId="201" fontId="0" fillId="0" borderId="0" xfId="0" applyNumberFormat="1"/>
    <xf numFmtId="0" fontId="5" fillId="0" borderId="0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0" fillId="0" borderId="0" xfId="2051" applyFont="1" applyFill="1">
      <alignment vertical="center"/>
    </xf>
    <xf numFmtId="0" fontId="0" fillId="0" borderId="0" xfId="2051" applyFill="1" applyAlignment="1">
      <alignment horizontal="center" vertical="center"/>
    </xf>
    <xf numFmtId="0" fontId="0" fillId="0" borderId="0" xfId="2051" applyFill="1">
      <alignment vertical="center"/>
    </xf>
    <xf numFmtId="0" fontId="3" fillId="0" borderId="0" xfId="2051" applyFont="1" applyFill="1" applyBorder="1" applyAlignment="1">
      <alignment horizontal="center" vertical="center"/>
    </xf>
    <xf numFmtId="0" fontId="5" fillId="0" borderId="24" xfId="2051" applyFont="1" applyFill="1" applyBorder="1" applyAlignment="1">
      <alignment horizontal="center" vertical="center"/>
    </xf>
    <xf numFmtId="0" fontId="0" fillId="0" borderId="18" xfId="2051" applyFont="1" applyFill="1" applyBorder="1" applyAlignment="1">
      <alignment horizontal="center" vertical="center" wrapText="1"/>
    </xf>
    <xf numFmtId="0" fontId="0" fillId="0" borderId="25" xfId="2051" applyFont="1" applyFill="1" applyBorder="1" applyAlignment="1">
      <alignment horizontal="center" vertical="center" wrapText="1"/>
    </xf>
    <xf numFmtId="0" fontId="0" fillId="0" borderId="19" xfId="2051" applyFont="1" applyFill="1" applyBorder="1" applyAlignment="1">
      <alignment horizontal="center" vertical="center" wrapText="1"/>
    </xf>
    <xf numFmtId="0" fontId="0" fillId="0" borderId="0" xfId="2051" applyFont="1" applyFill="1" applyAlignment="1">
      <alignment horizontal="center" vertical="center"/>
    </xf>
    <xf numFmtId="0" fontId="0" fillId="0" borderId="0" xfId="2051" applyFill="1" applyBorder="1" applyAlignment="1">
      <alignment horizontal="center" vertical="center"/>
    </xf>
    <xf numFmtId="0" fontId="0" fillId="0" borderId="26" xfId="2051" applyFont="1" applyFill="1" applyBorder="1" applyAlignment="1" applyProtection="1">
      <alignment horizontal="center" vertical="center"/>
    </xf>
    <xf numFmtId="205" fontId="0" fillId="0" borderId="6" xfId="2051" applyNumberFormat="1" applyFont="1" applyFill="1" applyBorder="1" applyAlignment="1" applyProtection="1">
      <alignment horizontal="right" vertical="center"/>
    </xf>
    <xf numFmtId="202" fontId="0" fillId="0" borderId="27" xfId="969" applyNumberFormat="1" applyFont="1" applyFill="1" applyBorder="1" applyAlignment="1">
      <alignment horizontal="right" vertical="center"/>
    </xf>
    <xf numFmtId="202" fontId="0" fillId="0" borderId="0" xfId="969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right"/>
    </xf>
    <xf numFmtId="0" fontId="15" fillId="0" borderId="0" xfId="0" applyFont="1"/>
    <xf numFmtId="206" fontId="0" fillId="0" borderId="28" xfId="969" applyNumberFormat="1" applyFont="1" applyFill="1" applyBorder="1" applyAlignment="1">
      <alignment horizontal="right" vertical="center"/>
    </xf>
    <xf numFmtId="201" fontId="0" fillId="0" borderId="6" xfId="2051" applyNumberFormat="1" applyFont="1" applyFill="1" applyBorder="1" applyAlignment="1" applyProtection="1">
      <alignment horizontal="right" vertical="center"/>
    </xf>
    <xf numFmtId="203" fontId="0" fillId="0" borderId="0" xfId="2051" applyNumberFormat="1" applyFill="1" applyAlignment="1">
      <alignment horizontal="center" vertical="center"/>
    </xf>
    <xf numFmtId="0" fontId="16" fillId="0" borderId="0" xfId="2051" applyFont="1" applyBorder="1" applyAlignment="1">
      <alignment horizontal="right" vertical="center" wrapText="1"/>
    </xf>
    <xf numFmtId="205" fontId="0" fillId="0" borderId="29" xfId="2051" applyNumberFormat="1" applyFont="1" applyFill="1" applyBorder="1" applyAlignment="1" applyProtection="1">
      <alignment horizontal="right" vertical="center"/>
    </xf>
    <xf numFmtId="0" fontId="0" fillId="0" borderId="0" xfId="2054">
      <alignment vertical="center"/>
    </xf>
    <xf numFmtId="201" fontId="0" fillId="0" borderId="0" xfId="2051" applyNumberFormat="1" applyFill="1" applyAlignment="1">
      <alignment horizontal="center" vertical="center"/>
    </xf>
    <xf numFmtId="201" fontId="17" fillId="0" borderId="0" xfId="969" applyNumberFormat="1" applyFont="1" applyFill="1" applyBorder="1" applyAlignment="1">
      <alignment horizontal="right" vertical="center"/>
    </xf>
    <xf numFmtId="201" fontId="0" fillId="0" borderId="0" xfId="2051" applyNumberFormat="1" applyFill="1">
      <alignment vertical="center"/>
    </xf>
    <xf numFmtId="0" fontId="16" fillId="0" borderId="0" xfId="2051" applyFont="1" applyAlignment="1">
      <alignment horizontal="right" vertical="center" wrapText="1"/>
    </xf>
    <xf numFmtId="0" fontId="0" fillId="0" borderId="30" xfId="2051" applyFont="1" applyFill="1" applyBorder="1" applyAlignment="1" applyProtection="1">
      <alignment horizontal="center" vertical="center"/>
    </xf>
    <xf numFmtId="206" fontId="0" fillId="0" borderId="31" xfId="969" applyNumberFormat="1" applyFont="1" applyFill="1" applyBorder="1" applyAlignment="1">
      <alignment horizontal="right" vertical="center"/>
    </xf>
    <xf numFmtId="201" fontId="0" fillId="0" borderId="10" xfId="969" applyNumberFormat="1" applyFont="1" applyFill="1" applyBorder="1" applyAlignment="1">
      <alignment horizontal="right" vertical="center"/>
    </xf>
    <xf numFmtId="205" fontId="0" fillId="0" borderId="32" xfId="2051" applyNumberFormat="1" applyFont="1" applyFill="1" applyBorder="1" applyAlignment="1" applyProtection="1">
      <alignment horizontal="right" vertical="center"/>
    </xf>
    <xf numFmtId="201" fontId="0" fillId="0" borderId="10" xfId="2051" applyNumberFormat="1" applyFont="1" applyFill="1" applyBorder="1" applyAlignment="1" applyProtection="1">
      <alignment horizontal="right" vertical="center"/>
    </xf>
    <xf numFmtId="205" fontId="0" fillId="0" borderId="10" xfId="2051" applyNumberFormat="1" applyFont="1" applyFill="1" applyBorder="1" applyAlignment="1" applyProtection="1">
      <alignment horizontal="right" vertical="center"/>
    </xf>
    <xf numFmtId="0" fontId="0" fillId="0" borderId="0" xfId="2051" applyFill="1" applyBorder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2" fillId="0" borderId="4" xfId="0" applyFont="1" applyBorder="1" applyAlignment="1">
      <alignment vertical="center" wrapText="1"/>
    </xf>
    <xf numFmtId="0" fontId="11" fillId="0" borderId="5" xfId="0" applyNumberFormat="1" applyFont="1" applyBorder="1" applyAlignment="1">
      <alignment horizontal="right" vertical="center" wrapText="1"/>
    </xf>
    <xf numFmtId="0" fontId="11" fillId="0" borderId="0" xfId="0" applyNumberFormat="1" applyFont="1" applyAlignment="1">
      <alignment horizontal="right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206" fontId="0" fillId="0" borderId="0" xfId="0" applyNumberFormat="1" applyFont="1" applyAlignment="1">
      <alignment vertical="center"/>
    </xf>
    <xf numFmtId="0" fontId="11" fillId="0" borderId="4" xfId="0" applyFont="1" applyBorder="1" applyAlignment="1">
      <alignment vertical="center"/>
    </xf>
    <xf numFmtId="203" fontId="11" fillId="0" borderId="5" xfId="0" applyNumberFormat="1" applyFont="1" applyFill="1" applyBorder="1" applyAlignment="1">
      <alignment vertical="center" wrapText="1"/>
    </xf>
    <xf numFmtId="201" fontId="11" fillId="0" borderId="5" xfId="0" applyNumberFormat="1" applyFont="1" applyFill="1" applyBorder="1" applyAlignment="1">
      <alignment vertical="center" wrapText="1"/>
    </xf>
    <xf numFmtId="0" fontId="11" fillId="0" borderId="6" xfId="0" applyFont="1" applyFill="1" applyBorder="1" applyAlignment="1">
      <alignment horizontal="center" vertical="center" wrapText="1"/>
    </xf>
    <xf numFmtId="203" fontId="0" fillId="0" borderId="0" xfId="0" applyNumberFormat="1" applyFont="1" applyAlignment="1">
      <alignment vertical="center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Fill="1" applyBorder="1" applyAlignment="1">
      <alignment vertical="center" wrapText="1"/>
    </xf>
    <xf numFmtId="206" fontId="11" fillId="0" borderId="5" xfId="0" applyNumberFormat="1" applyFont="1" applyBorder="1" applyAlignment="1">
      <alignment horizontal="right" vertical="center" wrapText="1"/>
    </xf>
    <xf numFmtId="200" fontId="11" fillId="0" borderId="5" xfId="0" applyNumberFormat="1" applyFont="1" applyBorder="1" applyAlignment="1">
      <alignment horizontal="right" vertical="center" wrapText="1"/>
    </xf>
    <xf numFmtId="202" fontId="11" fillId="0" borderId="5" xfId="0" applyNumberFormat="1" applyFont="1" applyFill="1" applyBorder="1" applyAlignment="1">
      <alignment horizontal="right" vertical="center" wrapText="1"/>
    </xf>
    <xf numFmtId="201" fontId="11" fillId="0" borderId="0" xfId="0" applyNumberFormat="1" applyFont="1" applyFill="1" applyAlignment="1">
      <alignment horizontal="right" vertical="center" wrapText="1"/>
    </xf>
    <xf numFmtId="0" fontId="11" fillId="0" borderId="6" xfId="0" applyFont="1" applyFill="1" applyBorder="1" applyAlignment="1">
      <alignment horizontal="right" vertical="center" wrapText="1"/>
    </xf>
    <xf numFmtId="0" fontId="11" fillId="0" borderId="6" xfId="0" applyNumberFormat="1" applyFont="1" applyFill="1" applyBorder="1" applyAlignment="1">
      <alignment horizontal="right" vertical="center" wrapText="1"/>
    </xf>
    <xf numFmtId="0" fontId="11" fillId="0" borderId="8" xfId="0" applyFont="1" applyFill="1" applyBorder="1" applyAlignment="1">
      <alignment vertical="center" wrapText="1"/>
    </xf>
    <xf numFmtId="0" fontId="18" fillId="0" borderId="33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2" fillId="0" borderId="4" xfId="0" applyFont="1" applyFill="1" applyBorder="1" applyAlignment="1">
      <alignment vertical="center" wrapText="1"/>
    </xf>
    <xf numFmtId="202" fontId="11" fillId="0" borderId="34" xfId="0" applyNumberFormat="1" applyFont="1" applyFill="1" applyBorder="1" applyAlignment="1">
      <alignment horizontal="right" vertical="center" wrapText="1"/>
    </xf>
    <xf numFmtId="200" fontId="11" fillId="0" borderId="4" xfId="0" applyNumberFormat="1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/>
    </xf>
    <xf numFmtId="203" fontId="11" fillId="0" borderId="35" xfId="0" applyNumberFormat="1" applyFont="1" applyFill="1" applyBorder="1" applyAlignment="1">
      <alignment vertical="center" wrapText="1"/>
    </xf>
    <xf numFmtId="201" fontId="11" fillId="0" borderId="0" xfId="969" applyNumberFormat="1" applyFont="1" applyFill="1" applyBorder="1" applyAlignment="1">
      <alignment horizontal="right" vertical="center" wrapText="1"/>
    </xf>
    <xf numFmtId="203" fontId="11" fillId="0" borderId="35" xfId="0" applyNumberFormat="1" applyFont="1" applyBorder="1" applyAlignment="1">
      <alignment vertical="center" wrapText="1"/>
    </xf>
    <xf numFmtId="0" fontId="11" fillId="0" borderId="4" xfId="0" applyFont="1" applyFill="1" applyBorder="1" applyAlignment="1">
      <alignment horizontal="left" vertical="center" wrapText="1"/>
    </xf>
    <xf numFmtId="201" fontId="11" fillId="0" borderId="4" xfId="0" applyNumberFormat="1" applyFont="1" applyFill="1" applyBorder="1" applyAlignment="1">
      <alignment horizontal="right" vertical="center" wrapText="1"/>
    </xf>
    <xf numFmtId="201" fontId="11" fillId="0" borderId="5" xfId="0" applyNumberFormat="1" applyFont="1" applyFill="1" applyBorder="1" applyAlignment="1">
      <alignment horizontal="right" vertical="center" wrapText="1"/>
    </xf>
    <xf numFmtId="0" fontId="12" fillId="0" borderId="4" xfId="0" applyFont="1" applyFill="1" applyBorder="1" applyAlignment="1">
      <alignment vertical="center"/>
    </xf>
    <xf numFmtId="0" fontId="11" fillId="0" borderId="6" xfId="0" applyFont="1" applyBorder="1" applyAlignment="1">
      <alignment vertical="center"/>
    </xf>
    <xf numFmtId="201" fontId="11" fillId="0" borderId="6" xfId="0" applyNumberFormat="1" applyFont="1" applyFill="1" applyBorder="1" applyAlignment="1">
      <alignment horizontal="right" vertical="center" wrapText="1"/>
    </xf>
    <xf numFmtId="203" fontId="11" fillId="0" borderId="36" xfId="0" applyNumberFormat="1" applyFont="1" applyBorder="1" applyAlignment="1">
      <alignment vertical="center" wrapText="1"/>
    </xf>
    <xf numFmtId="201" fontId="11" fillId="0" borderId="9" xfId="0" applyNumberFormat="1" applyFont="1" applyFill="1" applyBorder="1" applyAlignment="1">
      <alignment horizontal="right"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Alignment="1">
      <alignment horizontal="right" vertical="center" wrapText="1"/>
    </xf>
    <xf numFmtId="201" fontId="11" fillId="0" borderId="0" xfId="2053" applyNumberFormat="1" applyFont="1" applyFill="1" applyAlignment="1">
      <alignment horizontal="right" vertical="center" wrapText="1"/>
    </xf>
    <xf numFmtId="0" fontId="11" fillId="0" borderId="6" xfId="0" applyNumberFormat="1" applyFont="1" applyFill="1" applyBorder="1" applyAlignment="1">
      <alignment horizontal="center" vertical="center"/>
    </xf>
    <xf numFmtId="0" fontId="11" fillId="0" borderId="6" xfId="2053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203" fontId="11" fillId="0" borderId="9" xfId="0" applyNumberFormat="1" applyFont="1" applyBorder="1" applyAlignment="1">
      <alignment vertical="center" wrapText="1"/>
    </xf>
    <xf numFmtId="201" fontId="11" fillId="0" borderId="1" xfId="2053" applyNumberFormat="1" applyFont="1" applyFill="1" applyBorder="1" applyAlignment="1">
      <alignment horizontal="right" vertical="center" wrapText="1"/>
    </xf>
    <xf numFmtId="0" fontId="11" fillId="0" borderId="10" xfId="2053" applyFont="1" applyFill="1" applyBorder="1" applyAlignment="1">
      <alignment horizontal="center" vertical="center"/>
    </xf>
    <xf numFmtId="203" fontId="11" fillId="0" borderId="0" xfId="0" applyNumberFormat="1" applyFont="1" applyAlignment="1">
      <alignment vertical="center"/>
    </xf>
    <xf numFmtId="200" fontId="0" fillId="0" borderId="0" xfId="0" applyNumberFormat="1" applyFont="1" applyAlignment="1">
      <alignment vertical="center"/>
    </xf>
    <xf numFmtId="0" fontId="0" fillId="0" borderId="0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203" fontId="11" fillId="0" borderId="5" xfId="0" applyNumberFormat="1" applyFont="1" applyFill="1" applyBorder="1" applyAlignment="1">
      <alignment horizontal="right" vertical="center" wrapText="1"/>
    </xf>
    <xf numFmtId="0" fontId="4" fillId="0" borderId="3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20" fillId="0" borderId="14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4" xfId="0" applyFont="1" applyBorder="1" applyAlignment="1">
      <alignment vertical="center" wrapText="1"/>
    </xf>
    <xf numFmtId="206" fontId="19" fillId="0" borderId="5" xfId="0" applyNumberFormat="1" applyFont="1" applyBorder="1" applyAlignment="1">
      <alignment horizontal="right" vertical="center" wrapText="1"/>
    </xf>
    <xf numFmtId="200" fontId="19" fillId="0" borderId="5" xfId="0" applyNumberFormat="1" applyFont="1" applyBorder="1" applyAlignment="1">
      <alignment horizontal="right" vertical="center" wrapText="1"/>
    </xf>
    <xf numFmtId="0" fontId="19" fillId="0" borderId="6" xfId="0" applyFont="1" applyFill="1" applyBorder="1" applyAlignment="1">
      <alignment horizontal="center" vertical="center"/>
    </xf>
    <xf numFmtId="0" fontId="19" fillId="0" borderId="4" xfId="0" applyFont="1" applyBorder="1" applyAlignment="1">
      <alignment vertical="center"/>
    </xf>
    <xf numFmtId="203" fontId="19" fillId="0" borderId="5" xfId="0" applyNumberFormat="1" applyFont="1" applyFill="1" applyBorder="1" applyAlignment="1">
      <alignment horizontal="right" vertical="center" wrapText="1"/>
    </xf>
    <xf numFmtId="201" fontId="19" fillId="0" borderId="5" xfId="0" applyNumberFormat="1" applyFont="1" applyFill="1" applyBorder="1" applyAlignment="1">
      <alignment horizontal="right" vertical="center" wrapText="1"/>
    </xf>
    <xf numFmtId="0" fontId="19" fillId="0" borderId="6" xfId="0" applyNumberFormat="1" applyFont="1" applyFill="1" applyBorder="1" applyAlignment="1">
      <alignment horizontal="center" vertical="center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4" xfId="0" applyFont="1" applyFill="1" applyBorder="1" applyAlignment="1">
      <alignment vertical="center" wrapText="1"/>
    </xf>
    <xf numFmtId="0" fontId="19" fillId="0" borderId="8" xfId="0" applyFont="1" applyFill="1" applyBorder="1" applyAlignment="1">
      <alignment vertical="center" wrapText="1"/>
    </xf>
    <xf numFmtId="0" fontId="12" fillId="0" borderId="14" xfId="0" applyFont="1" applyFill="1" applyBorder="1" applyAlignment="1">
      <alignment horizontal="center" vertical="center"/>
    </xf>
    <xf numFmtId="206" fontId="11" fillId="0" borderId="5" xfId="0" applyNumberFormat="1" applyFont="1" applyFill="1" applyBorder="1" applyAlignment="1">
      <alignment horizontal="right" vertical="center"/>
    </xf>
    <xf numFmtId="201" fontId="11" fillId="0" borderId="5" xfId="0" applyNumberFormat="1" applyFont="1" applyFill="1" applyBorder="1" applyAlignment="1">
      <alignment horizontal="right" vertical="center"/>
    </xf>
    <xf numFmtId="205" fontId="11" fillId="0" borderId="5" xfId="0" applyNumberFormat="1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wrapText="1"/>
    </xf>
    <xf numFmtId="0" fontId="11" fillId="0" borderId="5" xfId="0" applyFont="1" applyFill="1" applyBorder="1" applyAlignment="1">
      <alignment wrapText="1"/>
    </xf>
    <xf numFmtId="0" fontId="11" fillId="0" borderId="6" xfId="0" applyFont="1" applyFill="1" applyBorder="1"/>
    <xf numFmtId="203" fontId="11" fillId="0" borderId="9" xfId="0" applyNumberFormat="1" applyFont="1" applyFill="1" applyBorder="1" applyAlignment="1">
      <alignment horizontal="right" vertical="center" wrapText="1"/>
    </xf>
    <xf numFmtId="0" fontId="21" fillId="0" borderId="0" xfId="0" applyFont="1"/>
    <xf numFmtId="0" fontId="11" fillId="0" borderId="6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200" fontId="0" fillId="0" borderId="0" xfId="0" applyNumberFormat="1" applyAlignment="1">
      <alignment vertical="center"/>
    </xf>
    <xf numFmtId="203" fontId="11" fillId="0" borderId="0" xfId="0" applyNumberFormat="1" applyFont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200" fontId="0" fillId="0" borderId="0" xfId="0" applyNumberFormat="1" applyFont="1" applyFill="1" applyAlignment="1">
      <alignment vertical="center"/>
    </xf>
    <xf numFmtId="206" fontId="11" fillId="0" borderId="5" xfId="0" applyNumberFormat="1" applyFont="1" applyFill="1" applyBorder="1" applyAlignment="1">
      <alignment horizontal="right" vertical="center" wrapText="1"/>
    </xf>
    <xf numFmtId="200" fontId="11" fillId="0" borderId="5" xfId="0" applyNumberFormat="1" applyFont="1" applyFill="1" applyBorder="1" applyAlignment="1">
      <alignment horizontal="right" vertical="center" wrapText="1"/>
    </xf>
    <xf numFmtId="203" fontId="11" fillId="0" borderId="0" xfId="0" applyNumberFormat="1" applyFont="1" applyFill="1" applyAlignment="1">
      <alignment vertical="center" wrapText="1"/>
    </xf>
    <xf numFmtId="0" fontId="4" fillId="0" borderId="33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4" fillId="0" borderId="0" xfId="0" applyFont="1" applyFill="1"/>
    <xf numFmtId="0" fontId="0" fillId="0" borderId="0" xfId="0" applyFont="1" applyFill="1"/>
    <xf numFmtId="200" fontId="0" fillId="0" borderId="0" xfId="0" applyNumberFormat="1" applyFont="1" applyFill="1"/>
    <xf numFmtId="207" fontId="11" fillId="0" borderId="5" xfId="0" applyNumberFormat="1" applyFont="1" applyFill="1" applyBorder="1" applyAlignment="1">
      <alignment horizontal="right" vertical="center" wrapText="1"/>
    </xf>
    <xf numFmtId="202" fontId="11" fillId="0" borderId="6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vertical="center" wrapText="1"/>
    </xf>
    <xf numFmtId="0" fontId="4" fillId="0" borderId="33" xfId="0" applyFont="1" applyFill="1" applyBorder="1" applyAlignment="1"/>
    <xf numFmtId="0" fontId="4" fillId="0" borderId="0" xfId="0" applyFont="1" applyFill="1" applyBorder="1"/>
    <xf numFmtId="0" fontId="0" fillId="0" borderId="0" xfId="0" applyFont="1" applyFill="1" applyBorder="1"/>
    <xf numFmtId="200" fontId="0" fillId="0" borderId="0" xfId="0" applyNumberFormat="1"/>
    <xf numFmtId="0" fontId="11" fillId="0" borderId="5" xfId="0" applyFont="1" applyFill="1" applyBorder="1" applyAlignment="1">
      <alignment vertical="center"/>
    </xf>
    <xf numFmtId="203" fontId="11" fillId="0" borderId="1" xfId="0" applyNumberFormat="1" applyFont="1" applyFill="1" applyBorder="1" applyAlignment="1">
      <alignment vertical="center" wrapText="1"/>
    </xf>
    <xf numFmtId="0" fontId="4" fillId="0" borderId="0" xfId="0" applyFont="1" applyBorder="1"/>
    <xf numFmtId="0" fontId="11" fillId="0" borderId="0" xfId="0" applyFont="1" applyFill="1" applyBorder="1" applyAlignment="1">
      <alignment horizontal="right" vertical="center"/>
    </xf>
    <xf numFmtId="0" fontId="12" fillId="0" borderId="37" xfId="0" applyFont="1" applyFill="1" applyBorder="1" applyAlignment="1">
      <alignment horizontal="center" vertical="center"/>
    </xf>
    <xf numFmtId="57" fontId="12" fillId="0" borderId="15" xfId="2050" applyNumberFormat="1" applyFont="1" applyFill="1" applyBorder="1" applyAlignment="1">
      <alignment horizontal="center" vertical="center"/>
    </xf>
    <xf numFmtId="49" fontId="12" fillId="0" borderId="15" xfId="2055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203" fontId="11" fillId="0" borderId="21" xfId="0" applyNumberFormat="1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vertical="center" wrapText="1"/>
    </xf>
    <xf numFmtId="203" fontId="11" fillId="0" borderId="38" xfId="0" applyNumberFormat="1" applyFont="1" applyFill="1" applyBorder="1" applyAlignment="1">
      <alignment vertical="center" wrapText="1"/>
    </xf>
    <xf numFmtId="201" fontId="11" fillId="0" borderId="10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center" vertical="center"/>
    </xf>
    <xf numFmtId="0" fontId="11" fillId="0" borderId="21" xfId="0" applyFont="1" applyFill="1" applyBorder="1" applyAlignment="1">
      <alignment vertical="center"/>
    </xf>
    <xf numFmtId="0" fontId="12" fillId="0" borderId="6" xfId="0" applyFont="1" applyFill="1" applyBorder="1" applyAlignment="1">
      <alignment vertical="center" wrapText="1"/>
    </xf>
    <xf numFmtId="201" fontId="12" fillId="0" borderId="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1" fillId="0" borderId="0" xfId="0" applyFont="1" applyFill="1" applyAlignment="1">
      <alignment horizontal="right" vertical="center"/>
    </xf>
    <xf numFmtId="203" fontId="11" fillId="0" borderId="20" xfId="0" applyNumberFormat="1" applyFont="1" applyFill="1" applyBorder="1" applyAlignment="1">
      <alignment vertical="center" wrapText="1"/>
    </xf>
    <xf numFmtId="201" fontId="11" fillId="0" borderId="4" xfId="0" applyNumberFormat="1" applyFont="1" applyFill="1" applyBorder="1" applyAlignment="1">
      <alignment vertical="center" wrapText="1"/>
    </xf>
    <xf numFmtId="0" fontId="11" fillId="0" borderId="0" xfId="1850" applyFont="1" applyFill="1" applyBorder="1" applyAlignment="1">
      <alignment horizontal="center" vertical="center"/>
    </xf>
    <xf numFmtId="0" fontId="11" fillId="0" borderId="6" xfId="1850" applyFont="1" applyFill="1" applyBorder="1" applyAlignment="1">
      <alignment horizontal="center" vertical="center"/>
    </xf>
    <xf numFmtId="0" fontId="11" fillId="0" borderId="10" xfId="0" applyNumberFormat="1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/>
    </xf>
    <xf numFmtId="206" fontId="11" fillId="0" borderId="20" xfId="0" applyNumberFormat="1" applyFont="1" applyFill="1" applyBorder="1" applyAlignment="1">
      <alignment horizontal="right" vertical="center"/>
    </xf>
    <xf numFmtId="201" fontId="11" fillId="0" borderId="4" xfId="0" applyNumberFormat="1" applyFont="1" applyFill="1" applyBorder="1" applyAlignment="1">
      <alignment horizontal="right" vertical="center"/>
    </xf>
    <xf numFmtId="201" fontId="11" fillId="0" borderId="0" xfId="0" applyNumberFormat="1" applyFont="1" applyFill="1" applyAlignment="1">
      <alignment vertical="center" wrapText="1"/>
    </xf>
    <xf numFmtId="206" fontId="11" fillId="0" borderId="6" xfId="1851" applyNumberFormat="1" applyFont="1" applyFill="1" applyBorder="1" applyAlignment="1">
      <alignment horizontal="right" vertical="center" wrapText="1"/>
    </xf>
    <xf numFmtId="201" fontId="11" fillId="0" borderId="5" xfId="1851" applyNumberFormat="1" applyFont="1" applyFill="1" applyBorder="1" applyAlignment="1">
      <alignment horizontal="right" vertical="center" wrapText="1"/>
    </xf>
    <xf numFmtId="203" fontId="11" fillId="0" borderId="9" xfId="0" applyNumberFormat="1" applyFont="1" applyFill="1" applyBorder="1" applyAlignment="1">
      <alignment vertical="center" wrapText="1"/>
    </xf>
    <xf numFmtId="201" fontId="11" fillId="0" borderId="9" xfId="0" applyNumberFormat="1" applyFont="1" applyFill="1" applyBorder="1" applyAlignment="1">
      <alignment vertical="center" wrapText="1"/>
    </xf>
    <xf numFmtId="0" fontId="11" fillId="0" borderId="10" xfId="1850" applyFont="1" applyFill="1" applyBorder="1" applyAlignment="1">
      <alignment horizontal="center" vertical="center"/>
    </xf>
    <xf numFmtId="201" fontId="0" fillId="0" borderId="0" xfId="0" applyNumberFormat="1" applyFont="1" applyAlignment="1">
      <alignment vertical="center"/>
    </xf>
    <xf numFmtId="201" fontId="12" fillId="0" borderId="0" xfId="0" applyNumberFormat="1" applyFont="1" applyBorder="1" applyAlignment="1">
      <alignment horizontal="center" vertical="center"/>
    </xf>
    <xf numFmtId="0" fontId="11" fillId="0" borderId="2" xfId="0" applyFont="1" applyFill="1" applyBorder="1" applyAlignment="1">
      <alignment vertical="center" wrapText="1"/>
    </xf>
    <xf numFmtId="0" fontId="11" fillId="0" borderId="33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left" vertical="center"/>
    </xf>
    <xf numFmtId="200" fontId="11" fillId="0" borderId="43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vertical="center" wrapText="1"/>
    </xf>
    <xf numFmtId="200" fontId="11" fillId="0" borderId="6" xfId="0" applyNumberFormat="1" applyFont="1" applyBorder="1" applyAlignment="1">
      <alignment horizontal="right" vertical="center" wrapText="1"/>
    </xf>
    <xf numFmtId="200" fontId="0" fillId="0" borderId="0" xfId="0" applyNumberFormat="1" applyFont="1" applyBorder="1" applyAlignment="1">
      <alignment vertical="center"/>
    </xf>
    <xf numFmtId="0" fontId="11" fillId="0" borderId="8" xfId="0" applyFont="1" applyBorder="1" applyAlignment="1">
      <alignment horizontal="left" vertical="center" wrapText="1"/>
    </xf>
    <xf numFmtId="200" fontId="11" fillId="0" borderId="7" xfId="0" applyNumberFormat="1" applyFont="1" applyBorder="1" applyAlignment="1">
      <alignment horizontal="right" vertical="center" wrapText="1"/>
    </xf>
    <xf numFmtId="200" fontId="11" fillId="0" borderId="13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2" fillId="0" borderId="14" xfId="2052" applyFont="1" applyFill="1" applyBorder="1" applyAlignment="1">
      <alignment horizontal="center" vertical="center"/>
    </xf>
    <xf numFmtId="0" fontId="12" fillId="0" borderId="15" xfId="2052" applyFont="1" applyBorder="1" applyAlignment="1">
      <alignment horizontal="center" vertical="center"/>
    </xf>
    <xf numFmtId="0" fontId="12" fillId="0" borderId="16" xfId="2052" applyFont="1" applyBorder="1" applyAlignment="1">
      <alignment horizontal="center" vertical="center"/>
    </xf>
    <xf numFmtId="0" fontId="12" fillId="0" borderId="4" xfId="2052" applyFont="1" applyFill="1" applyBorder="1" applyAlignment="1">
      <alignment horizontal="left" vertical="center" wrapText="1"/>
    </xf>
    <xf numFmtId="201" fontId="12" fillId="0" borderId="5" xfId="2052" applyNumberFormat="1" applyFont="1" applyFill="1" applyBorder="1" applyAlignment="1">
      <alignment horizontal="right" vertical="center" wrapText="1"/>
    </xf>
    <xf numFmtId="201" fontId="12" fillId="0" borderId="6" xfId="2052" applyNumberFormat="1" applyFont="1" applyBorder="1" applyAlignment="1">
      <alignment horizontal="right" vertical="center" wrapText="1"/>
    </xf>
    <xf numFmtId="0" fontId="11" fillId="0" borderId="4" xfId="2052" applyFont="1" applyFill="1" applyBorder="1" applyAlignment="1">
      <alignment horizontal="left" vertical="center" wrapText="1"/>
    </xf>
    <xf numFmtId="201" fontId="11" fillId="0" borderId="5" xfId="2052" applyNumberFormat="1" applyFont="1" applyFill="1" applyBorder="1" applyAlignment="1" applyProtection="1">
      <alignment horizontal="right" vertical="center" wrapText="1"/>
    </xf>
    <xf numFmtId="200" fontId="11" fillId="0" borderId="6" xfId="2052" applyNumberFormat="1" applyFont="1" applyBorder="1" applyAlignment="1">
      <alignment horizontal="right" vertical="center" wrapText="1"/>
    </xf>
    <xf numFmtId="201" fontId="11" fillId="0" borderId="6" xfId="2052" applyNumberFormat="1" applyFont="1" applyBorder="1" applyAlignment="1">
      <alignment horizontal="right" vertical="center" wrapText="1"/>
    </xf>
    <xf numFmtId="201" fontId="11" fillId="0" borderId="5" xfId="2052" applyNumberFormat="1" applyFont="1" applyBorder="1" applyAlignment="1" applyProtection="1">
      <alignment horizontal="right" vertical="center" wrapText="1"/>
    </xf>
    <xf numFmtId="201" fontId="11" fillId="0" borderId="5" xfId="2052" applyNumberFormat="1" applyFont="1" applyBorder="1" applyAlignment="1" applyProtection="1">
      <alignment horizontal="right" vertical="center"/>
    </xf>
    <xf numFmtId="200" fontId="11" fillId="0" borderId="6" xfId="2052" applyNumberFormat="1" applyFont="1" applyBorder="1" applyAlignment="1">
      <alignment horizontal="right" vertical="center"/>
    </xf>
    <xf numFmtId="205" fontId="11" fillId="0" borderId="5" xfId="2052" applyNumberFormat="1" applyFont="1" applyBorder="1" applyAlignment="1" applyProtection="1">
      <alignment horizontal="right" vertical="center"/>
    </xf>
    <xf numFmtId="0" fontId="11" fillId="0" borderId="8" xfId="2052" applyFont="1" applyFill="1" applyBorder="1" applyAlignment="1">
      <alignment horizontal="left" vertical="center" wrapText="1"/>
    </xf>
    <xf numFmtId="205" fontId="11" fillId="0" borderId="9" xfId="2052" applyNumberFormat="1" applyFont="1" applyBorder="1" applyAlignment="1" applyProtection="1">
      <alignment horizontal="right" vertical="center"/>
    </xf>
    <xf numFmtId="200" fontId="11" fillId="0" borderId="10" xfId="2052" applyNumberFormat="1" applyFont="1" applyBorder="1" applyAlignment="1">
      <alignment horizontal="right" vertical="center"/>
    </xf>
    <xf numFmtId="0" fontId="22" fillId="0" borderId="33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1" fillId="0" borderId="44" xfId="0" applyFont="1" applyBorder="1" applyAlignment="1">
      <alignment vertical="center" wrapText="1"/>
    </xf>
    <xf numFmtId="0" fontId="21" fillId="0" borderId="4" xfId="0" applyFont="1" applyBorder="1" applyAlignment="1">
      <alignment horizontal="center" vertical="center" wrapText="1"/>
    </xf>
    <xf numFmtId="203" fontId="21" fillId="0" borderId="0" xfId="0" applyNumberFormat="1" applyFont="1" applyAlignment="1">
      <alignment horizontal="right" vertical="center" wrapText="1"/>
    </xf>
    <xf numFmtId="201" fontId="21" fillId="0" borderId="43" xfId="0" applyNumberFormat="1" applyFont="1" applyBorder="1" applyAlignment="1">
      <alignment horizontal="right" vertical="center" wrapText="1"/>
    </xf>
    <xf numFmtId="0" fontId="21" fillId="0" borderId="4" xfId="0" applyFont="1" applyBorder="1" applyAlignment="1">
      <alignment vertical="center" wrapText="1"/>
    </xf>
    <xf numFmtId="201" fontId="21" fillId="0" borderId="6" xfId="0" applyNumberFormat="1" applyFont="1" applyBorder="1" applyAlignment="1">
      <alignment horizontal="right" vertical="center" wrapText="1"/>
    </xf>
    <xf numFmtId="201" fontId="21" fillId="0" borderId="6" xfId="2051" applyNumberFormat="1" applyFont="1" applyFill="1" applyBorder="1" applyAlignment="1" applyProtection="1">
      <alignment horizontal="right" vertical="center" wrapText="1"/>
    </xf>
    <xf numFmtId="0" fontId="21" fillId="0" borderId="4" xfId="0" applyNumberFormat="1" applyFont="1" applyBorder="1" applyAlignment="1">
      <alignment horizontal="left" vertical="center" wrapText="1"/>
    </xf>
    <xf numFmtId="0" fontId="21" fillId="0" borderId="4" xfId="0" applyNumberFormat="1" applyFont="1" applyBorder="1" applyAlignment="1">
      <alignment horizontal="center" vertical="center"/>
    </xf>
    <xf numFmtId="0" fontId="21" fillId="0" borderId="4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4" xfId="0" applyNumberFormat="1" applyFont="1" applyFill="1" applyBorder="1" applyAlignment="1">
      <alignment vertical="center"/>
    </xf>
    <xf numFmtId="202" fontId="21" fillId="0" borderId="5" xfId="969" applyNumberFormat="1" applyFont="1" applyFill="1" applyBorder="1" applyAlignment="1">
      <alignment horizontal="right" vertical="center" wrapText="1"/>
    </xf>
    <xf numFmtId="205" fontId="21" fillId="0" borderId="5" xfId="969" applyNumberFormat="1" applyFont="1" applyFill="1" applyBorder="1" applyAlignment="1">
      <alignment horizontal="right" vertical="center" wrapText="1"/>
    </xf>
    <xf numFmtId="0" fontId="21" fillId="0" borderId="8" xfId="0" applyFont="1" applyBorder="1" applyAlignment="1">
      <alignment vertical="center" wrapText="1"/>
    </xf>
    <xf numFmtId="0" fontId="21" fillId="0" borderId="9" xfId="0" applyFont="1" applyBorder="1" applyAlignment="1">
      <alignment horizontal="center" vertical="center" wrapText="1"/>
    </xf>
    <xf numFmtId="202" fontId="21" fillId="0" borderId="9" xfId="969" applyNumberFormat="1" applyFont="1" applyFill="1" applyBorder="1" applyAlignment="1">
      <alignment horizontal="right" vertical="center" wrapText="1"/>
    </xf>
    <xf numFmtId="201" fontId="21" fillId="0" borderId="10" xfId="2051" applyNumberFormat="1" applyFont="1" applyFill="1" applyBorder="1" applyAlignment="1" applyProtection="1">
      <alignment horizontal="right" vertical="center" wrapText="1"/>
    </xf>
    <xf numFmtId="0" fontId="4" fillId="0" borderId="33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206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2" fillId="0" borderId="37" xfId="0" applyFont="1" applyBorder="1" applyAlignment="1">
      <alignment horizontal="center" vertical="center"/>
    </xf>
    <xf numFmtId="206" fontId="22" fillId="0" borderId="15" xfId="0" applyNumberFormat="1" applyFont="1" applyBorder="1" applyAlignment="1">
      <alignment horizontal="center" vertical="center" wrapText="1"/>
    </xf>
    <xf numFmtId="189" fontId="22" fillId="0" borderId="44" xfId="969" applyFont="1" applyFill="1" applyBorder="1" applyAlignment="1">
      <alignment horizontal="left" vertical="center"/>
    </xf>
    <xf numFmtId="203" fontId="22" fillId="0" borderId="0" xfId="0" applyNumberFormat="1" applyFont="1" applyAlignment="1">
      <alignment vertical="center" wrapText="1"/>
    </xf>
    <xf numFmtId="201" fontId="22" fillId="0" borderId="6" xfId="0" applyNumberFormat="1" applyFont="1" applyBorder="1" applyAlignment="1">
      <alignment vertical="center" wrapText="1"/>
    </xf>
    <xf numFmtId="189" fontId="21" fillId="0" borderId="4" xfId="969" applyFont="1" applyFill="1" applyBorder="1" applyAlignment="1">
      <alignment vertical="center"/>
    </xf>
    <xf numFmtId="203" fontId="21" fillId="0" borderId="0" xfId="0" applyNumberFormat="1" applyFont="1" applyAlignment="1">
      <alignment vertical="center" wrapText="1"/>
    </xf>
    <xf numFmtId="201" fontId="21" fillId="0" borderId="6" xfId="0" applyNumberFormat="1" applyFont="1" applyBorder="1" applyAlignment="1">
      <alignment vertical="center" wrapText="1"/>
    </xf>
    <xf numFmtId="189" fontId="21" fillId="0" borderId="4" xfId="969" applyFont="1" applyFill="1" applyBorder="1" applyAlignment="1">
      <alignment horizontal="left" vertical="center"/>
    </xf>
    <xf numFmtId="189" fontId="22" fillId="0" borderId="4" xfId="969" applyFont="1" applyFill="1" applyBorder="1" applyAlignment="1">
      <alignment horizontal="left" vertical="center"/>
    </xf>
    <xf numFmtId="205" fontId="21" fillId="0" borderId="8" xfId="969" applyNumberFormat="1" applyFont="1" applyFill="1" applyBorder="1" applyAlignment="1">
      <alignment horizontal="left" vertical="center"/>
    </xf>
    <xf numFmtId="0" fontId="21" fillId="0" borderId="4" xfId="0" applyFont="1" applyFill="1" applyBorder="1" applyAlignment="1">
      <alignment vertical="center" wrapText="1"/>
    </xf>
    <xf numFmtId="203" fontId="21" fillId="0" borderId="35" xfId="0" applyNumberFormat="1" applyFont="1" applyBorder="1" applyAlignment="1">
      <alignment vertical="center" wrapText="1"/>
    </xf>
    <xf numFmtId="201" fontId="21" fillId="0" borderId="0" xfId="0" applyNumberFormat="1" applyFont="1" applyFill="1" applyAlignment="1">
      <alignment horizontal="right" vertical="center" wrapText="1"/>
    </xf>
    <xf numFmtId="201" fontId="21" fillId="0" borderId="0" xfId="0" applyNumberFormat="1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left" vertical="center" wrapText="1"/>
    </xf>
    <xf numFmtId="201" fontId="21" fillId="0" borderId="1" xfId="0" applyNumberFormat="1" applyFont="1" applyFill="1" applyBorder="1" applyAlignment="1">
      <alignment horizontal="right" vertical="center" wrapText="1"/>
    </xf>
    <xf numFmtId="0" fontId="21" fillId="0" borderId="0" xfId="0" applyFont="1" applyAlignment="1">
      <alignment vertical="center"/>
    </xf>
    <xf numFmtId="0" fontId="22" fillId="0" borderId="37" xfId="2050" applyFont="1" applyBorder="1" applyAlignment="1">
      <alignment horizontal="center" vertical="center"/>
    </xf>
    <xf numFmtId="0" fontId="22" fillId="0" borderId="16" xfId="2050" applyFont="1" applyBorder="1" applyAlignment="1">
      <alignment horizontal="center" vertical="center"/>
    </xf>
    <xf numFmtId="0" fontId="22" fillId="0" borderId="0" xfId="0" applyFont="1" applyBorder="1" applyAlignment="1">
      <alignment vertical="center" wrapText="1"/>
    </xf>
    <xf numFmtId="203" fontId="22" fillId="0" borderId="20" xfId="0" applyNumberFormat="1" applyFont="1" applyBorder="1" applyAlignment="1">
      <alignment vertical="center" wrapText="1"/>
    </xf>
    <xf numFmtId="201" fontId="22" fillId="0" borderId="21" xfId="0" applyNumberFormat="1" applyFont="1" applyFill="1" applyBorder="1" applyAlignment="1">
      <alignment horizontal="right" vertical="center" wrapText="1"/>
    </xf>
    <xf numFmtId="0" fontId="21" fillId="0" borderId="0" xfId="0" applyFont="1" applyBorder="1" applyAlignment="1">
      <alignment vertical="center" wrapText="1"/>
    </xf>
    <xf numFmtId="203" fontId="21" fillId="0" borderId="20" xfId="0" applyNumberFormat="1" applyFont="1" applyBorder="1" applyAlignment="1">
      <alignment vertical="center" wrapText="1"/>
    </xf>
    <xf numFmtId="201" fontId="21" fillId="0" borderId="21" xfId="0" applyNumberFormat="1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horizontal="left" vertical="center"/>
    </xf>
    <xf numFmtId="189" fontId="21" fillId="0" borderId="0" xfId="969" applyFont="1" applyFill="1" applyBorder="1" applyAlignment="1">
      <alignment vertical="center"/>
    </xf>
    <xf numFmtId="189" fontId="21" fillId="0" borderId="0" xfId="969" applyFont="1" applyFill="1" applyBorder="1" applyAlignment="1">
      <alignment horizontal="left" vertical="center"/>
    </xf>
    <xf numFmtId="189" fontId="21" fillId="0" borderId="1" xfId="969" applyFont="1" applyFill="1" applyBorder="1" applyAlignment="1">
      <alignment horizontal="left" vertical="center"/>
    </xf>
    <xf numFmtId="203" fontId="21" fillId="0" borderId="22" xfId="0" applyNumberFormat="1" applyFont="1" applyBorder="1" applyAlignment="1">
      <alignment vertical="center" wrapText="1"/>
    </xf>
    <xf numFmtId="201" fontId="21" fillId="0" borderId="23" xfId="0" applyNumberFormat="1" applyFont="1" applyFill="1" applyBorder="1" applyAlignment="1">
      <alignment horizontal="right" vertical="center" wrapText="1"/>
    </xf>
    <xf numFmtId="0" fontId="13" fillId="0" borderId="0" xfId="2050" applyFont="1" applyAlignment="1">
      <alignment vertical="center"/>
    </xf>
    <xf numFmtId="0" fontId="0" fillId="0" borderId="0" xfId="2050" applyFont="1" applyAlignment="1">
      <alignment vertical="center"/>
    </xf>
    <xf numFmtId="0" fontId="0" fillId="0" borderId="0" xfId="2050" applyFont="1" applyAlignment="1">
      <alignment horizontal="right" vertical="center"/>
    </xf>
    <xf numFmtId="0" fontId="10" fillId="0" borderId="4" xfId="2050" applyFont="1" applyFill="1" applyBorder="1" applyAlignment="1">
      <alignment horizontal="center" vertical="center"/>
    </xf>
    <xf numFmtId="0" fontId="10" fillId="0" borderId="0" xfId="2050" applyFont="1" applyFill="1" applyBorder="1" applyAlignment="1">
      <alignment horizontal="center" vertical="center"/>
    </xf>
    <xf numFmtId="0" fontId="22" fillId="0" borderId="37" xfId="2050" applyFont="1" applyFill="1" applyBorder="1" applyAlignment="1">
      <alignment horizontal="center" vertical="center"/>
    </xf>
    <xf numFmtId="0" fontId="22" fillId="0" borderId="15" xfId="205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21" fillId="0" borderId="0" xfId="2050" applyFont="1" applyFill="1" applyBorder="1" applyAlignment="1">
      <alignment horizontal="left" vertical="center" wrapText="1"/>
    </xf>
    <xf numFmtId="0" fontId="21" fillId="0" borderId="27" xfId="2050" applyFont="1" applyFill="1" applyBorder="1" applyAlignment="1">
      <alignment horizontal="center" vertical="center" wrapText="1"/>
    </xf>
    <xf numFmtId="206" fontId="21" fillId="0" borderId="27" xfId="2050" applyNumberFormat="1" applyFont="1" applyFill="1" applyBorder="1" applyAlignment="1">
      <alignment horizontal="right" vertical="center" wrapText="1"/>
    </xf>
    <xf numFmtId="201" fontId="21" fillId="0" borderId="43" xfId="0" applyNumberFormat="1" applyFont="1" applyFill="1" applyBorder="1" applyAlignment="1">
      <alignment horizontal="right" vertical="center" wrapText="1"/>
    </xf>
    <xf numFmtId="202" fontId="13" fillId="0" borderId="0" xfId="2050" applyNumberFormat="1" applyFont="1" applyAlignment="1">
      <alignment vertical="center"/>
    </xf>
    <xf numFmtId="205" fontId="13" fillId="0" borderId="0" xfId="2050" applyNumberFormat="1" applyFont="1" applyAlignment="1">
      <alignment vertical="center"/>
    </xf>
    <xf numFmtId="0" fontId="21" fillId="0" borderId="5" xfId="2050" applyFont="1" applyFill="1" applyBorder="1" applyAlignment="1">
      <alignment horizontal="center" vertical="center" wrapText="1"/>
    </xf>
    <xf numFmtId="206" fontId="21" fillId="0" borderId="5" xfId="2050" applyNumberFormat="1" applyFont="1" applyFill="1" applyBorder="1" applyAlignment="1">
      <alignment horizontal="right" vertical="center" wrapText="1"/>
    </xf>
    <xf numFmtId="201" fontId="21" fillId="0" borderId="6" xfId="0" applyNumberFormat="1" applyFont="1" applyFill="1" applyBorder="1" applyAlignment="1">
      <alignment horizontal="right" vertical="center" wrapText="1"/>
    </xf>
    <xf numFmtId="206" fontId="13" fillId="0" borderId="0" xfId="2050" applyNumberFormat="1" applyFont="1" applyAlignment="1">
      <alignment vertical="center"/>
    </xf>
    <xf numFmtId="205" fontId="0" fillId="0" borderId="0" xfId="2050" applyNumberFormat="1" applyFont="1" applyAlignment="1">
      <alignment vertical="center"/>
    </xf>
    <xf numFmtId="203" fontId="0" fillId="0" borderId="0" xfId="2050" applyNumberFormat="1" applyFont="1" applyAlignment="1">
      <alignment vertical="center"/>
    </xf>
    <xf numFmtId="0" fontId="21" fillId="0" borderId="0" xfId="2050" applyFont="1" applyFill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208" fontId="13" fillId="0" borderId="0" xfId="3" applyNumberFormat="1" applyFont="1" applyFill="1" applyBorder="1" applyAlignment="1" applyProtection="1">
      <alignment vertical="center"/>
    </xf>
    <xf numFmtId="0" fontId="21" fillId="0" borderId="0" xfId="2050" applyFont="1" applyFill="1" applyBorder="1" applyAlignment="1">
      <alignment vertical="center"/>
    </xf>
    <xf numFmtId="0" fontId="21" fillId="0" borderId="5" xfId="205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right" vertical="center" wrapText="1"/>
    </xf>
    <xf numFmtId="202" fontId="0" fillId="0" borderId="0" xfId="2050" applyNumberFormat="1" applyFont="1" applyAlignment="1">
      <alignment vertical="center"/>
    </xf>
    <xf numFmtId="203" fontId="21" fillId="0" borderId="5" xfId="0" applyNumberFormat="1" applyFont="1" applyFill="1" applyBorder="1" applyAlignment="1">
      <alignment horizontal="right" vertical="center" wrapText="1"/>
    </xf>
    <xf numFmtId="0" fontId="21" fillId="0" borderId="8" xfId="2050" applyFont="1" applyFill="1" applyBorder="1" applyAlignment="1">
      <alignment vertical="center"/>
    </xf>
    <xf numFmtId="0" fontId="21" fillId="0" borderId="9" xfId="2050" applyFont="1" applyFill="1" applyBorder="1" applyAlignment="1">
      <alignment horizontal="center" vertical="center" wrapText="1"/>
    </xf>
    <xf numFmtId="206" fontId="21" fillId="0" borderId="9" xfId="2050" applyNumberFormat="1" applyFont="1" applyFill="1" applyBorder="1" applyAlignment="1">
      <alignment horizontal="right" vertical="center" wrapText="1"/>
    </xf>
    <xf numFmtId="201" fontId="21" fillId="0" borderId="10" xfId="0" applyNumberFormat="1" applyFont="1" applyFill="1" applyBorder="1" applyAlignment="1">
      <alignment horizontal="right" vertical="center" wrapText="1"/>
    </xf>
    <xf numFmtId="0" fontId="10" fillId="0" borderId="0" xfId="2050" applyFont="1" applyAlignment="1">
      <alignment horizontal="center" vertical="center"/>
    </xf>
    <xf numFmtId="0" fontId="10" fillId="0" borderId="0" xfId="205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202" fontId="21" fillId="0" borderId="27" xfId="0" applyNumberFormat="1" applyFont="1" applyBorder="1" applyAlignment="1">
      <alignment vertical="center"/>
    </xf>
    <xf numFmtId="201" fontId="21" fillId="0" borderId="0" xfId="0" applyNumberFormat="1" applyFont="1" applyBorder="1" applyAlignment="1">
      <alignment vertical="center"/>
    </xf>
    <xf numFmtId="0" fontId="21" fillId="0" borderId="0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5" xfId="1" applyNumberFormat="1" applyFont="1" applyBorder="1" applyAlignment="1">
      <alignment vertical="center" wrapText="1"/>
    </xf>
    <xf numFmtId="201" fontId="21" fillId="0" borderId="0" xfId="0" applyNumberFormat="1" applyFont="1" applyBorder="1" applyAlignment="1">
      <alignment vertical="center" wrapText="1"/>
    </xf>
    <xf numFmtId="0" fontId="21" fillId="0" borderId="6" xfId="0" applyFont="1" applyFill="1" applyBorder="1" applyAlignment="1">
      <alignment horizontal="center" vertical="center" wrapText="1"/>
    </xf>
    <xf numFmtId="43" fontId="21" fillId="0" borderId="5" xfId="1" applyFont="1" applyBorder="1" applyAlignment="1">
      <alignment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center" vertical="center"/>
    </xf>
    <xf numFmtId="202" fontId="21" fillId="0" borderId="5" xfId="0" applyNumberFormat="1" applyFont="1" applyBorder="1" applyAlignment="1">
      <alignment vertical="center" wrapText="1"/>
    </xf>
    <xf numFmtId="0" fontId="24" fillId="0" borderId="0" xfId="0" applyFont="1" applyBorder="1" applyAlignment="1">
      <alignment horizontal="right" vertical="center" wrapText="1"/>
    </xf>
    <xf numFmtId="2" fontId="21" fillId="0" borderId="5" xfId="0" applyNumberFormat="1" applyFont="1" applyBorder="1" applyAlignment="1">
      <alignment vertical="center" wrapText="1"/>
    </xf>
    <xf numFmtId="199" fontId="21" fillId="0" borderId="6" xfId="0" applyNumberFormat="1" applyFont="1" applyBorder="1" applyAlignment="1">
      <alignment vertical="center" wrapText="1"/>
    </xf>
    <xf numFmtId="205" fontId="24" fillId="0" borderId="0" xfId="0" applyNumberFormat="1" applyFont="1" applyBorder="1" applyAlignment="1">
      <alignment horizontal="right" vertical="center" wrapText="1"/>
    </xf>
    <xf numFmtId="0" fontId="21" fillId="0" borderId="5" xfId="0" applyFont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205" fontId="21" fillId="0" borderId="5" xfId="0" applyNumberFormat="1" applyFont="1" applyFill="1" applyBorder="1" applyAlignment="1">
      <alignment vertical="center" wrapText="1"/>
    </xf>
    <xf numFmtId="201" fontId="21" fillId="0" borderId="0" xfId="0" applyNumberFormat="1" applyFont="1" applyFill="1" applyBorder="1" applyAlignment="1">
      <alignment vertical="center" wrapText="1"/>
    </xf>
    <xf numFmtId="0" fontId="21" fillId="0" borderId="10" xfId="0" applyFont="1" applyBorder="1" applyAlignment="1">
      <alignment horizontal="center" vertical="center" wrapText="1"/>
    </xf>
    <xf numFmtId="43" fontId="21" fillId="0" borderId="9" xfId="1" applyFont="1" applyBorder="1" applyAlignment="1">
      <alignment vertical="center" wrapText="1"/>
    </xf>
    <xf numFmtId="201" fontId="21" fillId="0" borderId="1" xfId="0" applyNumberFormat="1" applyFont="1" applyBorder="1" applyAlignment="1">
      <alignment vertical="center" wrapText="1"/>
    </xf>
    <xf numFmtId="0" fontId="10" fillId="0" borderId="4" xfId="2050" applyFont="1" applyBorder="1" applyAlignment="1">
      <alignment horizontal="center" vertical="center"/>
    </xf>
    <xf numFmtId="0" fontId="12" fillId="0" borderId="1" xfId="2050" applyFont="1" applyBorder="1" applyAlignment="1">
      <alignment horizontal="center" vertical="center"/>
    </xf>
    <xf numFmtId="0" fontId="12" fillId="0" borderId="14" xfId="2050" applyFont="1" applyBorder="1" applyAlignment="1">
      <alignment horizontal="center" vertical="center"/>
    </xf>
    <xf numFmtId="0" fontId="12" fillId="0" borderId="37" xfId="2050" applyFont="1" applyBorder="1" applyAlignment="1">
      <alignment horizontal="center" vertical="center"/>
    </xf>
    <xf numFmtId="0" fontId="11" fillId="0" borderId="0" xfId="2050" applyFont="1" applyBorder="1" applyAlignment="1">
      <alignment horizontal="left" vertical="center" wrapText="1"/>
    </xf>
    <xf numFmtId="203" fontId="11" fillId="0" borderId="6" xfId="0" applyNumberFormat="1" applyFont="1" applyFill="1" applyBorder="1" applyAlignment="1">
      <alignment horizontal="right" vertical="center" wrapText="1"/>
    </xf>
    <xf numFmtId="0" fontId="11" fillId="0" borderId="0" xfId="2050" applyFont="1" applyBorder="1" applyAlignment="1">
      <alignment vertical="center" wrapText="1"/>
    </xf>
    <xf numFmtId="0" fontId="11" fillId="0" borderId="0" xfId="2050" applyFont="1" applyBorder="1" applyAlignment="1">
      <alignment vertical="center"/>
    </xf>
    <xf numFmtId="203" fontId="11" fillId="0" borderId="13" xfId="0" applyNumberFormat="1" applyFont="1" applyFill="1" applyBorder="1" applyAlignment="1">
      <alignment horizontal="right" vertical="center" wrapText="1"/>
    </xf>
    <xf numFmtId="0" fontId="18" fillId="0" borderId="33" xfId="2050" applyFont="1" applyBorder="1" applyAlignment="1">
      <alignment horizontal="left" vertical="center" wrapText="1"/>
    </xf>
    <xf numFmtId="0" fontId="18" fillId="0" borderId="0" xfId="2050" applyFont="1" applyBorder="1" applyAlignment="1">
      <alignment horizontal="left" vertical="center" wrapText="1"/>
    </xf>
    <xf numFmtId="0" fontId="0" fillId="0" borderId="0" xfId="2050" applyFont="1">
      <alignment vertical="center"/>
    </xf>
    <xf numFmtId="0" fontId="10" fillId="0" borderId="6" xfId="2050" applyFont="1" applyBorder="1" applyAlignment="1">
      <alignment horizontal="center" vertical="center"/>
    </xf>
    <xf numFmtId="0" fontId="22" fillId="0" borderId="14" xfId="2050" applyFont="1" applyBorder="1" applyAlignment="1">
      <alignment horizontal="center" vertical="center"/>
    </xf>
    <xf numFmtId="57" fontId="22" fillId="0" borderId="14" xfId="2050" applyNumberFormat="1" applyFont="1" applyBorder="1" applyAlignment="1">
      <alignment horizontal="center" vertical="center"/>
    </xf>
    <xf numFmtId="49" fontId="22" fillId="0" borderId="16" xfId="2055" applyNumberFormat="1" applyFont="1" applyBorder="1" applyAlignment="1">
      <alignment horizontal="center" vertical="center" wrapText="1"/>
    </xf>
    <xf numFmtId="203" fontId="0" fillId="0" borderId="0" xfId="2050" applyNumberFormat="1" applyFont="1">
      <alignment vertical="center"/>
    </xf>
    <xf numFmtId="0" fontId="21" fillId="0" borderId="4" xfId="2050" applyFont="1" applyFill="1" applyBorder="1" applyAlignment="1">
      <alignment vertical="center" wrapText="1"/>
    </xf>
    <xf numFmtId="0" fontId="21" fillId="0" borderId="4" xfId="2050" applyFont="1" applyBorder="1" applyAlignment="1">
      <alignment horizontal="center" vertical="center" wrapText="1"/>
    </xf>
    <xf numFmtId="203" fontId="21" fillId="0" borderId="35" xfId="2050" applyNumberFormat="1" applyFont="1" applyBorder="1" applyAlignment="1">
      <alignment vertical="center" wrapText="1"/>
    </xf>
    <xf numFmtId="201" fontId="21" fillId="0" borderId="20" xfId="2050" applyNumberFormat="1" applyFont="1" applyFill="1" applyBorder="1" applyAlignment="1">
      <alignment vertical="center" wrapText="1"/>
    </xf>
    <xf numFmtId="203" fontId="21" fillId="0" borderId="20" xfId="2050" applyNumberFormat="1" applyFont="1" applyBorder="1" applyAlignment="1">
      <alignment vertical="center" wrapText="1"/>
    </xf>
    <xf numFmtId="201" fontId="21" fillId="0" borderId="21" xfId="2051" applyNumberFormat="1" applyFont="1" applyFill="1" applyBorder="1" applyAlignment="1" applyProtection="1">
      <alignment horizontal="right" vertical="center" wrapText="1"/>
    </xf>
    <xf numFmtId="0" fontId="21" fillId="0" borderId="4" xfId="2050" applyFont="1" applyBorder="1" applyAlignment="1">
      <alignment vertical="center" wrapText="1"/>
    </xf>
    <xf numFmtId="0" fontId="21" fillId="0" borderId="0" xfId="2050" applyFont="1" applyBorder="1" applyAlignment="1">
      <alignment vertical="center" wrapText="1"/>
    </xf>
    <xf numFmtId="0" fontId="21" fillId="0" borderId="5" xfId="2050" applyFont="1" applyBorder="1" applyAlignment="1">
      <alignment horizontal="center" vertical="center" wrapText="1"/>
    </xf>
    <xf numFmtId="0" fontId="21" fillId="0" borderId="4" xfId="2050" applyFont="1" applyBorder="1" applyAlignment="1">
      <alignment horizontal="left" vertical="center" wrapText="1"/>
    </xf>
    <xf numFmtId="205" fontId="21" fillId="0" borderId="35" xfId="2050" applyNumberFormat="1" applyFont="1" applyBorder="1" applyAlignment="1">
      <alignment vertical="center" wrapText="1"/>
    </xf>
    <xf numFmtId="205" fontId="21" fillId="0" borderId="20" xfId="2050" applyNumberFormat="1" applyFont="1" applyBorder="1" applyAlignment="1">
      <alignment vertical="center" wrapText="1"/>
    </xf>
    <xf numFmtId="203" fontId="0" fillId="0" borderId="0" xfId="2050" applyNumberFormat="1" applyFont="1" applyAlignment="1">
      <alignment horizontal="left" vertical="center"/>
    </xf>
    <xf numFmtId="0" fontId="21" fillId="0" borderId="8" xfId="2050" applyFont="1" applyBorder="1" applyAlignment="1">
      <alignment vertical="center" wrapText="1"/>
    </xf>
    <xf numFmtId="0" fontId="21" fillId="0" borderId="8" xfId="2050" applyFont="1" applyBorder="1" applyAlignment="1">
      <alignment horizontal="center" vertical="center" wrapText="1"/>
    </xf>
    <xf numFmtId="203" fontId="21" fillId="0" borderId="45" xfId="2050" applyNumberFormat="1" applyFont="1" applyBorder="1" applyAlignment="1">
      <alignment vertical="center" wrapText="1"/>
    </xf>
    <xf numFmtId="201" fontId="21" fillId="0" borderId="46" xfId="2050" applyNumberFormat="1" applyFont="1" applyFill="1" applyBorder="1" applyAlignment="1">
      <alignment vertical="center" wrapText="1"/>
    </xf>
    <xf numFmtId="203" fontId="21" fillId="0" borderId="46" xfId="2050" applyNumberFormat="1" applyFont="1" applyBorder="1" applyAlignment="1">
      <alignment vertical="center" wrapText="1"/>
    </xf>
    <xf numFmtId="201" fontId="21" fillId="0" borderId="38" xfId="2051" applyNumberFormat="1" applyFont="1" applyFill="1" applyBorder="1" applyAlignment="1" applyProtection="1">
      <alignment horizontal="right" vertical="center" wrapText="1"/>
    </xf>
    <xf numFmtId="0" fontId="0" fillId="0" borderId="0" xfId="2050" applyAlignment="1">
      <alignment vertical="center"/>
    </xf>
    <xf numFmtId="203" fontId="0" fillId="0" borderId="0" xfId="2050" applyNumberFormat="1" applyAlignment="1">
      <alignment vertical="center"/>
    </xf>
    <xf numFmtId="0" fontId="21" fillId="0" borderId="4" xfId="2050" applyFont="1" applyFill="1" applyBorder="1" applyAlignment="1">
      <alignment horizontal="center" vertical="center" wrapText="1"/>
    </xf>
    <xf numFmtId="201" fontId="21" fillId="0" borderId="20" xfId="2050" applyNumberFormat="1" applyFont="1" applyBorder="1" applyAlignment="1">
      <alignment vertical="center" wrapText="1"/>
    </xf>
    <xf numFmtId="201" fontId="21" fillId="0" borderId="20" xfId="2050" applyNumberFormat="1" applyFont="1" applyBorder="1" applyAlignment="1">
      <alignment horizontal="right" vertical="center" wrapText="1"/>
    </xf>
    <xf numFmtId="203" fontId="0" fillId="0" borderId="0" xfId="2050" applyNumberFormat="1" applyAlignment="1">
      <alignment horizontal="left" vertical="center"/>
    </xf>
    <xf numFmtId="0" fontId="21" fillId="0" borderId="47" xfId="2050" applyFont="1" applyFill="1" applyBorder="1" applyAlignment="1">
      <alignment horizontal="center" vertical="center" wrapText="1"/>
    </xf>
    <xf numFmtId="201" fontId="21" fillId="0" borderId="46" xfId="2050" applyNumberFormat="1" applyFont="1" applyBorder="1" applyAlignment="1">
      <alignment vertical="center" wrapText="1"/>
    </xf>
    <xf numFmtId="203" fontId="21" fillId="0" borderId="5" xfId="2050" applyNumberFormat="1" applyFont="1" applyBorder="1" applyAlignment="1">
      <alignment vertical="center" wrapText="1"/>
    </xf>
    <xf numFmtId="201" fontId="21" fillId="0" borderId="5" xfId="2050" applyNumberFormat="1" applyFont="1" applyFill="1" applyBorder="1" applyAlignment="1">
      <alignment vertical="center" wrapText="1"/>
    </xf>
    <xf numFmtId="201" fontId="21" fillId="0" borderId="5" xfId="2050" applyNumberFormat="1" applyFont="1" applyFill="1" applyBorder="1" applyAlignment="1">
      <alignment horizontal="right" vertical="center" wrapText="1"/>
    </xf>
    <xf numFmtId="205" fontId="21" fillId="0" borderId="5" xfId="2050" applyNumberFormat="1" applyFont="1" applyFill="1" applyBorder="1" applyAlignment="1">
      <alignment horizontal="right" vertical="center" wrapText="1"/>
    </xf>
    <xf numFmtId="0" fontId="21" fillId="0" borderId="0" xfId="2050" applyFont="1" applyFill="1">
      <alignment vertical="center"/>
    </xf>
    <xf numFmtId="0" fontId="21" fillId="0" borderId="5" xfId="2050" applyFont="1" applyFill="1" applyBorder="1" applyAlignment="1">
      <alignment vertical="center" wrapText="1"/>
    </xf>
    <xf numFmtId="201" fontId="21" fillId="0" borderId="6" xfId="2050" applyNumberFormat="1" applyFont="1" applyFill="1" applyBorder="1" applyAlignment="1">
      <alignment vertical="center" wrapText="1"/>
    </xf>
    <xf numFmtId="203" fontId="21" fillId="0" borderId="0" xfId="2050" applyNumberFormat="1" applyFont="1" applyAlignment="1">
      <alignment vertical="center" wrapText="1"/>
    </xf>
    <xf numFmtId="0" fontId="21" fillId="0" borderId="8" xfId="2050" applyFont="1" applyFill="1" applyBorder="1" applyAlignment="1">
      <alignment horizontal="left" vertical="center" wrapText="1"/>
    </xf>
    <xf numFmtId="0" fontId="21" fillId="0" borderId="8" xfId="2050" applyFont="1" applyFill="1" applyBorder="1" applyAlignment="1">
      <alignment horizontal="center" vertical="center" wrapText="1"/>
    </xf>
    <xf numFmtId="205" fontId="21" fillId="0" borderId="9" xfId="2050" applyNumberFormat="1" applyFont="1" applyFill="1" applyBorder="1" applyAlignment="1">
      <alignment horizontal="right" vertical="center" wrapText="1"/>
    </xf>
    <xf numFmtId="201" fontId="21" fillId="0" borderId="9" xfId="2050" applyNumberFormat="1" applyFont="1" applyFill="1" applyBorder="1" applyAlignment="1">
      <alignment horizontal="right" vertical="center" wrapText="1"/>
    </xf>
    <xf numFmtId="201" fontId="21" fillId="0" borderId="10" xfId="2050" applyNumberFormat="1" applyFont="1" applyFill="1" applyBorder="1" applyAlignment="1">
      <alignment vertical="center" wrapText="1"/>
    </xf>
    <xf numFmtId="0" fontId="22" fillId="0" borderId="1" xfId="2050" applyFont="1" applyBorder="1" applyAlignment="1">
      <alignment horizontal="center" vertical="center"/>
    </xf>
    <xf numFmtId="0" fontId="21" fillId="0" borderId="1" xfId="2050" applyFont="1" applyBorder="1" applyAlignment="1">
      <alignment horizontal="right" vertical="center"/>
    </xf>
    <xf numFmtId="0" fontId="21" fillId="0" borderId="1" xfId="0" applyFont="1" applyBorder="1" applyAlignment="1">
      <alignment horizontal="right" vertical="center"/>
    </xf>
    <xf numFmtId="0" fontId="22" fillId="0" borderId="2" xfId="2050" applyFont="1" applyBorder="1" applyAlignment="1">
      <alignment horizontal="center" vertical="center"/>
    </xf>
    <xf numFmtId="0" fontId="21" fillId="0" borderId="44" xfId="2050" applyFont="1" applyBorder="1" applyAlignment="1">
      <alignment vertical="center" wrapText="1"/>
    </xf>
    <xf numFmtId="203" fontId="21" fillId="0" borderId="21" xfId="2050" applyNumberFormat="1" applyFont="1" applyBorder="1" applyAlignment="1">
      <alignment vertical="center" wrapText="1"/>
    </xf>
    <xf numFmtId="205" fontId="0" fillId="0" borderId="0" xfId="2050" applyNumberFormat="1" applyFont="1">
      <alignment vertical="center"/>
    </xf>
    <xf numFmtId="201" fontId="21" fillId="0" borderId="20" xfId="2050" applyNumberFormat="1" applyFont="1" applyFill="1" applyBorder="1" applyAlignment="1">
      <alignment horizontal="right" vertical="center" wrapText="1"/>
    </xf>
    <xf numFmtId="203" fontId="21" fillId="0" borderId="38" xfId="2050" applyNumberFormat="1" applyFont="1" applyBorder="1" applyAlignment="1">
      <alignment vertical="center" wrapText="1"/>
    </xf>
    <xf numFmtId="0" fontId="22" fillId="0" borderId="1" xfId="2050" applyFont="1" applyFill="1" applyBorder="1" applyAlignment="1">
      <alignment horizontal="center" vertical="center"/>
    </xf>
    <xf numFmtId="0" fontId="21" fillId="0" borderId="1" xfId="2050" applyFont="1" applyFill="1" applyBorder="1" applyAlignment="1">
      <alignment horizontal="right" vertical="center"/>
    </xf>
    <xf numFmtId="0" fontId="21" fillId="0" borderId="1" xfId="0" applyFont="1" applyFill="1" applyBorder="1" applyAlignment="1">
      <alignment horizontal="right" vertical="center"/>
    </xf>
    <xf numFmtId="0" fontId="22" fillId="0" borderId="2" xfId="2050" applyFont="1" applyFill="1" applyBorder="1" applyAlignment="1">
      <alignment horizontal="center" vertical="center"/>
    </xf>
    <xf numFmtId="57" fontId="22" fillId="0" borderId="39" xfId="2050" applyNumberFormat="1" applyFont="1" applyFill="1" applyBorder="1" applyAlignment="1">
      <alignment horizontal="center" vertical="center"/>
    </xf>
    <xf numFmtId="49" fontId="22" fillId="0" borderId="41" xfId="2055" applyNumberFormat="1" applyFont="1" applyFill="1" applyBorder="1" applyAlignment="1">
      <alignment horizontal="center" vertical="center" wrapText="1"/>
    </xf>
    <xf numFmtId="0" fontId="22" fillId="0" borderId="40" xfId="0" applyFont="1" applyFill="1" applyBorder="1" applyAlignment="1">
      <alignment horizontal="center" vertical="center"/>
    </xf>
    <xf numFmtId="203" fontId="0" fillId="0" borderId="0" xfId="2050" applyNumberFormat="1" applyFont="1" applyFill="1" applyAlignment="1">
      <alignment vertical="center"/>
    </xf>
    <xf numFmtId="0" fontId="21" fillId="0" borderId="44" xfId="2050" applyFont="1" applyFill="1" applyBorder="1" applyAlignment="1">
      <alignment vertical="center" wrapText="1"/>
    </xf>
    <xf numFmtId="203" fontId="21" fillId="0" borderId="48" xfId="0" applyNumberFormat="1" applyFont="1" applyBorder="1" applyAlignment="1">
      <alignment vertical="center" wrapText="1"/>
    </xf>
    <xf numFmtId="201" fontId="21" fillId="0" borderId="49" xfId="2050" applyNumberFormat="1" applyFont="1" applyFill="1" applyBorder="1" applyAlignment="1">
      <alignment vertical="center" wrapText="1"/>
    </xf>
    <xf numFmtId="203" fontId="21" fillId="0" borderId="49" xfId="0" applyNumberFormat="1" applyFont="1" applyBorder="1" applyAlignment="1">
      <alignment vertical="center" wrapText="1"/>
    </xf>
    <xf numFmtId="201" fontId="21" fillId="0" borderId="50" xfId="2051" applyNumberFormat="1" applyFont="1" applyFill="1" applyBorder="1" applyAlignment="1" applyProtection="1">
      <alignment horizontal="right" vertical="center" wrapText="1"/>
    </xf>
    <xf numFmtId="0" fontId="21" fillId="0" borderId="4" xfId="205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/>
    </xf>
    <xf numFmtId="203" fontId="0" fillId="0" borderId="0" xfId="2050" applyNumberFormat="1" applyFont="1" applyFill="1" applyAlignment="1">
      <alignment horizontal="left" vertical="center"/>
    </xf>
    <xf numFmtId="0" fontId="21" fillId="0" borderId="8" xfId="2050" applyFont="1" applyFill="1" applyBorder="1" applyAlignment="1">
      <alignment vertical="center" wrapText="1"/>
    </xf>
    <xf numFmtId="203" fontId="21" fillId="0" borderId="51" xfId="0" applyNumberFormat="1" applyFont="1" applyBorder="1" applyAlignment="1">
      <alignment vertical="center" wrapText="1"/>
    </xf>
    <xf numFmtId="201" fontId="21" fillId="0" borderId="22" xfId="2050" applyNumberFormat="1" applyFont="1" applyFill="1" applyBorder="1" applyAlignment="1">
      <alignment vertical="center" wrapText="1"/>
    </xf>
    <xf numFmtId="201" fontId="21" fillId="0" borderId="23" xfId="2051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205" fontId="22" fillId="0" borderId="15" xfId="0" applyNumberFormat="1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vertical="center"/>
    </xf>
    <xf numFmtId="0" fontId="21" fillId="0" borderId="5" xfId="0" applyFont="1" applyFill="1" applyBorder="1" applyAlignment="1">
      <alignment horizontal="center" vertical="center"/>
    </xf>
    <xf numFmtId="205" fontId="21" fillId="0" borderId="5" xfId="0" applyNumberFormat="1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vertical="center"/>
    </xf>
    <xf numFmtId="201" fontId="21" fillId="0" borderId="5" xfId="0" applyNumberFormat="1" applyFont="1" applyFill="1" applyBorder="1" applyAlignment="1">
      <alignment horizontal="right" vertical="center" wrapText="1"/>
    </xf>
    <xf numFmtId="0" fontId="21" fillId="0" borderId="8" xfId="0" applyFont="1" applyFill="1" applyBorder="1" applyAlignment="1">
      <alignment vertical="center"/>
    </xf>
    <xf numFmtId="0" fontId="21" fillId="0" borderId="9" xfId="0" applyFont="1" applyFill="1" applyBorder="1" applyAlignment="1">
      <alignment horizontal="center" vertical="center"/>
    </xf>
    <xf numFmtId="201" fontId="21" fillId="0" borderId="9" xfId="0" applyNumberFormat="1" applyFont="1" applyFill="1" applyBorder="1" applyAlignment="1">
      <alignment horizontal="right" vertical="center" wrapText="1"/>
    </xf>
    <xf numFmtId="0" fontId="10" fillId="0" borderId="6" xfId="2050" applyFont="1" applyFill="1" applyBorder="1" applyAlignment="1">
      <alignment horizontal="center" vertical="center"/>
    </xf>
    <xf numFmtId="57" fontId="22" fillId="0" borderId="14" xfId="2050" applyNumberFormat="1" applyFont="1" applyFill="1" applyBorder="1" applyAlignment="1">
      <alignment horizontal="center" vertical="center"/>
    </xf>
    <xf numFmtId="49" fontId="22" fillId="0" borderId="16" xfId="2055" applyNumberFormat="1" applyFont="1" applyFill="1" applyBorder="1" applyAlignment="1">
      <alignment horizontal="center" vertical="center" wrapText="1"/>
    </xf>
    <xf numFmtId="203" fontId="21" fillId="0" borderId="27" xfId="0" applyNumberFormat="1" applyFont="1" applyBorder="1" applyAlignment="1">
      <alignment vertical="center" wrapText="1"/>
    </xf>
    <xf numFmtId="201" fontId="21" fillId="0" borderId="27" xfId="2050" applyNumberFormat="1" applyFont="1" applyFill="1" applyBorder="1" applyAlignment="1">
      <alignment vertical="center" wrapText="1"/>
    </xf>
    <xf numFmtId="205" fontId="0" fillId="0" borderId="0" xfId="2050" applyNumberFormat="1" applyFont="1" applyFill="1" applyAlignment="1">
      <alignment vertical="center"/>
    </xf>
    <xf numFmtId="203" fontId="21" fillId="0" borderId="5" xfId="0" applyNumberFormat="1" applyFont="1" applyBorder="1" applyAlignment="1">
      <alignment vertical="center" wrapText="1"/>
    </xf>
    <xf numFmtId="0" fontId="21" fillId="0" borderId="1" xfId="2050" applyFont="1" applyFill="1" applyBorder="1" applyAlignment="1">
      <alignment vertical="center" wrapText="1"/>
    </xf>
    <xf numFmtId="203" fontId="21" fillId="0" borderId="9" xfId="0" applyNumberFormat="1" applyFont="1" applyBorder="1" applyAlignment="1">
      <alignment vertical="center" wrapText="1"/>
    </xf>
    <xf numFmtId="201" fontId="21" fillId="0" borderId="9" xfId="2050" applyNumberFormat="1" applyFont="1" applyFill="1" applyBorder="1" applyAlignment="1">
      <alignment vertical="center" wrapText="1"/>
    </xf>
    <xf numFmtId="0" fontId="11" fillId="0" borderId="1" xfId="2050" applyFont="1" applyBorder="1" applyAlignment="1">
      <alignment horizontal="right" vertical="center"/>
    </xf>
    <xf numFmtId="57" fontId="12" fillId="0" borderId="14" xfId="2050" applyNumberFormat="1" applyFont="1" applyBorder="1" applyAlignment="1">
      <alignment horizontal="center" vertical="center"/>
    </xf>
    <xf numFmtId="49" fontId="12" fillId="0" borderId="16" xfId="2055" applyNumberFormat="1" applyFont="1" applyBorder="1" applyAlignment="1">
      <alignment horizontal="center" vertical="center" wrapText="1"/>
    </xf>
    <xf numFmtId="203" fontId="11" fillId="0" borderId="20" xfId="2050" applyNumberFormat="1" applyFont="1" applyBorder="1" applyAlignment="1">
      <alignment vertical="center" wrapText="1"/>
    </xf>
    <xf numFmtId="201" fontId="11" fillId="0" borderId="20" xfId="2050" applyNumberFormat="1" applyFont="1" applyFill="1" applyBorder="1" applyAlignment="1">
      <alignment vertical="center" wrapText="1"/>
    </xf>
    <xf numFmtId="203" fontId="11" fillId="0" borderId="21" xfId="2050" applyNumberFormat="1" applyFont="1" applyBorder="1" applyAlignment="1">
      <alignment vertical="center" wrapText="1"/>
    </xf>
    <xf numFmtId="201" fontId="11" fillId="0" borderId="6" xfId="2051" applyNumberFormat="1" applyFont="1" applyFill="1" applyBorder="1" applyAlignment="1" applyProtection="1">
      <alignment horizontal="right" vertical="center" wrapText="1"/>
    </xf>
    <xf numFmtId="201" fontId="11" fillId="0" borderId="20" xfId="2050" applyNumberFormat="1" applyFont="1" applyFill="1" applyBorder="1" applyAlignment="1">
      <alignment horizontal="right" vertical="center" wrapText="1"/>
    </xf>
    <xf numFmtId="0" fontId="11" fillId="0" borderId="3" xfId="2050" applyFont="1" applyBorder="1" applyAlignment="1">
      <alignment vertical="center" wrapText="1"/>
    </xf>
    <xf numFmtId="203" fontId="11" fillId="0" borderId="52" xfId="2050" applyNumberFormat="1" applyFont="1" applyBorder="1" applyAlignment="1">
      <alignment vertical="center" wrapText="1"/>
    </xf>
    <xf numFmtId="201" fontId="11" fillId="0" borderId="52" xfId="2050" applyNumberFormat="1" applyFont="1" applyFill="1" applyBorder="1" applyAlignment="1">
      <alignment vertical="center" wrapText="1"/>
    </xf>
    <xf numFmtId="203" fontId="11" fillId="0" borderId="53" xfId="2050" applyNumberFormat="1" applyFont="1" applyBorder="1" applyAlignment="1">
      <alignment vertical="center" wrapText="1"/>
    </xf>
    <xf numFmtId="201" fontId="11" fillId="0" borderId="13" xfId="2051" applyNumberFormat="1" applyFont="1" applyFill="1" applyBorder="1" applyAlignment="1" applyProtection="1">
      <alignment horizontal="right" vertical="center" wrapText="1"/>
    </xf>
    <xf numFmtId="0" fontId="11" fillId="0" borderId="17" xfId="2050" applyFont="1" applyBorder="1" applyAlignment="1">
      <alignment vertical="center" wrapText="1"/>
    </xf>
    <xf numFmtId="203" fontId="11" fillId="0" borderId="54" xfId="2050" applyNumberFormat="1" applyFont="1" applyBorder="1" applyAlignment="1">
      <alignment vertical="center" wrapText="1"/>
    </xf>
    <xf numFmtId="201" fontId="11" fillId="0" borderId="19" xfId="2051" applyNumberFormat="1" applyFont="1" applyFill="1" applyBorder="1" applyAlignment="1" applyProtection="1">
      <alignment horizontal="right" vertical="center" wrapText="1"/>
    </xf>
    <xf numFmtId="0" fontId="11" fillId="0" borderId="2" xfId="2050" applyFont="1" applyBorder="1" applyAlignment="1">
      <alignment horizontal="center" vertical="center"/>
    </xf>
    <xf numFmtId="0" fontId="11" fillId="0" borderId="13" xfId="2050" applyNumberFormat="1" applyFont="1" applyFill="1" applyBorder="1" applyAlignment="1">
      <alignment horizontal="center" vertical="center" wrapText="1"/>
    </xf>
    <xf numFmtId="0" fontId="11" fillId="0" borderId="2" xfId="2050" applyNumberFormat="1" applyFont="1" applyFill="1" applyBorder="1" applyAlignment="1">
      <alignment horizontal="center" vertical="center" wrapText="1"/>
    </xf>
    <xf numFmtId="0" fontId="11" fillId="0" borderId="5" xfId="2055" applyNumberFormat="1" applyFont="1" applyFill="1" applyBorder="1" applyAlignment="1">
      <alignment horizontal="center" vertical="center" wrapText="1"/>
    </xf>
    <xf numFmtId="0" fontId="11" fillId="0" borderId="6" xfId="2055" applyNumberFormat="1" applyFont="1" applyFill="1" applyBorder="1" applyAlignment="1">
      <alignment horizontal="center" vertical="center" wrapText="1"/>
    </xf>
    <xf numFmtId="0" fontId="11" fillId="0" borderId="55" xfId="2050" applyFont="1" applyBorder="1" applyAlignment="1">
      <alignment vertical="center" wrapText="1"/>
    </xf>
    <xf numFmtId="203" fontId="11" fillId="0" borderId="56" xfId="2050" applyNumberFormat="1" applyFont="1" applyFill="1" applyBorder="1" applyAlignment="1">
      <alignment horizontal="right" vertical="center" wrapText="1"/>
    </xf>
    <xf numFmtId="203" fontId="11" fillId="0" borderId="55" xfId="2050" applyNumberFormat="1" applyFont="1" applyFill="1" applyBorder="1" applyAlignment="1">
      <alignment horizontal="right" vertical="center" wrapText="1"/>
    </xf>
    <xf numFmtId="200" fontId="11" fillId="0" borderId="57" xfId="969" applyNumberFormat="1" applyFont="1" applyFill="1" applyBorder="1" applyAlignment="1">
      <alignment horizontal="right" vertical="center" wrapText="1"/>
    </xf>
    <xf numFmtId="201" fontId="11" fillId="0" borderId="56" xfId="2051" applyNumberFormat="1" applyFont="1" applyFill="1" applyBorder="1" applyAlignment="1" applyProtection="1">
      <alignment horizontal="right" vertical="center" wrapText="1"/>
    </xf>
    <xf numFmtId="0" fontId="18" fillId="0" borderId="0" xfId="2050" applyFont="1" applyBorder="1" applyAlignment="1">
      <alignment horizontal="left" vertical="center"/>
    </xf>
    <xf numFmtId="0" fontId="0" fillId="0" borderId="0" xfId="2056" applyFont="1" applyFill="1" applyAlignment="1">
      <alignment vertical="center"/>
    </xf>
    <xf numFmtId="0" fontId="22" fillId="0" borderId="14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201" fontId="22" fillId="0" borderId="16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justify" vertical="center" wrapText="1"/>
    </xf>
    <xf numFmtId="0" fontId="21" fillId="0" borderId="4" xfId="0" applyFont="1" applyFill="1" applyBorder="1" applyAlignment="1">
      <alignment horizontal="center" vertical="center" wrapText="1"/>
    </xf>
    <xf numFmtId="206" fontId="21" fillId="0" borderId="5" xfId="969" applyNumberFormat="1" applyFont="1" applyFill="1" applyBorder="1" applyAlignment="1">
      <alignment horizontal="right" vertical="center" wrapText="1"/>
    </xf>
    <xf numFmtId="201" fontId="21" fillId="0" borderId="0" xfId="2051" applyNumberFormat="1" applyFont="1" applyFill="1" applyBorder="1" applyAlignment="1" applyProtection="1">
      <alignment horizontal="right" vertical="center" wrapText="1"/>
    </xf>
    <xf numFmtId="203" fontId="21" fillId="0" borderId="4" xfId="2056" applyNumberFormat="1" applyFont="1" applyFill="1" applyBorder="1" applyAlignment="1">
      <alignment horizontal="right" vertical="center" wrapText="1"/>
    </xf>
    <xf numFmtId="203" fontId="21" fillId="0" borderId="5" xfId="969" applyNumberFormat="1" applyFont="1" applyFill="1" applyBorder="1" applyAlignment="1">
      <alignment horizontal="right" vertical="center" wrapText="1"/>
    </xf>
    <xf numFmtId="0" fontId="21" fillId="0" borderId="8" xfId="0" applyFont="1" applyFill="1" applyBorder="1" applyAlignment="1">
      <alignment horizontal="justify" vertical="center" wrapText="1"/>
    </xf>
    <xf numFmtId="0" fontId="21" fillId="0" borderId="9" xfId="0" applyFont="1" applyFill="1" applyBorder="1" applyAlignment="1">
      <alignment horizontal="center" vertical="center" wrapText="1"/>
    </xf>
    <xf numFmtId="203" fontId="21" fillId="0" borderId="9" xfId="969" applyNumberFormat="1" applyFont="1" applyFill="1" applyBorder="1" applyAlignment="1">
      <alignment horizontal="right" vertical="center" wrapText="1"/>
    </xf>
    <xf numFmtId="201" fontId="21" fillId="0" borderId="1" xfId="2051" applyNumberFormat="1" applyFont="1" applyFill="1" applyBorder="1" applyAlignment="1" applyProtection="1">
      <alignment horizontal="right" vertical="center" wrapText="1"/>
    </xf>
    <xf numFmtId="0" fontId="4" fillId="0" borderId="0" xfId="0" applyFont="1" applyFill="1" applyAlignment="1">
      <alignment vertical="center" wrapText="1"/>
    </xf>
    <xf numFmtId="0" fontId="25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203" fontId="11" fillId="0" borderId="27" xfId="1938" applyNumberFormat="1" applyFont="1" applyFill="1" applyBorder="1" applyAlignment="1" applyProtection="1">
      <alignment horizontal="right" vertical="center" wrapText="1"/>
      <protection hidden="1"/>
    </xf>
    <xf numFmtId="201" fontId="11" fillId="0" borderId="43" xfId="1939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0" applyFont="1" applyFill="1" applyAlignment="1">
      <alignment vertical="center"/>
    </xf>
    <xf numFmtId="203" fontId="0" fillId="0" borderId="0" xfId="0" applyNumberFormat="1" applyAlignment="1">
      <alignment vertical="center"/>
    </xf>
    <xf numFmtId="203" fontId="11" fillId="0" borderId="5" xfId="1940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1941" applyNumberFormat="1" applyFont="1" applyFill="1" applyBorder="1" applyAlignment="1" applyProtection="1">
      <alignment horizontal="right" vertical="center" wrapText="1"/>
      <protection hidden="1"/>
    </xf>
    <xf numFmtId="203" fontId="11" fillId="0" borderId="5" xfId="1942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1943" applyNumberFormat="1" applyFont="1" applyFill="1" applyBorder="1" applyAlignment="1" applyProtection="1">
      <alignment horizontal="right" vertical="center" wrapText="1"/>
      <protection hidden="1"/>
    </xf>
    <xf numFmtId="203" fontId="11" fillId="0" borderId="6" xfId="1944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1945" applyNumberFormat="1" applyFont="1" applyFill="1" applyBorder="1" applyAlignment="1" applyProtection="1">
      <alignment horizontal="right" vertical="center" wrapText="1"/>
      <protection hidden="1"/>
    </xf>
    <xf numFmtId="203" fontId="11" fillId="0" borderId="5" xfId="1946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1947" applyNumberFormat="1" applyFont="1" applyFill="1" applyBorder="1" applyAlignment="1" applyProtection="1">
      <alignment horizontal="right" vertical="center" wrapText="1"/>
      <protection hidden="1"/>
    </xf>
    <xf numFmtId="209" fontId="0" fillId="0" borderId="0" xfId="0" applyNumberFormat="1" applyAlignment="1">
      <alignment vertical="center"/>
    </xf>
    <xf numFmtId="203" fontId="11" fillId="0" borderId="5" xfId="1976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1977" applyNumberFormat="1" applyFont="1" applyFill="1" applyBorder="1" applyAlignment="1" applyProtection="1">
      <alignment horizontal="right" vertical="center" wrapText="1"/>
      <protection hidden="1"/>
    </xf>
    <xf numFmtId="203" fontId="11" fillId="0" borderId="5" xfId="1978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1979" applyNumberFormat="1" applyFont="1" applyFill="1" applyBorder="1" applyAlignment="1" applyProtection="1">
      <alignment horizontal="right" vertical="center" wrapText="1"/>
      <protection hidden="1"/>
    </xf>
    <xf numFmtId="203" fontId="11" fillId="0" borderId="5" xfId="1980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1981" applyNumberFormat="1" applyFont="1" applyFill="1" applyBorder="1" applyAlignment="1" applyProtection="1">
      <alignment horizontal="right" vertical="center" wrapText="1"/>
      <protection hidden="1"/>
    </xf>
    <xf numFmtId="203" fontId="11" fillId="0" borderId="5" xfId="1982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1983" applyNumberFormat="1" applyFont="1" applyFill="1" applyBorder="1" applyAlignment="1" applyProtection="1">
      <alignment horizontal="right" vertical="center" wrapText="1"/>
      <protection hidden="1"/>
    </xf>
    <xf numFmtId="203" fontId="11" fillId="0" borderId="5" xfId="1984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1985" applyNumberFormat="1" applyFont="1" applyFill="1" applyBorder="1" applyAlignment="1" applyProtection="1">
      <alignment horizontal="right" vertical="center" wrapText="1"/>
      <protection hidden="1"/>
    </xf>
    <xf numFmtId="0" fontId="11" fillId="0" borderId="4" xfId="0" applyNumberFormat="1" applyFont="1" applyFill="1" applyBorder="1" applyAlignment="1">
      <alignment vertical="center"/>
    </xf>
    <xf numFmtId="203" fontId="11" fillId="0" borderId="5" xfId="1995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1996" applyNumberFormat="1" applyFont="1" applyFill="1" applyBorder="1" applyAlignment="1" applyProtection="1">
      <alignment horizontal="right" vertical="center" wrapText="1"/>
      <protection hidden="1"/>
    </xf>
    <xf numFmtId="0" fontId="11" fillId="0" borderId="4" xfId="0" applyFont="1" applyFill="1" applyBorder="1" applyAlignment="1">
      <alignment horizontal="left" vertical="center"/>
    </xf>
    <xf numFmtId="203" fontId="11" fillId="0" borderId="5" xfId="1997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1998" applyNumberFormat="1" applyFont="1" applyFill="1" applyBorder="1" applyAlignment="1" applyProtection="1">
      <alignment horizontal="right" vertical="center" wrapText="1"/>
      <protection hidden="1"/>
    </xf>
    <xf numFmtId="203" fontId="11" fillId="0" borderId="5" xfId="1999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2000" applyNumberFormat="1" applyFont="1" applyFill="1" applyBorder="1" applyAlignment="1" applyProtection="1">
      <alignment horizontal="right" vertical="center" wrapText="1"/>
      <protection hidden="1"/>
    </xf>
    <xf numFmtId="0" fontId="11" fillId="0" borderId="58" xfId="0" applyFont="1" applyFill="1" applyBorder="1" applyAlignment="1">
      <alignment vertical="center"/>
    </xf>
    <xf numFmtId="206" fontId="11" fillId="0" borderId="56" xfId="969" applyNumberFormat="1" applyFont="1" applyFill="1" applyBorder="1" applyAlignment="1">
      <alignment horizontal="center" vertical="center"/>
    </xf>
    <xf numFmtId="206" fontId="11" fillId="0" borderId="58" xfId="969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57" fontId="22" fillId="0" borderId="13" xfId="0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justify" vertical="center" wrapText="1"/>
    </xf>
    <xf numFmtId="203" fontId="21" fillId="0" borderId="6" xfId="0" applyNumberFormat="1" applyFont="1" applyFill="1" applyBorder="1" applyAlignment="1">
      <alignment horizontal="center" vertical="center" wrapText="1"/>
    </xf>
    <xf numFmtId="201" fontId="21" fillId="0" borderId="6" xfId="0" applyNumberFormat="1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right" vertical="center" wrapText="1"/>
    </xf>
    <xf numFmtId="203" fontId="21" fillId="0" borderId="6" xfId="0" applyNumberFormat="1" applyFont="1" applyBorder="1" applyAlignment="1">
      <alignment horizontal="center" vertical="center" wrapText="1"/>
    </xf>
    <xf numFmtId="201" fontId="21" fillId="0" borderId="6" xfId="0" applyNumberFormat="1" applyFont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justify" vertical="center" wrapText="1"/>
    </xf>
    <xf numFmtId="0" fontId="21" fillId="0" borderId="6" xfId="0" applyFont="1" applyFill="1" applyBorder="1" applyAlignment="1">
      <alignment horizontal="right" vertical="center" wrapText="1"/>
    </xf>
    <xf numFmtId="203" fontId="21" fillId="0" borderId="6" xfId="0" applyNumberFormat="1" applyFont="1" applyFill="1" applyBorder="1" applyAlignment="1">
      <alignment horizontal="right" vertical="center" wrapText="1"/>
    </xf>
    <xf numFmtId="206" fontId="21" fillId="0" borderId="6" xfId="0" applyNumberFormat="1" applyFont="1" applyFill="1" applyBorder="1" applyAlignment="1">
      <alignment horizontal="right" vertical="center" wrapText="1"/>
    </xf>
    <xf numFmtId="205" fontId="21" fillId="0" borderId="6" xfId="0" applyNumberFormat="1" applyFont="1" applyFill="1" applyBorder="1" applyAlignment="1">
      <alignment horizontal="right" vertical="center" wrapText="1"/>
    </xf>
    <xf numFmtId="202" fontId="21" fillId="0" borderId="6" xfId="0" applyNumberFormat="1" applyFont="1" applyFill="1" applyBorder="1" applyAlignment="1">
      <alignment horizontal="right" vertical="center" wrapText="1"/>
    </xf>
    <xf numFmtId="203" fontId="21" fillId="0" borderId="6" xfId="0" applyNumberFormat="1" applyFont="1" applyBorder="1" applyAlignment="1">
      <alignment horizontal="right" vertical="center" wrapText="1"/>
    </xf>
    <xf numFmtId="203" fontId="21" fillId="0" borderId="5" xfId="0" applyNumberFormat="1" applyFont="1" applyBorder="1" applyAlignment="1">
      <alignment horizontal="right" vertical="center" wrapText="1"/>
    </xf>
    <xf numFmtId="201" fontId="21" fillId="0" borderId="0" xfId="2049" applyNumberFormat="1" applyFont="1" applyFill="1" applyBorder="1" applyAlignment="1">
      <alignment horizontal="right" vertical="center" wrapText="1"/>
    </xf>
  </cellXfs>
  <cellStyles count="31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鹎%U龡&amp;H?_x0008__x001c__x001c_?_x0007__x0001__x0001_" xfId="49"/>
    <cellStyle name="_0202" xfId="50"/>
    <cellStyle name="_20100326高清市院遂宁检察院1080P配置清单26日改" xfId="51"/>
    <cellStyle name="_Book1" xfId="52"/>
    <cellStyle name="_Book1_1" xfId="53"/>
    <cellStyle name="_Book1_2" xfId="54"/>
    <cellStyle name="_Book1_3" xfId="55"/>
    <cellStyle name="_ET_STYLE_NoName_00_" xfId="56"/>
    <cellStyle name="_ET_STYLE_NoName_00__Book1" xfId="57"/>
    <cellStyle name="_ET_STYLE_NoName_00__Book1_1" xfId="58"/>
    <cellStyle name="_ET_STYLE_NoName_00__Sheet3" xfId="59"/>
    <cellStyle name="_分县1" xfId="60"/>
    <cellStyle name="_分县2" xfId="61"/>
    <cellStyle name="_计财部审批要件" xfId="62"/>
    <cellStyle name="_弱电系统设备配置报价清单" xfId="63"/>
    <cellStyle name="0,0_x000d_&#10;NA_x000d_&#10;" xfId="64"/>
    <cellStyle name="20% - Accent1" xfId="65"/>
    <cellStyle name="20% - Accent1 2" xfId="66"/>
    <cellStyle name="20% - Accent1 3" xfId="67"/>
    <cellStyle name="20% - Accent1 4" xfId="68"/>
    <cellStyle name="20% - Accent1 5" xfId="69"/>
    <cellStyle name="20% - Accent1 6" xfId="70"/>
    <cellStyle name="20% - Accent1 7" xfId="71"/>
    <cellStyle name="20% - Accent1 8" xfId="72"/>
    <cellStyle name="20% - Accent1 9" xfId="73"/>
    <cellStyle name="20% - Accent2" xfId="74"/>
    <cellStyle name="20% - Accent2 2" xfId="75"/>
    <cellStyle name="20% - Accent2 3" xfId="76"/>
    <cellStyle name="20% - Accent2 4" xfId="77"/>
    <cellStyle name="20% - Accent2 5" xfId="78"/>
    <cellStyle name="20% - Accent2 6" xfId="79"/>
    <cellStyle name="20% - Accent2 7" xfId="80"/>
    <cellStyle name="20% - Accent2 8" xfId="81"/>
    <cellStyle name="20% - Accent2 9" xfId="82"/>
    <cellStyle name="20% - Accent3" xfId="83"/>
    <cellStyle name="20% - Accent3 2" xfId="84"/>
    <cellStyle name="20% - Accent3 3" xfId="85"/>
    <cellStyle name="20% - Accent3 4" xfId="86"/>
    <cellStyle name="20% - Accent3 5" xfId="87"/>
    <cellStyle name="20% - Accent3 6" xfId="88"/>
    <cellStyle name="20% - Accent3 7" xfId="89"/>
    <cellStyle name="20% - Accent3 8" xfId="90"/>
    <cellStyle name="20% - Accent3 9" xfId="91"/>
    <cellStyle name="20% - Accent4" xfId="92"/>
    <cellStyle name="20% - Accent4 2" xfId="93"/>
    <cellStyle name="20% - Accent4 3" xfId="94"/>
    <cellStyle name="20% - Accent4 4" xfId="95"/>
    <cellStyle name="20% - Accent4 5" xfId="96"/>
    <cellStyle name="20% - Accent4 6" xfId="97"/>
    <cellStyle name="20% - Accent4 7" xfId="98"/>
    <cellStyle name="20% - Accent4 8" xfId="99"/>
    <cellStyle name="20% - Accent4 9" xfId="100"/>
    <cellStyle name="20% - Accent5" xfId="101"/>
    <cellStyle name="20% - Accent5 2" xfId="102"/>
    <cellStyle name="20% - Accent5 3" xfId="103"/>
    <cellStyle name="20% - Accent5 4" xfId="104"/>
    <cellStyle name="20% - Accent5 5" xfId="105"/>
    <cellStyle name="20% - Accent5 6" xfId="106"/>
    <cellStyle name="20% - Accent5 7" xfId="107"/>
    <cellStyle name="20% - Accent5 8" xfId="108"/>
    <cellStyle name="20% - Accent5 9" xfId="109"/>
    <cellStyle name="20% - Accent6" xfId="110"/>
    <cellStyle name="20% - Accent6 2" xfId="111"/>
    <cellStyle name="20% - Accent6 3" xfId="112"/>
    <cellStyle name="20% - Accent6 4" xfId="113"/>
    <cellStyle name="20% - Accent6 5" xfId="114"/>
    <cellStyle name="20% - Accent6 6" xfId="115"/>
    <cellStyle name="20% - Accent6 7" xfId="116"/>
    <cellStyle name="20% - Accent6 8" xfId="117"/>
    <cellStyle name="20% - Accent6 9" xfId="118"/>
    <cellStyle name="20% - 强调文字颜色 1 10" xfId="119"/>
    <cellStyle name="20% - 强调文字颜色 1 2" xfId="120"/>
    <cellStyle name="20% - 强调文字颜色 1 3" xfId="121"/>
    <cellStyle name="20% - 强调文字颜色 1 3 2" xfId="122"/>
    <cellStyle name="20% - 强调文字颜色 1 3 3" xfId="123"/>
    <cellStyle name="20% - 强调文字颜色 1 3 4" xfId="124"/>
    <cellStyle name="20% - 强调文字颜色 1 3 5" xfId="125"/>
    <cellStyle name="20% - 强调文字颜色 1 3 6" xfId="126"/>
    <cellStyle name="20% - 强调文字颜色 1 3 7" xfId="127"/>
    <cellStyle name="20% - 强调文字颜色 1 4" xfId="128"/>
    <cellStyle name="20% - 强调文字颜色 1 4 2" xfId="129"/>
    <cellStyle name="20% - 强调文字颜色 1 5" xfId="130"/>
    <cellStyle name="20% - 强调文字颜色 1 5 2" xfId="131"/>
    <cellStyle name="20% - 强调文字颜色 1 6" xfId="132"/>
    <cellStyle name="20% - 强调文字颜色 1 6 2" xfId="133"/>
    <cellStyle name="20% - 强调文字颜色 1 7" xfId="134"/>
    <cellStyle name="20% - 强调文字颜色 1 7 2" xfId="135"/>
    <cellStyle name="20% - 强调文字颜色 1 8" xfId="136"/>
    <cellStyle name="20% - 强调文字颜色 1 8 2" xfId="137"/>
    <cellStyle name="20% - 强调文字颜色 1 9" xfId="138"/>
    <cellStyle name="20% - 强调文字颜色 1 9 2" xfId="139"/>
    <cellStyle name="20% - 强调文字颜色 2 10" xfId="140"/>
    <cellStyle name="20% - 强调文字颜色 2 2" xfId="141"/>
    <cellStyle name="20% - 强调文字颜色 2 3" xfId="142"/>
    <cellStyle name="20% - 强调文字颜色 2 3 2" xfId="143"/>
    <cellStyle name="20% - 强调文字颜色 2 3 3" xfId="144"/>
    <cellStyle name="20% - 强调文字颜色 2 3 4" xfId="145"/>
    <cellStyle name="20% - 强调文字颜色 2 3 5" xfId="146"/>
    <cellStyle name="20% - 强调文字颜色 2 3 6" xfId="147"/>
    <cellStyle name="20% - 强调文字颜色 2 3 7" xfId="148"/>
    <cellStyle name="20% - 强调文字颜色 2 4" xfId="149"/>
    <cellStyle name="20% - 强调文字颜色 2 4 2" xfId="150"/>
    <cellStyle name="20% - 强调文字颜色 2 5" xfId="151"/>
    <cellStyle name="20% - 强调文字颜色 2 5 2" xfId="152"/>
    <cellStyle name="20% - 强调文字颜色 2 6" xfId="153"/>
    <cellStyle name="20% - 强调文字颜色 2 6 2" xfId="154"/>
    <cellStyle name="20% - 强调文字颜色 2 7" xfId="155"/>
    <cellStyle name="20% - 强调文字颜色 2 7 2" xfId="156"/>
    <cellStyle name="20% - 强调文字颜色 2 8" xfId="157"/>
    <cellStyle name="20% - 强调文字颜色 2 8 2" xfId="158"/>
    <cellStyle name="20% - 强调文字颜色 2 9" xfId="159"/>
    <cellStyle name="20% - 强调文字颜色 2 9 2" xfId="160"/>
    <cellStyle name="20% - 强调文字颜色 3 10" xfId="161"/>
    <cellStyle name="20% - 强调文字颜色 3 2" xfId="162"/>
    <cellStyle name="20% - 强调文字颜色 3 3" xfId="163"/>
    <cellStyle name="20% - 强调文字颜色 3 3 2" xfId="164"/>
    <cellStyle name="20% - 强调文字颜色 3 3 3" xfId="165"/>
    <cellStyle name="20% - 强调文字颜色 3 3 4" xfId="166"/>
    <cellStyle name="20% - 强调文字颜色 3 3 5" xfId="167"/>
    <cellStyle name="20% - 强调文字颜色 3 3 6" xfId="168"/>
    <cellStyle name="20% - 强调文字颜色 3 3 7" xfId="169"/>
    <cellStyle name="20% - 强调文字颜色 3 4" xfId="170"/>
    <cellStyle name="20% - 强调文字颜色 3 4 2" xfId="171"/>
    <cellStyle name="20% - 强调文字颜色 3 5" xfId="172"/>
    <cellStyle name="20% - 强调文字颜色 3 5 2" xfId="173"/>
    <cellStyle name="20% - 强调文字颜色 3 6" xfId="174"/>
    <cellStyle name="20% - 强调文字颜色 3 6 2" xfId="175"/>
    <cellStyle name="20% - 强调文字颜色 3 7" xfId="176"/>
    <cellStyle name="20% - 强调文字颜色 3 7 2" xfId="177"/>
    <cellStyle name="20% - 强调文字颜色 3 8" xfId="178"/>
    <cellStyle name="20% - 强调文字颜色 3 8 2" xfId="179"/>
    <cellStyle name="20% - 强调文字颜色 3 9" xfId="180"/>
    <cellStyle name="20% - 强调文字颜色 3 9 2" xfId="181"/>
    <cellStyle name="20% - 强调文字颜色 4 10" xfId="182"/>
    <cellStyle name="20% - 强调文字颜色 4 2" xfId="183"/>
    <cellStyle name="20% - 强调文字颜色 4 3" xfId="184"/>
    <cellStyle name="20% - 强调文字颜色 4 3 2" xfId="185"/>
    <cellStyle name="20% - 强调文字颜色 4 3 3" xfId="186"/>
    <cellStyle name="20% - 强调文字颜色 4 3 4" xfId="187"/>
    <cellStyle name="20% - 强调文字颜色 4 3 5" xfId="188"/>
    <cellStyle name="20% - 强调文字颜色 4 3 6" xfId="189"/>
    <cellStyle name="20% - 强调文字颜色 4 3 7" xfId="190"/>
    <cellStyle name="20% - 强调文字颜色 4 4" xfId="191"/>
    <cellStyle name="20% - 强调文字颜色 4 4 2" xfId="192"/>
    <cellStyle name="20% - 强调文字颜色 4 5" xfId="193"/>
    <cellStyle name="20% - 强调文字颜色 4 5 2" xfId="194"/>
    <cellStyle name="20% - 强调文字颜色 4 6" xfId="195"/>
    <cellStyle name="20% - 强调文字颜色 4 6 2" xfId="196"/>
    <cellStyle name="20% - 强调文字颜色 4 7" xfId="197"/>
    <cellStyle name="20% - 强调文字颜色 4 7 2" xfId="198"/>
    <cellStyle name="20% - 强调文字颜色 4 8" xfId="199"/>
    <cellStyle name="20% - 强调文字颜色 4 8 2" xfId="200"/>
    <cellStyle name="20% - 强调文字颜色 4 9" xfId="201"/>
    <cellStyle name="20% - 强调文字颜色 4 9 2" xfId="202"/>
    <cellStyle name="20% - 强调文字颜色 5 10" xfId="203"/>
    <cellStyle name="20% - 强调文字颜色 5 2" xfId="204"/>
    <cellStyle name="20% - 强调文字颜色 5 3" xfId="205"/>
    <cellStyle name="20% - 强调文字颜色 5 3 2" xfId="206"/>
    <cellStyle name="20% - 强调文字颜色 5 3 3" xfId="207"/>
    <cellStyle name="20% - 强调文字颜色 5 3 4" xfId="208"/>
    <cellStyle name="20% - 强调文字颜色 5 3 5" xfId="209"/>
    <cellStyle name="20% - 强调文字颜色 5 3 6" xfId="210"/>
    <cellStyle name="20% - 强调文字颜色 5 3 7" xfId="211"/>
    <cellStyle name="20% - 强调文字颜色 5 4" xfId="212"/>
    <cellStyle name="20% - 强调文字颜色 5 4 2" xfId="213"/>
    <cellStyle name="20% - 强调文字颜色 5 5" xfId="214"/>
    <cellStyle name="20% - 强调文字颜色 5 5 2" xfId="215"/>
    <cellStyle name="20% - 强调文字颜色 5 6" xfId="216"/>
    <cellStyle name="20% - 强调文字颜色 5 6 2" xfId="217"/>
    <cellStyle name="20% - 强调文字颜色 5 7" xfId="218"/>
    <cellStyle name="20% - 强调文字颜色 5 7 2" xfId="219"/>
    <cellStyle name="20% - 强调文字颜色 5 8" xfId="220"/>
    <cellStyle name="20% - 强调文字颜色 5 8 2" xfId="221"/>
    <cellStyle name="20% - 强调文字颜色 5 9" xfId="222"/>
    <cellStyle name="20% - 强调文字颜色 5 9 2" xfId="223"/>
    <cellStyle name="20% - 强调文字颜色 6 10" xfId="224"/>
    <cellStyle name="20% - 强调文字颜色 6 2" xfId="225"/>
    <cellStyle name="20% - 强调文字颜色 6 3" xfId="226"/>
    <cellStyle name="20% - 强调文字颜色 6 3 2" xfId="227"/>
    <cellStyle name="20% - 强调文字颜色 6 3 3" xfId="228"/>
    <cellStyle name="20% - 强调文字颜色 6 3 4" xfId="229"/>
    <cellStyle name="20% - 强调文字颜色 6 3 5" xfId="230"/>
    <cellStyle name="20% - 强调文字颜色 6 3 6" xfId="231"/>
    <cellStyle name="20% - 强调文字颜色 6 3 7" xfId="232"/>
    <cellStyle name="20% - 强调文字颜色 6 4" xfId="233"/>
    <cellStyle name="20% - 强调文字颜色 6 4 2" xfId="234"/>
    <cellStyle name="20% - 强调文字颜色 6 5" xfId="235"/>
    <cellStyle name="20% - 强调文字颜色 6 5 2" xfId="236"/>
    <cellStyle name="20% - 强调文字颜色 6 6" xfId="237"/>
    <cellStyle name="20% - 强调文字颜色 6 6 2" xfId="238"/>
    <cellStyle name="20% - 强调文字颜色 6 7" xfId="239"/>
    <cellStyle name="20% - 强调文字颜色 6 7 2" xfId="240"/>
    <cellStyle name="20% - 强调文字颜色 6 8" xfId="241"/>
    <cellStyle name="20% - 强调文字颜色 6 8 2" xfId="242"/>
    <cellStyle name="20% - 强调文字颜色 6 9" xfId="243"/>
    <cellStyle name="20% - 强调文字颜色 6 9 2" xfId="244"/>
    <cellStyle name="40% - Accent1" xfId="245"/>
    <cellStyle name="40% - Accent1 2" xfId="246"/>
    <cellStyle name="40% - Accent1 3" xfId="247"/>
    <cellStyle name="40% - Accent1 4" xfId="248"/>
    <cellStyle name="40% - Accent1 5" xfId="249"/>
    <cellStyle name="40% - Accent1 6" xfId="250"/>
    <cellStyle name="40% - Accent1 7" xfId="251"/>
    <cellStyle name="40% - Accent1 8" xfId="252"/>
    <cellStyle name="40% - Accent1 9" xfId="253"/>
    <cellStyle name="40% - Accent2" xfId="254"/>
    <cellStyle name="40% - Accent2 2" xfId="255"/>
    <cellStyle name="40% - Accent2 3" xfId="256"/>
    <cellStyle name="40% - Accent2 4" xfId="257"/>
    <cellStyle name="40% - Accent2 5" xfId="258"/>
    <cellStyle name="40% - Accent2 6" xfId="259"/>
    <cellStyle name="40% - Accent2 7" xfId="260"/>
    <cellStyle name="40% - Accent2 8" xfId="261"/>
    <cellStyle name="40% - Accent2 9" xfId="262"/>
    <cellStyle name="40% - Accent3" xfId="263"/>
    <cellStyle name="40% - Accent3 2" xfId="264"/>
    <cellStyle name="40% - Accent3 3" xfId="265"/>
    <cellStyle name="40% - Accent3 4" xfId="266"/>
    <cellStyle name="40% - Accent3 5" xfId="267"/>
    <cellStyle name="40% - Accent3 6" xfId="268"/>
    <cellStyle name="40% - Accent3 7" xfId="269"/>
    <cellStyle name="40% - Accent3 8" xfId="270"/>
    <cellStyle name="40% - Accent3 9" xfId="271"/>
    <cellStyle name="40% - Accent4" xfId="272"/>
    <cellStyle name="40% - Accent4 2" xfId="273"/>
    <cellStyle name="40% - Accent4 3" xfId="274"/>
    <cellStyle name="40% - Accent4 4" xfId="275"/>
    <cellStyle name="40% - Accent4 5" xfId="276"/>
    <cellStyle name="40% - Accent4 6" xfId="277"/>
    <cellStyle name="40% - Accent4 7" xfId="278"/>
    <cellStyle name="40% - Accent4 8" xfId="279"/>
    <cellStyle name="40% - Accent4 9" xfId="280"/>
    <cellStyle name="40% - Accent5" xfId="281"/>
    <cellStyle name="40% - Accent5 2" xfId="282"/>
    <cellStyle name="40% - Accent5 3" xfId="283"/>
    <cellStyle name="40% - Accent5 4" xfId="284"/>
    <cellStyle name="40% - Accent5 5" xfId="285"/>
    <cellStyle name="40% - Accent5 6" xfId="286"/>
    <cellStyle name="40% - Accent5 7" xfId="287"/>
    <cellStyle name="40% - Accent5 8" xfId="288"/>
    <cellStyle name="40% - Accent5 9" xfId="289"/>
    <cellStyle name="40% - Accent6" xfId="290"/>
    <cellStyle name="40% - Accent6 2" xfId="291"/>
    <cellStyle name="40% - Accent6 3" xfId="292"/>
    <cellStyle name="40% - Accent6 4" xfId="293"/>
    <cellStyle name="40% - Accent6 5" xfId="294"/>
    <cellStyle name="40% - Accent6 6" xfId="295"/>
    <cellStyle name="40% - Accent6 7" xfId="296"/>
    <cellStyle name="40% - Accent6 8" xfId="297"/>
    <cellStyle name="40% - Accent6 9" xfId="298"/>
    <cellStyle name="40% - 强调文字颜色 1 10" xfId="299"/>
    <cellStyle name="40% - 强调文字颜色 1 2" xfId="300"/>
    <cellStyle name="40% - 强调文字颜色 1 3" xfId="301"/>
    <cellStyle name="40% - 强调文字颜色 1 3 2" xfId="302"/>
    <cellStyle name="40% - 强调文字颜色 1 3 3" xfId="303"/>
    <cellStyle name="40% - 强调文字颜色 1 3 4" xfId="304"/>
    <cellStyle name="40% - 强调文字颜色 1 3 5" xfId="305"/>
    <cellStyle name="40% - 强调文字颜色 1 3 6" xfId="306"/>
    <cellStyle name="40% - 强调文字颜色 1 3 7" xfId="307"/>
    <cellStyle name="40% - 强调文字颜色 1 4" xfId="308"/>
    <cellStyle name="40% - 强调文字颜色 1 4 2" xfId="309"/>
    <cellStyle name="40% - 强调文字颜色 1 5" xfId="310"/>
    <cellStyle name="40% - 强调文字颜色 1 5 2" xfId="311"/>
    <cellStyle name="40% - 强调文字颜色 1 6" xfId="312"/>
    <cellStyle name="40% - 强调文字颜色 1 6 2" xfId="313"/>
    <cellStyle name="40% - 强调文字颜色 1 7" xfId="314"/>
    <cellStyle name="40% - 强调文字颜色 1 7 2" xfId="315"/>
    <cellStyle name="40% - 强调文字颜色 1 8" xfId="316"/>
    <cellStyle name="40% - 强调文字颜色 1 8 2" xfId="317"/>
    <cellStyle name="40% - 强调文字颜色 1 9" xfId="318"/>
    <cellStyle name="40% - 强调文字颜色 1 9 2" xfId="319"/>
    <cellStyle name="40% - 强调文字颜色 2 10" xfId="320"/>
    <cellStyle name="40% - 强调文字颜色 2 2" xfId="321"/>
    <cellStyle name="40% - 强调文字颜色 2 3" xfId="322"/>
    <cellStyle name="40% - 强调文字颜色 2 3 2" xfId="323"/>
    <cellStyle name="40% - 强调文字颜色 2 3 3" xfId="324"/>
    <cellStyle name="40% - 强调文字颜色 2 3 4" xfId="325"/>
    <cellStyle name="40% - 强调文字颜色 2 3 5" xfId="326"/>
    <cellStyle name="40% - 强调文字颜色 2 3 6" xfId="327"/>
    <cellStyle name="40% - 强调文字颜色 2 3 7" xfId="328"/>
    <cellStyle name="40% - 强调文字颜色 2 4" xfId="329"/>
    <cellStyle name="40% - 强调文字颜色 2 4 2" xfId="330"/>
    <cellStyle name="40% - 强调文字颜色 2 5" xfId="331"/>
    <cellStyle name="40% - 强调文字颜色 2 5 2" xfId="332"/>
    <cellStyle name="40% - 强调文字颜色 2 6" xfId="333"/>
    <cellStyle name="40% - 强调文字颜色 2 6 2" xfId="334"/>
    <cellStyle name="40% - 强调文字颜色 2 7" xfId="335"/>
    <cellStyle name="40% - 强调文字颜色 2 7 2" xfId="336"/>
    <cellStyle name="40% - 强调文字颜色 2 8" xfId="337"/>
    <cellStyle name="40% - 强调文字颜色 2 8 2" xfId="338"/>
    <cellStyle name="40% - 强调文字颜色 2 9" xfId="339"/>
    <cellStyle name="40% - 强调文字颜色 2 9 2" xfId="340"/>
    <cellStyle name="40% - 强调文字颜色 3 10" xfId="341"/>
    <cellStyle name="40% - 强调文字颜色 3 2" xfId="342"/>
    <cellStyle name="40% - 强调文字颜色 3 3" xfId="343"/>
    <cellStyle name="40% - 强调文字颜色 3 3 2" xfId="344"/>
    <cellStyle name="40% - 强调文字颜色 3 3 3" xfId="345"/>
    <cellStyle name="40% - 强调文字颜色 3 3 4" xfId="346"/>
    <cellStyle name="40% - 强调文字颜色 3 3 5" xfId="347"/>
    <cellStyle name="40% - 强调文字颜色 3 3 6" xfId="348"/>
    <cellStyle name="40% - 强调文字颜色 3 3 7" xfId="349"/>
    <cellStyle name="40% - 强调文字颜色 3 4" xfId="350"/>
    <cellStyle name="40% - 强调文字颜色 3 4 2" xfId="351"/>
    <cellStyle name="40% - 强调文字颜色 3 5" xfId="352"/>
    <cellStyle name="40% - 强调文字颜色 3 5 2" xfId="353"/>
    <cellStyle name="40% - 强调文字颜色 3 6" xfId="354"/>
    <cellStyle name="40% - 强调文字颜色 3 6 2" xfId="355"/>
    <cellStyle name="40% - 强调文字颜色 3 7" xfId="356"/>
    <cellStyle name="40% - 强调文字颜色 3 7 2" xfId="357"/>
    <cellStyle name="40% - 强调文字颜色 3 8" xfId="358"/>
    <cellStyle name="40% - 强调文字颜色 3 8 2" xfId="359"/>
    <cellStyle name="40% - 强调文字颜色 3 9" xfId="360"/>
    <cellStyle name="40% - 强调文字颜色 3 9 2" xfId="361"/>
    <cellStyle name="40% - 强调文字颜色 4 10" xfId="362"/>
    <cellStyle name="40% - 强调文字颜色 4 2" xfId="363"/>
    <cellStyle name="40% - 强调文字颜色 4 3" xfId="364"/>
    <cellStyle name="40% - 强调文字颜色 4 3 2" xfId="365"/>
    <cellStyle name="40% - 强调文字颜色 4 3 3" xfId="366"/>
    <cellStyle name="40% - 强调文字颜色 4 3 4" xfId="367"/>
    <cellStyle name="40% - 强调文字颜色 4 3 5" xfId="368"/>
    <cellStyle name="40% - 强调文字颜色 4 3 6" xfId="369"/>
    <cellStyle name="40% - 强调文字颜色 4 3 7" xfId="370"/>
    <cellStyle name="40% - 强调文字颜色 4 4" xfId="371"/>
    <cellStyle name="40% - 强调文字颜色 4 4 2" xfId="372"/>
    <cellStyle name="40% - 强调文字颜色 4 5" xfId="373"/>
    <cellStyle name="40% - 强调文字颜色 4 5 2" xfId="374"/>
    <cellStyle name="40% - 强调文字颜色 4 6" xfId="375"/>
    <cellStyle name="40% - 强调文字颜色 4 6 2" xfId="376"/>
    <cellStyle name="40% - 强调文字颜色 4 7" xfId="377"/>
    <cellStyle name="40% - 强调文字颜色 4 7 2" xfId="378"/>
    <cellStyle name="40% - 强调文字颜色 4 8" xfId="379"/>
    <cellStyle name="40% - 强调文字颜色 4 8 2" xfId="380"/>
    <cellStyle name="40% - 强调文字颜色 4 9" xfId="381"/>
    <cellStyle name="40% - 强调文字颜色 4 9 2" xfId="382"/>
    <cellStyle name="40% - 强调文字颜色 5 10" xfId="383"/>
    <cellStyle name="40% - 强调文字颜色 5 2" xfId="384"/>
    <cellStyle name="40% - 强调文字颜色 5 3" xfId="385"/>
    <cellStyle name="40% - 强调文字颜色 5 3 2" xfId="386"/>
    <cellStyle name="40% - 强调文字颜色 5 3 3" xfId="387"/>
    <cellStyle name="40% - 强调文字颜色 5 3 4" xfId="388"/>
    <cellStyle name="40% - 强调文字颜色 5 3 5" xfId="389"/>
    <cellStyle name="40% - 强调文字颜色 5 3 6" xfId="390"/>
    <cellStyle name="40% - 强调文字颜色 5 3 7" xfId="391"/>
    <cellStyle name="40% - 强调文字颜色 5 4" xfId="392"/>
    <cellStyle name="40% - 强调文字颜色 5 4 2" xfId="393"/>
    <cellStyle name="40% - 强调文字颜色 5 5" xfId="394"/>
    <cellStyle name="40% - 强调文字颜色 5 5 2" xfId="395"/>
    <cellStyle name="40% - 强调文字颜色 5 6" xfId="396"/>
    <cellStyle name="40% - 强调文字颜色 5 6 2" xfId="397"/>
    <cellStyle name="40% - 强调文字颜色 5 7" xfId="398"/>
    <cellStyle name="40% - 强调文字颜色 5 7 2" xfId="399"/>
    <cellStyle name="40% - 强调文字颜色 5 8" xfId="400"/>
    <cellStyle name="40% - 强调文字颜色 5 8 2" xfId="401"/>
    <cellStyle name="40% - 强调文字颜色 5 9" xfId="402"/>
    <cellStyle name="40% - 强调文字颜色 5 9 2" xfId="403"/>
    <cellStyle name="40% - 强调文字颜色 6 10" xfId="404"/>
    <cellStyle name="40% - 强调文字颜色 6 2" xfId="405"/>
    <cellStyle name="40% - 强调文字颜色 6 3" xfId="406"/>
    <cellStyle name="40% - 强调文字颜色 6 3 2" xfId="407"/>
    <cellStyle name="40% - 强调文字颜色 6 3 3" xfId="408"/>
    <cellStyle name="40% - 强调文字颜色 6 3 4" xfId="409"/>
    <cellStyle name="40% - 强调文字颜色 6 3 5" xfId="410"/>
    <cellStyle name="40% - 强调文字颜色 6 3 6" xfId="411"/>
    <cellStyle name="40% - 强调文字颜色 6 3 7" xfId="412"/>
    <cellStyle name="40% - 强调文字颜色 6 4" xfId="413"/>
    <cellStyle name="40% - 强调文字颜色 6 4 2" xfId="414"/>
    <cellStyle name="40% - 强调文字颜色 6 5" xfId="415"/>
    <cellStyle name="40% - 强调文字颜色 6 5 2" xfId="416"/>
    <cellStyle name="40% - 强调文字颜色 6 6" xfId="417"/>
    <cellStyle name="40% - 强调文字颜色 6 6 2" xfId="418"/>
    <cellStyle name="40% - 强调文字颜色 6 7" xfId="419"/>
    <cellStyle name="40% - 强调文字颜色 6 7 2" xfId="420"/>
    <cellStyle name="40% - 强调文字颜色 6 8" xfId="421"/>
    <cellStyle name="40% - 强调文字颜色 6 8 2" xfId="422"/>
    <cellStyle name="40% - 强调文字颜色 6 9" xfId="423"/>
    <cellStyle name="40% - 强调文字颜色 6 9 2" xfId="424"/>
    <cellStyle name="60% - Accent1" xfId="425"/>
    <cellStyle name="60% - Accent1 2" xfId="426"/>
    <cellStyle name="60% - Accent1 3" xfId="427"/>
    <cellStyle name="60% - Accent1 4" xfId="428"/>
    <cellStyle name="60% - Accent1 5" xfId="429"/>
    <cellStyle name="60% - Accent1 6" xfId="430"/>
    <cellStyle name="60% - Accent1 7" xfId="431"/>
    <cellStyle name="60% - Accent1 8" xfId="432"/>
    <cellStyle name="60% - Accent1 9" xfId="433"/>
    <cellStyle name="60% - Accent2" xfId="434"/>
    <cellStyle name="60% - Accent2 2" xfId="435"/>
    <cellStyle name="60% - Accent2 3" xfId="436"/>
    <cellStyle name="60% - Accent2 4" xfId="437"/>
    <cellStyle name="60% - Accent2 5" xfId="438"/>
    <cellStyle name="60% - Accent2 6" xfId="439"/>
    <cellStyle name="60% - Accent2 7" xfId="440"/>
    <cellStyle name="60% - Accent2 8" xfId="441"/>
    <cellStyle name="60% - Accent2 9" xfId="442"/>
    <cellStyle name="60% - Accent3" xfId="443"/>
    <cellStyle name="60% - Accent3 2" xfId="444"/>
    <cellStyle name="60% - Accent3 3" xfId="445"/>
    <cellStyle name="60% - Accent3 4" xfId="446"/>
    <cellStyle name="60% - Accent3 5" xfId="447"/>
    <cellStyle name="60% - Accent3 6" xfId="448"/>
    <cellStyle name="60% - Accent3 7" xfId="449"/>
    <cellStyle name="60% - Accent3 8" xfId="450"/>
    <cellStyle name="60% - Accent3 9" xfId="451"/>
    <cellStyle name="60% - Accent4" xfId="452"/>
    <cellStyle name="60% - Accent4 2" xfId="453"/>
    <cellStyle name="60% - Accent4 3" xfId="454"/>
    <cellStyle name="60% - Accent4 4" xfId="455"/>
    <cellStyle name="60% - Accent4 5" xfId="456"/>
    <cellStyle name="60% - Accent4 6" xfId="457"/>
    <cellStyle name="60% - Accent4 7" xfId="458"/>
    <cellStyle name="60% - Accent4 8" xfId="459"/>
    <cellStyle name="60% - Accent4 9" xfId="460"/>
    <cellStyle name="60% - Accent5" xfId="461"/>
    <cellStyle name="60% - Accent5 2" xfId="462"/>
    <cellStyle name="60% - Accent5 3" xfId="463"/>
    <cellStyle name="60% - Accent5 4" xfId="464"/>
    <cellStyle name="60% - Accent5 5" xfId="465"/>
    <cellStyle name="60% - Accent5 6" xfId="466"/>
    <cellStyle name="60% - Accent5 7" xfId="467"/>
    <cellStyle name="60% - Accent5 8" xfId="468"/>
    <cellStyle name="60% - Accent5 9" xfId="469"/>
    <cellStyle name="60% - Accent6" xfId="470"/>
    <cellStyle name="60% - Accent6 2" xfId="471"/>
    <cellStyle name="60% - Accent6 3" xfId="472"/>
    <cellStyle name="60% - Accent6 4" xfId="473"/>
    <cellStyle name="60% - Accent6 5" xfId="474"/>
    <cellStyle name="60% - Accent6 6" xfId="475"/>
    <cellStyle name="60% - Accent6 7" xfId="476"/>
    <cellStyle name="60% - Accent6 8" xfId="477"/>
    <cellStyle name="60% - Accent6 9" xfId="478"/>
    <cellStyle name="60% - 强调文字颜色 1 10" xfId="479"/>
    <cellStyle name="60% - 强调文字颜色 1 2" xfId="480"/>
    <cellStyle name="60% - 强调文字颜色 1 3" xfId="481"/>
    <cellStyle name="60% - 强调文字颜色 1 3 2" xfId="482"/>
    <cellStyle name="60% - 强调文字颜色 1 3 3" xfId="483"/>
    <cellStyle name="60% - 强调文字颜色 1 3 4" xfId="484"/>
    <cellStyle name="60% - 强调文字颜色 1 3 5" xfId="485"/>
    <cellStyle name="60% - 强调文字颜色 1 3 6" xfId="486"/>
    <cellStyle name="60% - 强调文字颜色 1 3 7" xfId="487"/>
    <cellStyle name="60% - 强调文字颜色 1 4" xfId="488"/>
    <cellStyle name="60% - 强调文字颜色 1 4 2" xfId="489"/>
    <cellStyle name="60% - 强调文字颜色 1 5" xfId="490"/>
    <cellStyle name="60% - 强调文字颜色 1 5 2" xfId="491"/>
    <cellStyle name="60% - 强调文字颜色 1 6" xfId="492"/>
    <cellStyle name="60% - 强调文字颜色 1 6 2" xfId="493"/>
    <cellStyle name="60% - 强调文字颜色 1 7" xfId="494"/>
    <cellStyle name="60% - 强调文字颜色 1 7 2" xfId="495"/>
    <cellStyle name="60% - 强调文字颜色 1 8" xfId="496"/>
    <cellStyle name="60% - 强调文字颜色 1 8 2" xfId="497"/>
    <cellStyle name="60% - 强调文字颜色 1 9" xfId="498"/>
    <cellStyle name="60% - 强调文字颜色 1 9 2" xfId="499"/>
    <cellStyle name="60% - 强调文字颜色 2 10" xfId="500"/>
    <cellStyle name="60% - 强调文字颜色 2 2" xfId="501"/>
    <cellStyle name="60% - 强调文字颜色 2 3" xfId="502"/>
    <cellStyle name="60% - 强调文字颜色 2 3 2" xfId="503"/>
    <cellStyle name="60% - 强调文字颜色 2 3 3" xfId="504"/>
    <cellStyle name="60% - 强调文字颜色 2 3 4" xfId="505"/>
    <cellStyle name="60% - 强调文字颜色 2 3 5" xfId="506"/>
    <cellStyle name="60% - 强调文字颜色 2 3 6" xfId="507"/>
    <cellStyle name="60% - 强调文字颜色 2 3 7" xfId="508"/>
    <cellStyle name="60% - 强调文字颜色 2 4" xfId="509"/>
    <cellStyle name="60% - 强调文字颜色 2 4 2" xfId="510"/>
    <cellStyle name="60% - 强调文字颜色 2 5" xfId="511"/>
    <cellStyle name="60% - 强调文字颜色 2 5 2" xfId="512"/>
    <cellStyle name="60% - 强调文字颜色 2 6" xfId="513"/>
    <cellStyle name="60% - 强调文字颜色 2 6 2" xfId="514"/>
    <cellStyle name="60% - 强调文字颜色 2 7" xfId="515"/>
    <cellStyle name="60% - 强调文字颜色 2 7 2" xfId="516"/>
    <cellStyle name="60% - 强调文字颜色 2 8" xfId="517"/>
    <cellStyle name="60% - 强调文字颜色 2 8 2" xfId="518"/>
    <cellStyle name="60% - 强调文字颜色 2 9" xfId="519"/>
    <cellStyle name="60% - 强调文字颜色 2 9 2" xfId="520"/>
    <cellStyle name="60% - 强调文字颜色 3 10" xfId="521"/>
    <cellStyle name="60% - 强调文字颜色 3 2" xfId="522"/>
    <cellStyle name="60% - 强调文字颜色 3 3" xfId="523"/>
    <cellStyle name="60% - 强调文字颜色 3 3 2" xfId="524"/>
    <cellStyle name="60% - 强调文字颜色 3 3 3" xfId="525"/>
    <cellStyle name="60% - 强调文字颜色 3 3 4" xfId="526"/>
    <cellStyle name="60% - 强调文字颜色 3 3 5" xfId="527"/>
    <cellStyle name="60% - 强调文字颜色 3 3 6" xfId="528"/>
    <cellStyle name="60% - 强调文字颜色 3 3 7" xfId="529"/>
    <cellStyle name="60% - 强调文字颜色 3 4" xfId="530"/>
    <cellStyle name="60% - 强调文字颜色 3 4 2" xfId="531"/>
    <cellStyle name="60% - 强调文字颜色 3 5" xfId="532"/>
    <cellStyle name="60% - 强调文字颜色 3 5 2" xfId="533"/>
    <cellStyle name="60% - 强调文字颜色 3 6" xfId="534"/>
    <cellStyle name="60% - 强调文字颜色 3 6 2" xfId="535"/>
    <cellStyle name="60% - 强调文字颜色 3 7" xfId="536"/>
    <cellStyle name="60% - 强调文字颜色 3 7 2" xfId="537"/>
    <cellStyle name="60% - 强调文字颜色 3 8" xfId="538"/>
    <cellStyle name="60% - 强调文字颜色 3 8 2" xfId="539"/>
    <cellStyle name="60% - 强调文字颜色 3 9" xfId="540"/>
    <cellStyle name="60% - 强调文字颜色 3 9 2" xfId="541"/>
    <cellStyle name="60% - 强调文字颜色 4 10" xfId="542"/>
    <cellStyle name="60% - 强调文字颜色 4 2" xfId="543"/>
    <cellStyle name="60% - 强调文字颜色 4 3" xfId="544"/>
    <cellStyle name="60% - 强调文字颜色 4 3 2" xfId="545"/>
    <cellStyle name="60% - 强调文字颜色 4 3 3" xfId="546"/>
    <cellStyle name="60% - 强调文字颜色 4 3 4" xfId="547"/>
    <cellStyle name="60% - 强调文字颜色 4 3 5" xfId="548"/>
    <cellStyle name="60% - 强调文字颜色 4 3 6" xfId="549"/>
    <cellStyle name="60% - 强调文字颜色 4 3 7" xfId="550"/>
    <cellStyle name="60% - 强调文字颜色 4 4" xfId="551"/>
    <cellStyle name="60% - 强调文字颜色 4 4 2" xfId="552"/>
    <cellStyle name="60% - 强调文字颜色 4 5" xfId="553"/>
    <cellStyle name="60% - 强调文字颜色 4 5 2" xfId="554"/>
    <cellStyle name="60% - 强调文字颜色 4 6" xfId="555"/>
    <cellStyle name="60% - 强调文字颜色 4 6 2" xfId="556"/>
    <cellStyle name="60% - 强调文字颜色 4 7" xfId="557"/>
    <cellStyle name="60% - 强调文字颜色 4 7 2" xfId="558"/>
    <cellStyle name="60% - 强调文字颜色 4 8" xfId="559"/>
    <cellStyle name="60% - 强调文字颜色 4 8 2" xfId="560"/>
    <cellStyle name="60% - 强调文字颜色 4 9" xfId="561"/>
    <cellStyle name="60% - 强调文字颜色 4 9 2" xfId="562"/>
    <cellStyle name="60% - 强调文字颜色 5 10" xfId="563"/>
    <cellStyle name="60% - 强调文字颜色 5 2" xfId="564"/>
    <cellStyle name="60% - 强调文字颜色 5 3" xfId="565"/>
    <cellStyle name="60% - 强调文字颜色 5 3 2" xfId="566"/>
    <cellStyle name="60% - 强调文字颜色 5 3 3" xfId="567"/>
    <cellStyle name="60% - 强调文字颜色 5 3 4" xfId="568"/>
    <cellStyle name="60% - 强调文字颜色 5 3 5" xfId="569"/>
    <cellStyle name="60% - 强调文字颜色 5 3 6" xfId="570"/>
    <cellStyle name="60% - 强调文字颜色 5 3 7" xfId="571"/>
    <cellStyle name="60% - 强调文字颜色 5 4" xfId="572"/>
    <cellStyle name="60% - 强调文字颜色 5 4 2" xfId="573"/>
    <cellStyle name="60% - 强调文字颜色 5 5" xfId="574"/>
    <cellStyle name="60% - 强调文字颜色 5 5 2" xfId="575"/>
    <cellStyle name="60% - 强调文字颜色 5 6" xfId="576"/>
    <cellStyle name="60% - 强调文字颜色 5 6 2" xfId="577"/>
    <cellStyle name="60% - 强调文字颜色 5 7" xfId="578"/>
    <cellStyle name="60% - 强调文字颜色 5 7 2" xfId="579"/>
    <cellStyle name="60% - 强调文字颜色 5 8" xfId="580"/>
    <cellStyle name="60% - 强调文字颜色 5 8 2" xfId="581"/>
    <cellStyle name="60% - 强调文字颜色 5 9" xfId="582"/>
    <cellStyle name="60% - 强调文字颜色 5 9 2" xfId="583"/>
    <cellStyle name="60% - 强调文字颜色 6 10" xfId="584"/>
    <cellStyle name="60% - 强调文字颜色 6 2" xfId="585"/>
    <cellStyle name="60% - 强调文字颜色 6 3" xfId="586"/>
    <cellStyle name="60% - 强调文字颜色 6 3 2" xfId="587"/>
    <cellStyle name="60% - 强调文字颜色 6 3 3" xfId="588"/>
    <cellStyle name="60% - 强调文字颜色 6 3 4" xfId="589"/>
    <cellStyle name="60% - 强调文字颜色 6 3 5" xfId="590"/>
    <cellStyle name="60% - 强调文字颜色 6 3 6" xfId="591"/>
    <cellStyle name="60% - 强调文字颜色 6 3 7" xfId="592"/>
    <cellStyle name="60% - 强调文字颜色 6 4" xfId="593"/>
    <cellStyle name="60% - 强调文字颜色 6 4 2" xfId="594"/>
    <cellStyle name="60% - 强调文字颜色 6 5" xfId="595"/>
    <cellStyle name="60% - 强调文字颜色 6 5 2" xfId="596"/>
    <cellStyle name="60% - 强调文字颜色 6 6" xfId="597"/>
    <cellStyle name="60% - 强调文字颜色 6 6 2" xfId="598"/>
    <cellStyle name="60% - 强调文字颜色 6 7" xfId="599"/>
    <cellStyle name="60% - 强调文字颜色 6 7 2" xfId="600"/>
    <cellStyle name="60% - 强调文字颜色 6 8" xfId="601"/>
    <cellStyle name="60% - 强调文字颜色 6 8 2" xfId="602"/>
    <cellStyle name="60% - 强调文字颜色 6 9" xfId="603"/>
    <cellStyle name="60% - 强调文字颜色 6 9 2" xfId="604"/>
    <cellStyle name="6mal" xfId="605"/>
    <cellStyle name="Accent1" xfId="606"/>
    <cellStyle name="Accent1 - 20%" xfId="607"/>
    <cellStyle name="Accent1 - 20% 2" xfId="608"/>
    <cellStyle name="Accent1 - 20% 3" xfId="609"/>
    <cellStyle name="Accent1 - 20% 4" xfId="610"/>
    <cellStyle name="Accent1 - 20% 5" xfId="611"/>
    <cellStyle name="Accent1 - 20% 6" xfId="612"/>
    <cellStyle name="Accent1 - 20% 7" xfId="613"/>
    <cellStyle name="Accent1 - 20% 8" xfId="614"/>
    <cellStyle name="Accent1 - 20% 9" xfId="615"/>
    <cellStyle name="Accent1 - 40%" xfId="616"/>
    <cellStyle name="Accent1 - 40% 2" xfId="617"/>
    <cellStyle name="Accent1 - 40% 3" xfId="618"/>
    <cellStyle name="Accent1 - 40% 4" xfId="619"/>
    <cellStyle name="Accent1 - 40% 5" xfId="620"/>
    <cellStyle name="Accent1 - 40% 6" xfId="621"/>
    <cellStyle name="Accent1 - 40% 7" xfId="622"/>
    <cellStyle name="Accent1 - 40% 8" xfId="623"/>
    <cellStyle name="Accent1 - 40% 9" xfId="624"/>
    <cellStyle name="Accent1 - 60%" xfId="625"/>
    <cellStyle name="Accent1 - 60% 2" xfId="626"/>
    <cellStyle name="Accent1 - 60% 3" xfId="627"/>
    <cellStyle name="Accent1 - 60% 4" xfId="628"/>
    <cellStyle name="Accent1 - 60% 5" xfId="629"/>
    <cellStyle name="Accent1 - 60% 6" xfId="630"/>
    <cellStyle name="Accent1 - 60% 7" xfId="631"/>
    <cellStyle name="Accent1 - 60% 8" xfId="632"/>
    <cellStyle name="Accent1 - 60% 9" xfId="633"/>
    <cellStyle name="Accent1 2" xfId="634"/>
    <cellStyle name="Accent1 3" xfId="635"/>
    <cellStyle name="Accent1 4" xfId="636"/>
    <cellStyle name="Accent1 5" xfId="637"/>
    <cellStyle name="Accent1 6" xfId="638"/>
    <cellStyle name="Accent1 7" xfId="639"/>
    <cellStyle name="Accent1 8" xfId="640"/>
    <cellStyle name="Accent1 9" xfId="641"/>
    <cellStyle name="Accent1_公安安全支出补充表5.14" xfId="642"/>
    <cellStyle name="Accent2" xfId="643"/>
    <cellStyle name="Accent2 - 20%" xfId="644"/>
    <cellStyle name="Accent2 - 20% 2" xfId="645"/>
    <cellStyle name="Accent2 - 20% 3" xfId="646"/>
    <cellStyle name="Accent2 - 20% 4" xfId="647"/>
    <cellStyle name="Accent2 - 20% 5" xfId="648"/>
    <cellStyle name="Accent2 - 20% 6" xfId="649"/>
    <cellStyle name="Accent2 - 20% 7" xfId="650"/>
    <cellStyle name="Accent2 - 20% 8" xfId="651"/>
    <cellStyle name="Accent2 - 20% 9" xfId="652"/>
    <cellStyle name="Accent2 - 40%" xfId="653"/>
    <cellStyle name="Accent2 - 40% 2" xfId="654"/>
    <cellStyle name="Accent2 - 40% 3" xfId="655"/>
    <cellStyle name="Accent2 - 40% 4" xfId="656"/>
    <cellStyle name="Accent2 - 40% 5" xfId="657"/>
    <cellStyle name="Accent2 - 40% 6" xfId="658"/>
    <cellStyle name="Accent2 - 40% 7" xfId="659"/>
    <cellStyle name="Accent2 - 40% 8" xfId="660"/>
    <cellStyle name="Accent2 - 40% 9" xfId="661"/>
    <cellStyle name="Accent2 - 60%" xfId="662"/>
    <cellStyle name="Accent2 - 60% 2" xfId="663"/>
    <cellStyle name="Accent2 - 60% 3" xfId="664"/>
    <cellStyle name="Accent2 - 60% 4" xfId="665"/>
    <cellStyle name="Accent2 - 60% 5" xfId="666"/>
    <cellStyle name="Accent2 - 60% 6" xfId="667"/>
    <cellStyle name="Accent2 - 60% 7" xfId="668"/>
    <cellStyle name="Accent2 - 60% 8" xfId="669"/>
    <cellStyle name="Accent2 - 60% 9" xfId="670"/>
    <cellStyle name="Accent2 2" xfId="671"/>
    <cellStyle name="Accent2 3" xfId="672"/>
    <cellStyle name="Accent2 4" xfId="673"/>
    <cellStyle name="Accent2 5" xfId="674"/>
    <cellStyle name="Accent2 6" xfId="675"/>
    <cellStyle name="Accent2 7" xfId="676"/>
    <cellStyle name="Accent2 8" xfId="677"/>
    <cellStyle name="Accent2 9" xfId="678"/>
    <cellStyle name="Accent2_公安安全支出补充表5.14" xfId="679"/>
    <cellStyle name="Accent3" xfId="680"/>
    <cellStyle name="Accent3 - 20%" xfId="681"/>
    <cellStyle name="Accent3 - 20% 2" xfId="682"/>
    <cellStyle name="Accent3 - 20% 3" xfId="683"/>
    <cellStyle name="Accent3 - 20% 4" xfId="684"/>
    <cellStyle name="Accent3 - 20% 5" xfId="685"/>
    <cellStyle name="Accent3 - 20% 6" xfId="686"/>
    <cellStyle name="Accent3 - 20% 7" xfId="687"/>
    <cellStyle name="Accent3 - 20% 8" xfId="688"/>
    <cellStyle name="Accent3 - 20% 9" xfId="689"/>
    <cellStyle name="Accent3 - 40%" xfId="690"/>
    <cellStyle name="Accent3 - 40% 2" xfId="691"/>
    <cellStyle name="Accent3 - 40% 3" xfId="692"/>
    <cellStyle name="Accent3 - 40% 4" xfId="693"/>
    <cellStyle name="Accent3 - 40% 5" xfId="694"/>
    <cellStyle name="Accent3 - 40% 6" xfId="695"/>
    <cellStyle name="Accent3 - 40% 7" xfId="696"/>
    <cellStyle name="Accent3 - 40% 8" xfId="697"/>
    <cellStyle name="Accent3 - 40% 9" xfId="698"/>
    <cellStyle name="Accent3 - 60%" xfId="699"/>
    <cellStyle name="Accent3 - 60% 2" xfId="700"/>
    <cellStyle name="Accent3 - 60% 3" xfId="701"/>
    <cellStyle name="Accent3 - 60% 4" xfId="702"/>
    <cellStyle name="Accent3 - 60% 5" xfId="703"/>
    <cellStyle name="Accent3 - 60% 6" xfId="704"/>
    <cellStyle name="Accent3 - 60% 7" xfId="705"/>
    <cellStyle name="Accent3 - 60% 8" xfId="706"/>
    <cellStyle name="Accent3 - 60% 9" xfId="707"/>
    <cellStyle name="Accent3 2" xfId="708"/>
    <cellStyle name="Accent3 3" xfId="709"/>
    <cellStyle name="Accent3 4" xfId="710"/>
    <cellStyle name="Accent3 5" xfId="711"/>
    <cellStyle name="Accent3 6" xfId="712"/>
    <cellStyle name="Accent3 7" xfId="713"/>
    <cellStyle name="Accent3 8" xfId="714"/>
    <cellStyle name="Accent3 9" xfId="715"/>
    <cellStyle name="Accent3_公安安全支出补充表5.14" xfId="716"/>
    <cellStyle name="Accent4" xfId="717"/>
    <cellStyle name="Accent4 - 20%" xfId="718"/>
    <cellStyle name="Accent4 - 20% 2" xfId="719"/>
    <cellStyle name="Accent4 - 20% 3" xfId="720"/>
    <cellStyle name="Accent4 - 20% 4" xfId="721"/>
    <cellStyle name="Accent4 - 20% 5" xfId="722"/>
    <cellStyle name="Accent4 - 20% 6" xfId="723"/>
    <cellStyle name="Accent4 - 20% 7" xfId="724"/>
    <cellStyle name="Accent4 - 20% 8" xfId="725"/>
    <cellStyle name="Accent4 - 20% 9" xfId="726"/>
    <cellStyle name="Accent4 - 40%" xfId="727"/>
    <cellStyle name="Accent4 - 40% 2" xfId="728"/>
    <cellStyle name="Accent4 - 40% 3" xfId="729"/>
    <cellStyle name="Accent4 - 40% 4" xfId="730"/>
    <cellStyle name="Accent4 - 40% 5" xfId="731"/>
    <cellStyle name="Accent4 - 40% 6" xfId="732"/>
    <cellStyle name="Accent4 - 40% 7" xfId="733"/>
    <cellStyle name="Accent4 - 40% 8" xfId="734"/>
    <cellStyle name="Accent4 - 40% 9" xfId="735"/>
    <cellStyle name="Accent4 - 60%" xfId="736"/>
    <cellStyle name="Accent4 - 60% 2" xfId="737"/>
    <cellStyle name="Accent4 - 60% 3" xfId="738"/>
    <cellStyle name="Accent4 - 60% 4" xfId="739"/>
    <cellStyle name="Accent4 - 60% 5" xfId="740"/>
    <cellStyle name="Accent4 - 60% 6" xfId="741"/>
    <cellStyle name="Accent4 - 60% 7" xfId="742"/>
    <cellStyle name="Accent4 - 60% 8" xfId="743"/>
    <cellStyle name="Accent4 - 60% 9" xfId="744"/>
    <cellStyle name="Accent4 2" xfId="745"/>
    <cellStyle name="Accent4 3" xfId="746"/>
    <cellStyle name="Accent4 4" xfId="747"/>
    <cellStyle name="Accent4 5" xfId="748"/>
    <cellStyle name="Accent4 6" xfId="749"/>
    <cellStyle name="Accent4 7" xfId="750"/>
    <cellStyle name="Accent4 8" xfId="751"/>
    <cellStyle name="Accent4 9" xfId="752"/>
    <cellStyle name="Accent4_公安安全支出补充表5.14" xfId="753"/>
    <cellStyle name="Accent5" xfId="754"/>
    <cellStyle name="Accent5 - 20%" xfId="755"/>
    <cellStyle name="Accent5 - 20% 2" xfId="756"/>
    <cellStyle name="Accent5 - 20% 3" xfId="757"/>
    <cellStyle name="Accent5 - 20% 4" xfId="758"/>
    <cellStyle name="Accent5 - 20% 5" xfId="759"/>
    <cellStyle name="Accent5 - 20% 6" xfId="760"/>
    <cellStyle name="Accent5 - 20% 7" xfId="761"/>
    <cellStyle name="Accent5 - 20% 8" xfId="762"/>
    <cellStyle name="Accent5 - 20% 9" xfId="763"/>
    <cellStyle name="Accent5 - 40%" xfId="764"/>
    <cellStyle name="Accent5 - 40% 2" xfId="765"/>
    <cellStyle name="Accent5 - 40% 3" xfId="766"/>
    <cellStyle name="Accent5 - 40% 4" xfId="767"/>
    <cellStyle name="Accent5 - 40% 5" xfId="768"/>
    <cellStyle name="Accent5 - 40% 6" xfId="769"/>
    <cellStyle name="Accent5 - 40% 7" xfId="770"/>
    <cellStyle name="Accent5 - 40% 8" xfId="771"/>
    <cellStyle name="Accent5 - 40% 9" xfId="772"/>
    <cellStyle name="Accent5 - 60%" xfId="773"/>
    <cellStyle name="Accent5 - 60% 2" xfId="774"/>
    <cellStyle name="Accent5 - 60% 3" xfId="775"/>
    <cellStyle name="Accent5 - 60% 4" xfId="776"/>
    <cellStyle name="Accent5 - 60% 5" xfId="777"/>
    <cellStyle name="Accent5 - 60% 6" xfId="778"/>
    <cellStyle name="Accent5 - 60% 7" xfId="779"/>
    <cellStyle name="Accent5 - 60% 8" xfId="780"/>
    <cellStyle name="Accent5 - 60% 9" xfId="781"/>
    <cellStyle name="Accent5 2" xfId="782"/>
    <cellStyle name="Accent5 3" xfId="783"/>
    <cellStyle name="Accent5 4" xfId="784"/>
    <cellStyle name="Accent5 5" xfId="785"/>
    <cellStyle name="Accent5 6" xfId="786"/>
    <cellStyle name="Accent5 7" xfId="787"/>
    <cellStyle name="Accent5 8" xfId="788"/>
    <cellStyle name="Accent5 9" xfId="789"/>
    <cellStyle name="Accent5_公安安全支出补充表5.14" xfId="790"/>
    <cellStyle name="Accent6" xfId="791"/>
    <cellStyle name="Accent6 - 20%" xfId="792"/>
    <cellStyle name="Accent6 - 20% 2" xfId="793"/>
    <cellStyle name="Accent6 - 20% 3" xfId="794"/>
    <cellStyle name="Accent6 - 20% 4" xfId="795"/>
    <cellStyle name="Accent6 - 20% 5" xfId="796"/>
    <cellStyle name="Accent6 - 20% 6" xfId="797"/>
    <cellStyle name="Accent6 - 20% 7" xfId="798"/>
    <cellStyle name="Accent6 - 20% 8" xfId="799"/>
    <cellStyle name="Accent6 - 20% 9" xfId="800"/>
    <cellStyle name="Accent6 - 40%" xfId="801"/>
    <cellStyle name="Accent6 - 40% 2" xfId="802"/>
    <cellStyle name="Accent6 - 40% 3" xfId="803"/>
    <cellStyle name="Accent6 - 40% 4" xfId="804"/>
    <cellStyle name="Accent6 - 40% 5" xfId="805"/>
    <cellStyle name="Accent6 - 40% 6" xfId="806"/>
    <cellStyle name="Accent6 - 40% 7" xfId="807"/>
    <cellStyle name="Accent6 - 40% 8" xfId="808"/>
    <cellStyle name="Accent6 - 40% 9" xfId="809"/>
    <cellStyle name="Accent6 - 60%" xfId="810"/>
    <cellStyle name="Accent6 - 60% 2" xfId="811"/>
    <cellStyle name="Accent6 - 60% 3" xfId="812"/>
    <cellStyle name="Accent6 - 60% 4" xfId="813"/>
    <cellStyle name="Accent6 - 60% 5" xfId="814"/>
    <cellStyle name="Accent6 - 60% 6" xfId="815"/>
    <cellStyle name="Accent6 - 60% 7" xfId="816"/>
    <cellStyle name="Accent6 - 60% 8" xfId="817"/>
    <cellStyle name="Accent6 - 60% 9" xfId="818"/>
    <cellStyle name="Accent6 2" xfId="819"/>
    <cellStyle name="Accent6 3" xfId="820"/>
    <cellStyle name="Accent6 4" xfId="821"/>
    <cellStyle name="Accent6 5" xfId="822"/>
    <cellStyle name="Accent6 6" xfId="823"/>
    <cellStyle name="Accent6 7" xfId="824"/>
    <cellStyle name="Accent6 8" xfId="825"/>
    <cellStyle name="Accent6 9" xfId="826"/>
    <cellStyle name="Accent6_公安安全支出补充表5.14" xfId="827"/>
    <cellStyle name="args.style" xfId="828"/>
    <cellStyle name="Bad" xfId="829"/>
    <cellStyle name="Bad 2" xfId="830"/>
    <cellStyle name="Bad 3" xfId="831"/>
    <cellStyle name="Bad 4" xfId="832"/>
    <cellStyle name="Bad 5" xfId="833"/>
    <cellStyle name="Bad 6" xfId="834"/>
    <cellStyle name="Bad 7" xfId="835"/>
    <cellStyle name="Bad 8" xfId="836"/>
    <cellStyle name="Bad 9" xfId="837"/>
    <cellStyle name="Calc Currency (0)" xfId="838"/>
    <cellStyle name="Calculation" xfId="839"/>
    <cellStyle name="Calculation 2" xfId="840"/>
    <cellStyle name="Calculation 3" xfId="841"/>
    <cellStyle name="Calculation 4" xfId="842"/>
    <cellStyle name="Calculation 5" xfId="843"/>
    <cellStyle name="Calculation 6" xfId="844"/>
    <cellStyle name="Calculation 7" xfId="845"/>
    <cellStyle name="Calculation 8" xfId="846"/>
    <cellStyle name="Calculation 9" xfId="847"/>
    <cellStyle name="Check Cell" xfId="848"/>
    <cellStyle name="Check Cell 2" xfId="849"/>
    <cellStyle name="Check Cell 3" xfId="850"/>
    <cellStyle name="Check Cell 4" xfId="851"/>
    <cellStyle name="Check Cell 5" xfId="852"/>
    <cellStyle name="Check Cell 6" xfId="853"/>
    <cellStyle name="Check Cell 7" xfId="854"/>
    <cellStyle name="Check Cell 8" xfId="855"/>
    <cellStyle name="Check Cell 9" xfId="856"/>
    <cellStyle name="ColLevel_0" xfId="857"/>
    <cellStyle name="Comma [0]" xfId="858"/>
    <cellStyle name="comma zerodec" xfId="859"/>
    <cellStyle name="Comma_!!!GO" xfId="860"/>
    <cellStyle name="Currency [0]" xfId="861"/>
    <cellStyle name="Currency_!!!GO" xfId="862"/>
    <cellStyle name="Currency1" xfId="863"/>
    <cellStyle name="Date" xfId="864"/>
    <cellStyle name="Dollar (zero dec)" xfId="865"/>
    <cellStyle name="Explanatory Text" xfId="866"/>
    <cellStyle name="Explanatory Text 2" xfId="867"/>
    <cellStyle name="Explanatory Text 3" xfId="868"/>
    <cellStyle name="Explanatory Text 4" xfId="869"/>
    <cellStyle name="Explanatory Text 5" xfId="870"/>
    <cellStyle name="Explanatory Text 6" xfId="871"/>
    <cellStyle name="Explanatory Text 7" xfId="872"/>
    <cellStyle name="Explanatory Text 8" xfId="873"/>
    <cellStyle name="Explanatory Text 9" xfId="874"/>
    <cellStyle name="Fixed" xfId="875"/>
    <cellStyle name="Good" xfId="876"/>
    <cellStyle name="Good 2" xfId="877"/>
    <cellStyle name="Good 3" xfId="878"/>
    <cellStyle name="Good 4" xfId="879"/>
    <cellStyle name="Good 5" xfId="880"/>
    <cellStyle name="Good 6" xfId="881"/>
    <cellStyle name="Good 7" xfId="882"/>
    <cellStyle name="Good 8" xfId="883"/>
    <cellStyle name="Good 9" xfId="884"/>
    <cellStyle name="Grey" xfId="885"/>
    <cellStyle name="Header1" xfId="886"/>
    <cellStyle name="Header2" xfId="887"/>
    <cellStyle name="Heading 1" xfId="888"/>
    <cellStyle name="Heading 1 2" xfId="889"/>
    <cellStyle name="Heading 1 3" xfId="890"/>
    <cellStyle name="Heading 1 4" xfId="891"/>
    <cellStyle name="Heading 1 5" xfId="892"/>
    <cellStyle name="Heading 1 6" xfId="893"/>
    <cellStyle name="Heading 1 7" xfId="894"/>
    <cellStyle name="Heading 1 8" xfId="895"/>
    <cellStyle name="Heading 1 9" xfId="896"/>
    <cellStyle name="Heading 2" xfId="897"/>
    <cellStyle name="Heading 2 2" xfId="898"/>
    <cellStyle name="Heading 2 3" xfId="899"/>
    <cellStyle name="Heading 2 4" xfId="900"/>
    <cellStyle name="Heading 2 5" xfId="901"/>
    <cellStyle name="Heading 2 6" xfId="902"/>
    <cellStyle name="Heading 2 7" xfId="903"/>
    <cellStyle name="Heading 2 8" xfId="904"/>
    <cellStyle name="Heading 2 9" xfId="905"/>
    <cellStyle name="Heading 3" xfId="906"/>
    <cellStyle name="Heading 3 2" xfId="907"/>
    <cellStyle name="Heading 3 3" xfId="908"/>
    <cellStyle name="Heading 3 4" xfId="909"/>
    <cellStyle name="Heading 3 5" xfId="910"/>
    <cellStyle name="Heading 3 6" xfId="911"/>
    <cellStyle name="Heading 3 7" xfId="912"/>
    <cellStyle name="Heading 3 8" xfId="913"/>
    <cellStyle name="Heading 3 9" xfId="914"/>
    <cellStyle name="Heading 4" xfId="915"/>
    <cellStyle name="Heading 4 2" xfId="916"/>
    <cellStyle name="Heading 4 3" xfId="917"/>
    <cellStyle name="Heading 4 4" xfId="918"/>
    <cellStyle name="Heading 4 5" xfId="919"/>
    <cellStyle name="Heading 4 6" xfId="920"/>
    <cellStyle name="Heading 4 7" xfId="921"/>
    <cellStyle name="Heading 4 8" xfId="922"/>
    <cellStyle name="Heading 4 9" xfId="923"/>
    <cellStyle name="HEADING1" xfId="924"/>
    <cellStyle name="HEADING2" xfId="925"/>
    <cellStyle name="Input" xfId="926"/>
    <cellStyle name="Input [yellow]" xfId="927"/>
    <cellStyle name="Input 2" xfId="928"/>
    <cellStyle name="Input 3" xfId="929"/>
    <cellStyle name="Input 4" xfId="930"/>
    <cellStyle name="Input 5" xfId="931"/>
    <cellStyle name="Input 6" xfId="932"/>
    <cellStyle name="Input 7" xfId="933"/>
    <cellStyle name="Input 8" xfId="934"/>
    <cellStyle name="Input 9" xfId="935"/>
    <cellStyle name="Input Cells" xfId="936"/>
    <cellStyle name="Linked Cell" xfId="937"/>
    <cellStyle name="Linked Cell 2" xfId="938"/>
    <cellStyle name="Linked Cell 3" xfId="939"/>
    <cellStyle name="Linked Cell 4" xfId="940"/>
    <cellStyle name="Linked Cell 5" xfId="941"/>
    <cellStyle name="Linked Cell 6" xfId="942"/>
    <cellStyle name="Linked Cell 7" xfId="943"/>
    <cellStyle name="Linked Cell 8" xfId="944"/>
    <cellStyle name="Linked Cell 9" xfId="945"/>
    <cellStyle name="Linked Cells" xfId="946"/>
    <cellStyle name="Millares [0]_96 Risk" xfId="947"/>
    <cellStyle name="Millares_96 Risk" xfId="948"/>
    <cellStyle name="Milliers [0]_!!!GO" xfId="949"/>
    <cellStyle name="Milliers_!!!GO" xfId="950"/>
    <cellStyle name="Moneda [0]_96 Risk" xfId="951"/>
    <cellStyle name="Moneda_96 Risk" xfId="952"/>
    <cellStyle name="Mon閠aire [0]_!!!GO" xfId="953"/>
    <cellStyle name="Mon閠aire_!!!GO" xfId="954"/>
    <cellStyle name="Neutral" xfId="955"/>
    <cellStyle name="Neutral 2" xfId="956"/>
    <cellStyle name="Neutral 3" xfId="957"/>
    <cellStyle name="Neutral 4" xfId="958"/>
    <cellStyle name="Neutral 5" xfId="959"/>
    <cellStyle name="Neutral 6" xfId="960"/>
    <cellStyle name="Neutral 7" xfId="961"/>
    <cellStyle name="Neutral 8" xfId="962"/>
    <cellStyle name="Neutral 9" xfId="963"/>
    <cellStyle name="New Times Roman" xfId="964"/>
    <cellStyle name="no dec" xfId="965"/>
    <cellStyle name="Norma,_laroux_4_营业在建 (2)_E21" xfId="966"/>
    <cellStyle name="Normal - Style1" xfId="967"/>
    <cellStyle name="Normal_!!!GO" xfId="968"/>
    <cellStyle name="Normal_3H8" xfId="969"/>
    <cellStyle name="Note" xfId="970"/>
    <cellStyle name="Note 2" xfId="971"/>
    <cellStyle name="Note 3" xfId="972"/>
    <cellStyle name="Note 4" xfId="973"/>
    <cellStyle name="Note 5" xfId="974"/>
    <cellStyle name="Note 6" xfId="975"/>
    <cellStyle name="Note 7" xfId="976"/>
    <cellStyle name="Note 8" xfId="977"/>
    <cellStyle name="Note 9" xfId="978"/>
    <cellStyle name="Output" xfId="979"/>
    <cellStyle name="Output 2" xfId="980"/>
    <cellStyle name="Output 3" xfId="981"/>
    <cellStyle name="Output 4" xfId="982"/>
    <cellStyle name="Output 5" xfId="983"/>
    <cellStyle name="Output 6" xfId="984"/>
    <cellStyle name="Output 7" xfId="985"/>
    <cellStyle name="Output 8" xfId="986"/>
    <cellStyle name="Output 9" xfId="987"/>
    <cellStyle name="per.style" xfId="988"/>
    <cellStyle name="Percent [2]" xfId="989"/>
    <cellStyle name="Percent_!!!GO" xfId="990"/>
    <cellStyle name="Pourcentage_pldt" xfId="991"/>
    <cellStyle name="PSChar" xfId="992"/>
    <cellStyle name="PSDate" xfId="993"/>
    <cellStyle name="PSDec" xfId="994"/>
    <cellStyle name="PSHeading" xfId="995"/>
    <cellStyle name="PSInt" xfId="996"/>
    <cellStyle name="PSSpacer" xfId="997"/>
    <cellStyle name="RowLevel_0" xfId="998"/>
    <cellStyle name="sstot" xfId="999"/>
    <cellStyle name="Standard_AREAS" xfId="1000"/>
    <cellStyle name="t" xfId="1001"/>
    <cellStyle name="t_HVAC Equipment (3)" xfId="1002"/>
    <cellStyle name="Title" xfId="1003"/>
    <cellStyle name="Title 2" xfId="1004"/>
    <cellStyle name="Title 3" xfId="1005"/>
    <cellStyle name="Title 4" xfId="1006"/>
    <cellStyle name="Title 5" xfId="1007"/>
    <cellStyle name="Title 6" xfId="1008"/>
    <cellStyle name="Title 7" xfId="1009"/>
    <cellStyle name="Title 8" xfId="1010"/>
    <cellStyle name="Title 9" xfId="1011"/>
    <cellStyle name="Total" xfId="1012"/>
    <cellStyle name="Warning Text" xfId="1013"/>
    <cellStyle name="Warning Text 2" xfId="1014"/>
    <cellStyle name="Warning Text 3" xfId="1015"/>
    <cellStyle name="Warning Text 4" xfId="1016"/>
    <cellStyle name="Warning Text 5" xfId="1017"/>
    <cellStyle name="Warning Text 6" xfId="1018"/>
    <cellStyle name="Warning Text 7" xfId="1019"/>
    <cellStyle name="Warning Text 8" xfId="1020"/>
    <cellStyle name="Warning Text 9" xfId="1021"/>
    <cellStyle name="百分比 10" xfId="1022"/>
    <cellStyle name="百分比 10 2" xfId="1023"/>
    <cellStyle name="百分比 2" xfId="1024"/>
    <cellStyle name="百分比 2 2" xfId="1025"/>
    <cellStyle name="百分比 2 3" xfId="1026"/>
    <cellStyle name="百分比 2 4" xfId="1027"/>
    <cellStyle name="百分比 2 5" xfId="1028"/>
    <cellStyle name="百分比 2 6" xfId="1029"/>
    <cellStyle name="百分比 2 7" xfId="1030"/>
    <cellStyle name="百分比 2 8" xfId="1031"/>
    <cellStyle name="百分比 2 9" xfId="1032"/>
    <cellStyle name="百分比 3" xfId="1033"/>
    <cellStyle name="百分比 3 2" xfId="1034"/>
    <cellStyle name="百分比 3 3" xfId="1035"/>
    <cellStyle name="百分比 3 4" xfId="1036"/>
    <cellStyle name="百分比 3 5" xfId="1037"/>
    <cellStyle name="百分比 3 6" xfId="1038"/>
    <cellStyle name="百分比 3 7" xfId="1039"/>
    <cellStyle name="百分比 3 8" xfId="1040"/>
    <cellStyle name="百分比 3 9" xfId="1041"/>
    <cellStyle name="百分比 4" xfId="1042"/>
    <cellStyle name="百分比 4 2" xfId="1043"/>
    <cellStyle name="百分比 4 3" xfId="1044"/>
    <cellStyle name="百分比 4 4" xfId="1045"/>
    <cellStyle name="百分比 4 5" xfId="1046"/>
    <cellStyle name="百分比 4 6" xfId="1047"/>
    <cellStyle name="百分比 4 7" xfId="1048"/>
    <cellStyle name="百分比 4 8" xfId="1049"/>
    <cellStyle name="百分比 4 9" xfId="1050"/>
    <cellStyle name="百分比 5" xfId="1051"/>
    <cellStyle name="百分比 5 2" xfId="1052"/>
    <cellStyle name="百分比 6" xfId="1053"/>
    <cellStyle name="百分比 6 2" xfId="1054"/>
    <cellStyle name="百分比 7" xfId="1055"/>
    <cellStyle name="百分比 7 2" xfId="1056"/>
    <cellStyle name="百分比 8" xfId="1057"/>
    <cellStyle name="百分比 8 2" xfId="1058"/>
    <cellStyle name="百分比 9" xfId="1059"/>
    <cellStyle name="百分比 9 2" xfId="1060"/>
    <cellStyle name="捠壿 [0.00]_Region Orders (2)" xfId="1061"/>
    <cellStyle name="捠壿_Region Orders (2)" xfId="1062"/>
    <cellStyle name="编号" xfId="1063"/>
    <cellStyle name="标题 1 10" xfId="1064"/>
    <cellStyle name="标题 1 2" xfId="1065"/>
    <cellStyle name="标题 1 3" xfId="1066"/>
    <cellStyle name="标题 1 3 2" xfId="1067"/>
    <cellStyle name="标题 1 3 3" xfId="1068"/>
    <cellStyle name="标题 1 3 4" xfId="1069"/>
    <cellStyle name="标题 1 3 5" xfId="1070"/>
    <cellStyle name="标题 1 3 6" xfId="1071"/>
    <cellStyle name="标题 1 3 7" xfId="1072"/>
    <cellStyle name="标题 1 4" xfId="1073"/>
    <cellStyle name="标题 1 4 2" xfId="1074"/>
    <cellStyle name="标题 1 5" xfId="1075"/>
    <cellStyle name="标题 1 5 2" xfId="1076"/>
    <cellStyle name="标题 1 6" xfId="1077"/>
    <cellStyle name="标题 1 6 2" xfId="1078"/>
    <cellStyle name="标题 1 7" xfId="1079"/>
    <cellStyle name="标题 1 7 2" xfId="1080"/>
    <cellStyle name="标题 1 8" xfId="1081"/>
    <cellStyle name="标题 1 8 2" xfId="1082"/>
    <cellStyle name="标题 1 9" xfId="1083"/>
    <cellStyle name="标题 1 9 2" xfId="1084"/>
    <cellStyle name="标题 10" xfId="1085"/>
    <cellStyle name="标题 10 2" xfId="1086"/>
    <cellStyle name="标题 11" xfId="1087"/>
    <cellStyle name="标题 11 2" xfId="1088"/>
    <cellStyle name="标题 12" xfId="1089"/>
    <cellStyle name="标题 12 2" xfId="1090"/>
    <cellStyle name="标题 13" xfId="1091"/>
    <cellStyle name="标题 2 10" xfId="1092"/>
    <cellStyle name="标题 2 2" xfId="1093"/>
    <cellStyle name="标题 2 3" xfId="1094"/>
    <cellStyle name="标题 2 3 2" xfId="1095"/>
    <cellStyle name="标题 2 3 3" xfId="1096"/>
    <cellStyle name="标题 2 3 4" xfId="1097"/>
    <cellStyle name="标题 2 3 5" xfId="1098"/>
    <cellStyle name="标题 2 3 6" xfId="1099"/>
    <cellStyle name="标题 2 3 7" xfId="1100"/>
    <cellStyle name="标题 2 4" xfId="1101"/>
    <cellStyle name="标题 2 4 2" xfId="1102"/>
    <cellStyle name="标题 2 5" xfId="1103"/>
    <cellStyle name="标题 2 5 2" xfId="1104"/>
    <cellStyle name="标题 2 6" xfId="1105"/>
    <cellStyle name="标题 2 6 2" xfId="1106"/>
    <cellStyle name="标题 2 7" xfId="1107"/>
    <cellStyle name="标题 2 7 2" xfId="1108"/>
    <cellStyle name="标题 2 8" xfId="1109"/>
    <cellStyle name="标题 2 8 2" xfId="1110"/>
    <cellStyle name="标题 2 9" xfId="1111"/>
    <cellStyle name="标题 2 9 2" xfId="1112"/>
    <cellStyle name="标题 3 10" xfId="1113"/>
    <cellStyle name="标题 3 2" xfId="1114"/>
    <cellStyle name="标题 3 3" xfId="1115"/>
    <cellStyle name="标题 3 3 2" xfId="1116"/>
    <cellStyle name="标题 3 3 3" xfId="1117"/>
    <cellStyle name="标题 3 3 4" xfId="1118"/>
    <cellStyle name="标题 3 3 5" xfId="1119"/>
    <cellStyle name="标题 3 3 6" xfId="1120"/>
    <cellStyle name="标题 3 3 7" xfId="1121"/>
    <cellStyle name="标题 3 4" xfId="1122"/>
    <cellStyle name="标题 3 4 2" xfId="1123"/>
    <cellStyle name="标题 3 5" xfId="1124"/>
    <cellStyle name="标题 3 5 2" xfId="1125"/>
    <cellStyle name="标题 3 6" xfId="1126"/>
    <cellStyle name="标题 3 6 2" xfId="1127"/>
    <cellStyle name="标题 3 7" xfId="1128"/>
    <cellStyle name="标题 3 7 2" xfId="1129"/>
    <cellStyle name="标题 3 8" xfId="1130"/>
    <cellStyle name="标题 3 8 2" xfId="1131"/>
    <cellStyle name="标题 3 9" xfId="1132"/>
    <cellStyle name="标题 3 9 2" xfId="1133"/>
    <cellStyle name="标题 4 10" xfId="1134"/>
    <cellStyle name="标题 4 2" xfId="1135"/>
    <cellStyle name="标题 4 3" xfId="1136"/>
    <cellStyle name="标题 4 3 2" xfId="1137"/>
    <cellStyle name="标题 4 3 3" xfId="1138"/>
    <cellStyle name="标题 4 3 4" xfId="1139"/>
    <cellStyle name="标题 4 3 5" xfId="1140"/>
    <cellStyle name="标题 4 3 6" xfId="1141"/>
    <cellStyle name="标题 4 3 7" xfId="1142"/>
    <cellStyle name="标题 4 4" xfId="1143"/>
    <cellStyle name="标题 4 4 2" xfId="1144"/>
    <cellStyle name="标题 4 5" xfId="1145"/>
    <cellStyle name="标题 4 5 2" xfId="1146"/>
    <cellStyle name="标题 4 6" xfId="1147"/>
    <cellStyle name="标题 4 6 2" xfId="1148"/>
    <cellStyle name="标题 4 7" xfId="1149"/>
    <cellStyle name="标题 4 7 2" xfId="1150"/>
    <cellStyle name="标题 4 8" xfId="1151"/>
    <cellStyle name="标题 4 8 2" xfId="1152"/>
    <cellStyle name="标题 4 9" xfId="1153"/>
    <cellStyle name="标题 4 9 2" xfId="1154"/>
    <cellStyle name="标题 5" xfId="1155"/>
    <cellStyle name="标题 5 2" xfId="1156"/>
    <cellStyle name="标题 5 3" xfId="1157"/>
    <cellStyle name="标题 5 4" xfId="1158"/>
    <cellStyle name="标题 5 5" xfId="1159"/>
    <cellStyle name="标题 5 6" xfId="1160"/>
    <cellStyle name="标题 5 7" xfId="1161"/>
    <cellStyle name="标题 5 8" xfId="1162"/>
    <cellStyle name="标题 5 9" xfId="1163"/>
    <cellStyle name="标题 6" xfId="1164"/>
    <cellStyle name="标题 6 2" xfId="1165"/>
    <cellStyle name="标题 6 3" xfId="1166"/>
    <cellStyle name="标题 6 4" xfId="1167"/>
    <cellStyle name="标题 6 5" xfId="1168"/>
    <cellStyle name="标题 6 6" xfId="1169"/>
    <cellStyle name="标题 6 7" xfId="1170"/>
    <cellStyle name="标题 7" xfId="1171"/>
    <cellStyle name="标题 7 2" xfId="1172"/>
    <cellStyle name="标题 8" xfId="1173"/>
    <cellStyle name="标题 8 2" xfId="1174"/>
    <cellStyle name="标题 9" xfId="1175"/>
    <cellStyle name="标题 9 2" xfId="1176"/>
    <cellStyle name="标题1" xfId="1177"/>
    <cellStyle name="表标题" xfId="1178"/>
    <cellStyle name="表标题 2" xfId="1179"/>
    <cellStyle name="表标题 3" xfId="1180"/>
    <cellStyle name="表标题 4" xfId="1181"/>
    <cellStyle name="表标题 5" xfId="1182"/>
    <cellStyle name="表标题 6" xfId="1183"/>
    <cellStyle name="表标题 7" xfId="1184"/>
    <cellStyle name="表标题 8" xfId="1185"/>
    <cellStyle name="表标题 9" xfId="1186"/>
    <cellStyle name="部门" xfId="1187"/>
    <cellStyle name="差 10" xfId="1188"/>
    <cellStyle name="差 2" xfId="1189"/>
    <cellStyle name="差 3" xfId="1190"/>
    <cellStyle name="差 3 2" xfId="1191"/>
    <cellStyle name="差 3 3" xfId="1192"/>
    <cellStyle name="差 3 4" xfId="1193"/>
    <cellStyle name="差 3 5" xfId="1194"/>
    <cellStyle name="差 3 6" xfId="1195"/>
    <cellStyle name="差 3 7" xfId="1196"/>
    <cellStyle name="差 4" xfId="1197"/>
    <cellStyle name="差 4 2" xfId="1198"/>
    <cellStyle name="差 5" xfId="1199"/>
    <cellStyle name="差 5 2" xfId="1200"/>
    <cellStyle name="差 6" xfId="1201"/>
    <cellStyle name="差 6 2" xfId="1202"/>
    <cellStyle name="差 7" xfId="1203"/>
    <cellStyle name="差 7 2" xfId="1204"/>
    <cellStyle name="差 8" xfId="1205"/>
    <cellStyle name="差 8 2" xfId="1206"/>
    <cellStyle name="差 9" xfId="1207"/>
    <cellStyle name="差 9 2" xfId="1208"/>
    <cellStyle name="差_~4190974" xfId="1209"/>
    <cellStyle name="差_~4190974 2" xfId="1210"/>
    <cellStyle name="差_~4190974 3" xfId="1211"/>
    <cellStyle name="差_~4190974 4" xfId="1212"/>
    <cellStyle name="差_~4190974 5" xfId="1213"/>
    <cellStyle name="差_~4190974 6" xfId="1214"/>
    <cellStyle name="差_~4190974 7" xfId="1215"/>
    <cellStyle name="差_~4190974 8" xfId="1216"/>
    <cellStyle name="差_~4190974 9" xfId="1217"/>
    <cellStyle name="差_~5676413" xfId="1218"/>
    <cellStyle name="差_~5676413 2" xfId="1219"/>
    <cellStyle name="差_~5676413 3" xfId="1220"/>
    <cellStyle name="差_~5676413 4" xfId="1221"/>
    <cellStyle name="差_~5676413 5" xfId="1222"/>
    <cellStyle name="差_~5676413 6" xfId="1223"/>
    <cellStyle name="差_~5676413 7" xfId="1224"/>
    <cellStyle name="差_~5676413 8" xfId="1225"/>
    <cellStyle name="差_~5676413 9" xfId="1226"/>
    <cellStyle name="差_00省级(打印)" xfId="1227"/>
    <cellStyle name="差_00省级(打印) 2" xfId="1228"/>
    <cellStyle name="差_00省级(打印) 3" xfId="1229"/>
    <cellStyle name="差_00省级(打印) 4" xfId="1230"/>
    <cellStyle name="差_00省级(打印) 5" xfId="1231"/>
    <cellStyle name="差_00省级(打印) 6" xfId="1232"/>
    <cellStyle name="差_00省级(打印) 7" xfId="1233"/>
    <cellStyle name="差_00省级(打印) 8" xfId="1234"/>
    <cellStyle name="差_00省级(打印) 9" xfId="1235"/>
    <cellStyle name="差_00省级(定稿)" xfId="1236"/>
    <cellStyle name="差_00省级(定稿) 2" xfId="1237"/>
    <cellStyle name="差_00省级(定稿) 3" xfId="1238"/>
    <cellStyle name="差_00省级(定稿) 4" xfId="1239"/>
    <cellStyle name="差_00省级(定稿) 5" xfId="1240"/>
    <cellStyle name="差_00省级(定稿) 6" xfId="1241"/>
    <cellStyle name="差_00省级(定稿) 7" xfId="1242"/>
    <cellStyle name="差_00省级(定稿) 8" xfId="1243"/>
    <cellStyle name="差_00省级(定稿) 9" xfId="1244"/>
    <cellStyle name="差_03昭通" xfId="1245"/>
    <cellStyle name="差_03昭通 2" xfId="1246"/>
    <cellStyle name="差_03昭通 3" xfId="1247"/>
    <cellStyle name="差_03昭通 4" xfId="1248"/>
    <cellStyle name="差_03昭通 5" xfId="1249"/>
    <cellStyle name="差_03昭通 6" xfId="1250"/>
    <cellStyle name="差_03昭通 7" xfId="1251"/>
    <cellStyle name="差_03昭通 8" xfId="1252"/>
    <cellStyle name="差_03昭通 9" xfId="1253"/>
    <cellStyle name="差_0502通海县" xfId="1254"/>
    <cellStyle name="差_0502通海县 2" xfId="1255"/>
    <cellStyle name="差_0502通海县 3" xfId="1256"/>
    <cellStyle name="差_0502通海县 4" xfId="1257"/>
    <cellStyle name="差_0502通海县 5" xfId="1258"/>
    <cellStyle name="差_0502通海县 6" xfId="1259"/>
    <cellStyle name="差_0502通海县 7" xfId="1260"/>
    <cellStyle name="差_0502通海县 8" xfId="1261"/>
    <cellStyle name="差_0502通海县 9" xfId="1262"/>
    <cellStyle name="差_05玉溪" xfId="1263"/>
    <cellStyle name="差_05玉溪 2" xfId="1264"/>
    <cellStyle name="差_05玉溪 3" xfId="1265"/>
    <cellStyle name="差_05玉溪 4" xfId="1266"/>
    <cellStyle name="差_05玉溪 5" xfId="1267"/>
    <cellStyle name="差_05玉溪 6" xfId="1268"/>
    <cellStyle name="差_05玉溪 7" xfId="1269"/>
    <cellStyle name="差_05玉溪 8" xfId="1270"/>
    <cellStyle name="差_05玉溪 9" xfId="1271"/>
    <cellStyle name="差_0605石屏县" xfId="1272"/>
    <cellStyle name="差_0605石屏县 2" xfId="1273"/>
    <cellStyle name="差_0605石屏县 3" xfId="1274"/>
    <cellStyle name="差_0605石屏县 4" xfId="1275"/>
    <cellStyle name="差_0605石屏县 5" xfId="1276"/>
    <cellStyle name="差_0605石屏县 6" xfId="1277"/>
    <cellStyle name="差_0605石屏县 7" xfId="1278"/>
    <cellStyle name="差_0605石屏县 8" xfId="1279"/>
    <cellStyle name="差_0605石屏县 9" xfId="1280"/>
    <cellStyle name="差_1003牟定县" xfId="1281"/>
    <cellStyle name="差_1003牟定县 2" xfId="1282"/>
    <cellStyle name="差_1003牟定县 3" xfId="1283"/>
    <cellStyle name="差_1003牟定县 4" xfId="1284"/>
    <cellStyle name="差_1003牟定县 5" xfId="1285"/>
    <cellStyle name="差_1003牟定县 6" xfId="1286"/>
    <cellStyle name="差_1003牟定县 7" xfId="1287"/>
    <cellStyle name="差_1003牟定县 8" xfId="1288"/>
    <cellStyle name="差_1003牟定县 9" xfId="1289"/>
    <cellStyle name="差_1110洱源县" xfId="1290"/>
    <cellStyle name="差_1110洱源县 2" xfId="1291"/>
    <cellStyle name="差_1110洱源县 3" xfId="1292"/>
    <cellStyle name="差_1110洱源县 4" xfId="1293"/>
    <cellStyle name="差_1110洱源县 5" xfId="1294"/>
    <cellStyle name="差_1110洱源县 6" xfId="1295"/>
    <cellStyle name="差_1110洱源县 7" xfId="1296"/>
    <cellStyle name="差_1110洱源县 8" xfId="1297"/>
    <cellStyle name="差_1110洱源县 9" xfId="1298"/>
    <cellStyle name="差_11大理" xfId="1299"/>
    <cellStyle name="差_11大理 2" xfId="1300"/>
    <cellStyle name="差_11大理 3" xfId="1301"/>
    <cellStyle name="差_11大理 4" xfId="1302"/>
    <cellStyle name="差_11大理 5" xfId="1303"/>
    <cellStyle name="差_11大理 6" xfId="1304"/>
    <cellStyle name="差_11大理 7" xfId="1305"/>
    <cellStyle name="差_11大理 8" xfId="1306"/>
    <cellStyle name="差_11大理 9" xfId="1307"/>
    <cellStyle name="差_2、土地面积、人口、粮食产量基本情况" xfId="1308"/>
    <cellStyle name="差_2、土地面积、人口、粮食产量基本情况 2" xfId="1309"/>
    <cellStyle name="差_2、土地面积、人口、粮食产量基本情况 3" xfId="1310"/>
    <cellStyle name="差_2、土地面积、人口、粮食产量基本情况 4" xfId="1311"/>
    <cellStyle name="差_2、土地面积、人口、粮食产量基本情况 5" xfId="1312"/>
    <cellStyle name="差_2、土地面积、人口、粮食产量基本情况 6" xfId="1313"/>
    <cellStyle name="差_2、土地面积、人口、粮食产量基本情况 7" xfId="1314"/>
    <cellStyle name="差_2、土地面积、人口、粮食产量基本情况 8" xfId="1315"/>
    <cellStyle name="差_2、土地面积、人口、粮食产量基本情况 9" xfId="1316"/>
    <cellStyle name="差_2006年分析表" xfId="1317"/>
    <cellStyle name="差_2006年基础数据" xfId="1318"/>
    <cellStyle name="差_2006年基础数据 2" xfId="1319"/>
    <cellStyle name="差_2006年基础数据 3" xfId="1320"/>
    <cellStyle name="差_2006年基础数据 4" xfId="1321"/>
    <cellStyle name="差_2006年基础数据 5" xfId="1322"/>
    <cellStyle name="差_2006年基础数据 6" xfId="1323"/>
    <cellStyle name="差_2006年基础数据 7" xfId="1324"/>
    <cellStyle name="差_2006年基础数据 8" xfId="1325"/>
    <cellStyle name="差_2006年基础数据 9" xfId="1326"/>
    <cellStyle name="差_2006年全省财力计算表（中央、决算）" xfId="1327"/>
    <cellStyle name="差_2006年全省财力计算表（中央、决算） 2" xfId="1328"/>
    <cellStyle name="差_2006年全省财力计算表（中央、决算） 3" xfId="1329"/>
    <cellStyle name="差_2006年全省财力计算表（中央、决算） 4" xfId="1330"/>
    <cellStyle name="差_2006年全省财力计算表（中央、决算） 5" xfId="1331"/>
    <cellStyle name="差_2006年全省财力计算表（中央、决算） 6" xfId="1332"/>
    <cellStyle name="差_2006年全省财力计算表（中央、决算） 7" xfId="1333"/>
    <cellStyle name="差_2006年全省财力计算表（中央、决算） 8" xfId="1334"/>
    <cellStyle name="差_2006年全省财力计算表（中央、决算） 9" xfId="1335"/>
    <cellStyle name="差_2006年水利统计指标统计表" xfId="1336"/>
    <cellStyle name="差_2006年水利统计指标统计表 2" xfId="1337"/>
    <cellStyle name="差_2006年水利统计指标统计表 3" xfId="1338"/>
    <cellStyle name="差_2006年水利统计指标统计表 4" xfId="1339"/>
    <cellStyle name="差_2006年水利统计指标统计表 5" xfId="1340"/>
    <cellStyle name="差_2006年水利统计指标统计表 6" xfId="1341"/>
    <cellStyle name="差_2006年水利统计指标统计表 7" xfId="1342"/>
    <cellStyle name="差_2006年水利统计指标统计表 8" xfId="1343"/>
    <cellStyle name="差_2006年水利统计指标统计表 9" xfId="1344"/>
    <cellStyle name="差_2006年在职人员情况" xfId="1345"/>
    <cellStyle name="差_2006年在职人员情况 2" xfId="1346"/>
    <cellStyle name="差_2006年在职人员情况 3" xfId="1347"/>
    <cellStyle name="差_2006年在职人员情况 4" xfId="1348"/>
    <cellStyle name="差_2006年在职人员情况 5" xfId="1349"/>
    <cellStyle name="差_2006年在职人员情况 6" xfId="1350"/>
    <cellStyle name="差_2006年在职人员情况 7" xfId="1351"/>
    <cellStyle name="差_2006年在职人员情况 8" xfId="1352"/>
    <cellStyle name="差_2006年在职人员情况 9" xfId="1353"/>
    <cellStyle name="差_2007年检察院案件数" xfId="1354"/>
    <cellStyle name="差_2007年检察院案件数 2" xfId="1355"/>
    <cellStyle name="差_2007年检察院案件数 3" xfId="1356"/>
    <cellStyle name="差_2007年检察院案件数 4" xfId="1357"/>
    <cellStyle name="差_2007年检察院案件数 5" xfId="1358"/>
    <cellStyle name="差_2007年检察院案件数 6" xfId="1359"/>
    <cellStyle name="差_2007年检察院案件数 7" xfId="1360"/>
    <cellStyle name="差_2007年检察院案件数 8" xfId="1361"/>
    <cellStyle name="差_2007年检察院案件数 9" xfId="1362"/>
    <cellStyle name="差_2007年可用财力" xfId="1363"/>
    <cellStyle name="差_2007年人员分部门统计表" xfId="1364"/>
    <cellStyle name="差_2007年人员分部门统计表 2" xfId="1365"/>
    <cellStyle name="差_2007年人员分部门统计表 3" xfId="1366"/>
    <cellStyle name="差_2007年人员分部门统计表 4" xfId="1367"/>
    <cellStyle name="差_2007年人员分部门统计表 5" xfId="1368"/>
    <cellStyle name="差_2007年人员分部门统计表 6" xfId="1369"/>
    <cellStyle name="差_2007年人员分部门统计表 7" xfId="1370"/>
    <cellStyle name="差_2007年人员分部门统计表 8" xfId="1371"/>
    <cellStyle name="差_2007年人员分部门统计表 9" xfId="1372"/>
    <cellStyle name="差_2007年政法部门业务指标" xfId="1373"/>
    <cellStyle name="差_2007年政法部门业务指标 2" xfId="1374"/>
    <cellStyle name="差_2007年政法部门业务指标 3" xfId="1375"/>
    <cellStyle name="差_2007年政法部门业务指标 4" xfId="1376"/>
    <cellStyle name="差_2007年政法部门业务指标 5" xfId="1377"/>
    <cellStyle name="差_2007年政法部门业务指标 6" xfId="1378"/>
    <cellStyle name="差_2007年政法部门业务指标 7" xfId="1379"/>
    <cellStyle name="差_2007年政法部门业务指标 8" xfId="1380"/>
    <cellStyle name="差_2007年政法部门业务指标 9" xfId="1381"/>
    <cellStyle name="差_2008年县级公安保障标准落实奖励经费分配测算" xfId="1382"/>
    <cellStyle name="差_2008云南省分县市中小学教职工统计表（教育厅提供）" xfId="1383"/>
    <cellStyle name="差_2008云南省分县市中小学教职工统计表（教育厅提供） 2" xfId="1384"/>
    <cellStyle name="差_2008云南省分县市中小学教职工统计表（教育厅提供） 3" xfId="1385"/>
    <cellStyle name="差_2008云南省分县市中小学教职工统计表（教育厅提供） 4" xfId="1386"/>
    <cellStyle name="差_2008云南省分县市中小学教职工统计表（教育厅提供） 5" xfId="1387"/>
    <cellStyle name="差_2008云南省分县市中小学教职工统计表（教育厅提供） 6" xfId="1388"/>
    <cellStyle name="差_2008云南省分县市中小学教职工统计表（教育厅提供） 7" xfId="1389"/>
    <cellStyle name="差_2008云南省分县市中小学教职工统计表（教育厅提供） 8" xfId="1390"/>
    <cellStyle name="差_2008云南省分县市中小学教职工统计表（教育厅提供） 9" xfId="1391"/>
    <cellStyle name="差_2009年一般性转移支付标准工资" xfId="1392"/>
    <cellStyle name="差_2009年一般性转移支付标准工资 2" xfId="1393"/>
    <cellStyle name="差_2009年一般性转移支付标准工资 3" xfId="1394"/>
    <cellStyle name="差_2009年一般性转移支付标准工资 4" xfId="1395"/>
    <cellStyle name="差_2009年一般性转移支付标准工资 5" xfId="1396"/>
    <cellStyle name="差_2009年一般性转移支付标准工资 6" xfId="1397"/>
    <cellStyle name="差_2009年一般性转移支付标准工资 7" xfId="1398"/>
    <cellStyle name="差_2009年一般性转移支付标准工资 8" xfId="1399"/>
    <cellStyle name="差_2009年一般性转移支付标准工资 9" xfId="1400"/>
    <cellStyle name="差_2009年一般性转移支付标准工资_~4190974" xfId="1401"/>
    <cellStyle name="差_2009年一般性转移支付标准工资_~4190974 2" xfId="1402"/>
    <cellStyle name="差_2009年一般性转移支付标准工资_~4190974 3" xfId="1403"/>
    <cellStyle name="差_2009年一般性转移支付标准工资_~4190974 4" xfId="1404"/>
    <cellStyle name="差_2009年一般性转移支付标准工资_~4190974 5" xfId="1405"/>
    <cellStyle name="差_2009年一般性转移支付标准工资_~4190974 6" xfId="1406"/>
    <cellStyle name="差_2009年一般性转移支付标准工资_~4190974 7" xfId="1407"/>
    <cellStyle name="差_2009年一般性转移支付标准工资_~4190974 8" xfId="1408"/>
    <cellStyle name="差_2009年一般性转移支付标准工资_~4190974 9" xfId="1409"/>
    <cellStyle name="差_2009年一般性转移支付标准工资_~5676413" xfId="1410"/>
    <cellStyle name="差_2009年一般性转移支付标准工资_~5676413 2" xfId="1411"/>
    <cellStyle name="差_2009年一般性转移支付标准工资_~5676413 3" xfId="1412"/>
    <cellStyle name="差_2009年一般性转移支付标准工资_~5676413 4" xfId="1413"/>
    <cellStyle name="差_2009年一般性转移支付标准工资_~5676413 5" xfId="1414"/>
    <cellStyle name="差_2009年一般性转移支付标准工资_~5676413 6" xfId="1415"/>
    <cellStyle name="差_2009年一般性转移支付标准工资_~5676413 7" xfId="1416"/>
    <cellStyle name="差_2009年一般性转移支付标准工资_~5676413 8" xfId="1417"/>
    <cellStyle name="差_2009年一般性转移支付标准工资_~5676413 9" xfId="1418"/>
    <cellStyle name="差_2009年一般性转移支付标准工资_不用软件计算9.1不考虑经费管理评价xl" xfId="1419"/>
    <cellStyle name="差_2009年一般性转移支付标准工资_不用软件计算9.1不考虑经费管理评价xl 2" xfId="1420"/>
    <cellStyle name="差_2009年一般性转移支付标准工资_不用软件计算9.1不考虑经费管理评价xl 3" xfId="1421"/>
    <cellStyle name="差_2009年一般性转移支付标准工资_不用软件计算9.1不考虑经费管理评价xl 4" xfId="1422"/>
    <cellStyle name="差_2009年一般性转移支付标准工资_不用软件计算9.1不考虑经费管理评价xl 5" xfId="1423"/>
    <cellStyle name="差_2009年一般性转移支付标准工资_不用软件计算9.1不考虑经费管理评价xl 6" xfId="1424"/>
    <cellStyle name="差_2009年一般性转移支付标准工资_不用软件计算9.1不考虑经费管理评价xl 7" xfId="1425"/>
    <cellStyle name="差_2009年一般性转移支付标准工资_不用软件计算9.1不考虑经费管理评价xl 8" xfId="1426"/>
    <cellStyle name="差_2009年一般性转移支付标准工资_不用软件计算9.1不考虑经费管理评价xl 9" xfId="1427"/>
    <cellStyle name="差_2009年一般性转移支付标准工资_地方配套按人均增幅控制8.30xl" xfId="1428"/>
    <cellStyle name="差_2009年一般性转移支付标准工资_地方配套按人均增幅控制8.30xl 2" xfId="1429"/>
    <cellStyle name="差_2009年一般性转移支付标准工资_地方配套按人均增幅控制8.30xl 3" xfId="1430"/>
    <cellStyle name="差_2009年一般性转移支付标准工资_地方配套按人均增幅控制8.30xl 4" xfId="1431"/>
    <cellStyle name="差_2009年一般性转移支付标准工资_地方配套按人均增幅控制8.30xl 5" xfId="1432"/>
    <cellStyle name="差_2009年一般性转移支付标准工资_地方配套按人均增幅控制8.30xl 6" xfId="1433"/>
    <cellStyle name="差_2009年一般性转移支付标准工资_地方配套按人均增幅控制8.30xl 7" xfId="1434"/>
    <cellStyle name="差_2009年一般性转移支付标准工资_地方配套按人均增幅控制8.30xl 8" xfId="1435"/>
    <cellStyle name="差_2009年一般性转移支付标准工资_地方配套按人均增幅控制8.30xl 9" xfId="1436"/>
    <cellStyle name="差_2009年一般性转移支付标准工资_地方配套按人均增幅控制8.30一般预算平均增幅、人均可用财力平均增幅两次控制、社会治安系数调整、案件数调整xl" xfId="1437"/>
    <cellStyle name="差_2009年一般性转移支付标准工资_地方配套按人均增幅控制8.30一般预算平均增幅、人均可用财力平均增幅两次控制、社会治安系数调整、案件数调整xl 2" xfId="1438"/>
    <cellStyle name="差_2009年一般性转移支付标准工资_地方配套按人均增幅控制8.30一般预算平均增幅、人均可用财力平均增幅两次控制、社会治安系数调整、案件数调整xl 3" xfId="1439"/>
    <cellStyle name="差_2009年一般性转移支付标准工资_地方配套按人均增幅控制8.30一般预算平均增幅、人均可用财力平均增幅两次控制、社会治安系数调整、案件数调整xl 4" xfId="1440"/>
    <cellStyle name="差_2009年一般性转移支付标准工资_地方配套按人均增幅控制8.30一般预算平均增幅、人均可用财力平均增幅两次控制、社会治安系数调整、案件数调整xl 5" xfId="1441"/>
    <cellStyle name="差_2009年一般性转移支付标准工资_地方配套按人均增幅控制8.30一般预算平均增幅、人均可用财力平均增幅两次控制、社会治安系数调整、案件数调整xl 6" xfId="1442"/>
    <cellStyle name="差_2009年一般性转移支付标准工资_地方配套按人均增幅控制8.30一般预算平均增幅、人均可用财力平均增幅两次控制、社会治安系数调整、案件数调整xl 7" xfId="1443"/>
    <cellStyle name="差_2009年一般性转移支付标准工资_地方配套按人均增幅控制8.30一般预算平均增幅、人均可用财力平均增幅两次控制、社会治安系数调整、案件数调整xl 8" xfId="1444"/>
    <cellStyle name="差_2009年一般性转移支付标准工资_地方配套按人均增幅控制8.30一般预算平均增幅、人均可用财力平均增幅两次控制、社会治安系数调整、案件数调整xl 9" xfId="1445"/>
    <cellStyle name="差_2009年一般性转移支付标准工资_地方配套按人均增幅控制8.31（调整结案率后）xl" xfId="1446"/>
    <cellStyle name="差_2009年一般性转移支付标准工资_地方配套按人均增幅控制8.31（调整结案率后）xl 2" xfId="1447"/>
    <cellStyle name="差_2009年一般性转移支付标准工资_地方配套按人均增幅控制8.31（调整结案率后）xl 3" xfId="1448"/>
    <cellStyle name="差_2009年一般性转移支付标准工资_地方配套按人均增幅控制8.31（调整结案率后）xl 4" xfId="1449"/>
    <cellStyle name="差_2009年一般性转移支付标准工资_地方配套按人均增幅控制8.31（调整结案率后）xl 5" xfId="1450"/>
    <cellStyle name="差_2009年一般性转移支付标准工资_地方配套按人均增幅控制8.31（调整结案率后）xl 6" xfId="1451"/>
    <cellStyle name="差_2009年一般性转移支付标准工资_地方配套按人均增幅控制8.31（调整结案率后）xl 7" xfId="1452"/>
    <cellStyle name="差_2009年一般性转移支付标准工资_地方配套按人均增幅控制8.31（调整结案率后）xl 8" xfId="1453"/>
    <cellStyle name="差_2009年一般性转移支付标准工资_地方配套按人均增幅控制8.31（调整结案率后）xl 9" xfId="1454"/>
    <cellStyle name="差_2009年一般性转移支付标准工资_奖励补助测算5.22测试" xfId="1455"/>
    <cellStyle name="差_2009年一般性转移支付标准工资_奖励补助测算5.22测试 2" xfId="1456"/>
    <cellStyle name="差_2009年一般性转移支付标准工资_奖励补助测算5.22测试 3" xfId="1457"/>
    <cellStyle name="差_2009年一般性转移支付标准工资_奖励补助测算5.22测试 4" xfId="1458"/>
    <cellStyle name="差_2009年一般性转移支付标准工资_奖励补助测算5.22测试 5" xfId="1459"/>
    <cellStyle name="差_2009年一般性转移支付标准工资_奖励补助测算5.22测试 6" xfId="1460"/>
    <cellStyle name="差_2009年一般性转移支付标准工资_奖励补助测算5.22测试 7" xfId="1461"/>
    <cellStyle name="差_2009年一般性转移支付标准工资_奖励补助测算5.22测试 8" xfId="1462"/>
    <cellStyle name="差_2009年一般性转移支付标准工资_奖励补助测算5.22测试 9" xfId="1463"/>
    <cellStyle name="差_2009年一般性转移支付标准工资_奖励补助测算5.23新" xfId="1464"/>
    <cellStyle name="差_2009年一般性转移支付标准工资_奖励补助测算5.23新 2" xfId="1465"/>
    <cellStyle name="差_2009年一般性转移支付标准工资_奖励补助测算5.23新 3" xfId="1466"/>
    <cellStyle name="差_2009年一般性转移支付标准工资_奖励补助测算5.23新 4" xfId="1467"/>
    <cellStyle name="差_2009年一般性转移支付标准工资_奖励补助测算5.23新 5" xfId="1468"/>
    <cellStyle name="差_2009年一般性转移支付标准工资_奖励补助测算5.23新 6" xfId="1469"/>
    <cellStyle name="差_2009年一般性转移支付标准工资_奖励补助测算5.23新 7" xfId="1470"/>
    <cellStyle name="差_2009年一般性转移支付标准工资_奖励补助测算5.23新 8" xfId="1471"/>
    <cellStyle name="差_2009年一般性转移支付标准工资_奖励补助测算5.23新 9" xfId="1472"/>
    <cellStyle name="差_2009年一般性转移支付标准工资_奖励补助测算5.24冯铸" xfId="1473"/>
    <cellStyle name="差_2009年一般性转移支付标准工资_奖励补助测算5.24冯铸 2" xfId="1474"/>
    <cellStyle name="差_2009年一般性转移支付标准工资_奖励补助测算5.24冯铸 3" xfId="1475"/>
    <cellStyle name="差_2009年一般性转移支付标准工资_奖励补助测算5.24冯铸 4" xfId="1476"/>
    <cellStyle name="差_2009年一般性转移支付标准工资_奖励补助测算5.24冯铸 5" xfId="1477"/>
    <cellStyle name="差_2009年一般性转移支付标准工资_奖励补助测算5.24冯铸 6" xfId="1478"/>
    <cellStyle name="差_2009年一般性转移支付标准工资_奖励补助测算5.24冯铸 7" xfId="1479"/>
    <cellStyle name="差_2009年一般性转移支付标准工资_奖励补助测算5.24冯铸 8" xfId="1480"/>
    <cellStyle name="差_2009年一般性转移支付标准工资_奖励补助测算5.24冯铸 9" xfId="1481"/>
    <cellStyle name="差_2009年一般性转移支付标准工资_奖励补助测算7.23" xfId="1482"/>
    <cellStyle name="差_2009年一般性转移支付标准工资_奖励补助测算7.23 2" xfId="1483"/>
    <cellStyle name="差_2009年一般性转移支付标准工资_奖励补助测算7.23 3" xfId="1484"/>
    <cellStyle name="差_2009年一般性转移支付标准工资_奖励补助测算7.23 4" xfId="1485"/>
    <cellStyle name="差_2009年一般性转移支付标准工资_奖励补助测算7.23 5" xfId="1486"/>
    <cellStyle name="差_2009年一般性转移支付标准工资_奖励补助测算7.23 6" xfId="1487"/>
    <cellStyle name="差_2009年一般性转移支付标准工资_奖励补助测算7.23 7" xfId="1488"/>
    <cellStyle name="差_2009年一般性转移支付标准工资_奖励补助测算7.23 8" xfId="1489"/>
    <cellStyle name="差_2009年一般性转移支付标准工资_奖励补助测算7.23 9" xfId="1490"/>
    <cellStyle name="差_2009年一般性转移支付标准工资_奖励补助测算7.25" xfId="1491"/>
    <cellStyle name="差_2009年一般性转移支付标准工资_奖励补助测算7.25 (version 1) (version 1)" xfId="1492"/>
    <cellStyle name="差_2009年一般性转移支付标准工资_奖励补助测算7.25 (version 1) (version 1) 2" xfId="1493"/>
    <cellStyle name="差_2009年一般性转移支付标准工资_奖励补助测算7.25 (version 1) (version 1) 3" xfId="1494"/>
    <cellStyle name="差_2009年一般性转移支付标准工资_奖励补助测算7.25 (version 1) (version 1) 4" xfId="1495"/>
    <cellStyle name="差_2009年一般性转移支付标准工资_奖励补助测算7.25 (version 1) (version 1) 5" xfId="1496"/>
    <cellStyle name="差_2009年一般性转移支付标准工资_奖励补助测算7.25 (version 1) (version 1) 6" xfId="1497"/>
    <cellStyle name="差_2009年一般性转移支付标准工资_奖励补助测算7.25 (version 1) (version 1) 7" xfId="1498"/>
    <cellStyle name="差_2009年一般性转移支付标准工资_奖励补助测算7.25 (version 1) (version 1) 8" xfId="1499"/>
    <cellStyle name="差_2009年一般性转移支付标准工资_奖励补助测算7.25 (version 1) (version 1) 9" xfId="1500"/>
    <cellStyle name="差_2009年一般性转移支付标准工资_奖励补助测算7.25 2" xfId="1501"/>
    <cellStyle name="差_2009年一般性转移支付标准工资_奖励补助测算7.25 3" xfId="1502"/>
    <cellStyle name="差_2009年一般性转移支付标准工资_奖励补助测算7.25 4" xfId="1503"/>
    <cellStyle name="差_2009年一般性转移支付标准工资_奖励补助测算7.25 5" xfId="1504"/>
    <cellStyle name="差_2009年一般性转移支付标准工资_奖励补助测算7.25 6" xfId="1505"/>
    <cellStyle name="差_2009年一般性转移支付标准工资_奖励补助测算7.25 7" xfId="1506"/>
    <cellStyle name="差_2009年一般性转移支付标准工资_奖励补助测算7.25 8" xfId="1507"/>
    <cellStyle name="差_2009年一般性转移支付标准工资_奖励补助测算7.25 9" xfId="1508"/>
    <cellStyle name="差_530623_2006年县级财政报表附表" xfId="1509"/>
    <cellStyle name="差_530623_2006年县级财政报表附表 2" xfId="1510"/>
    <cellStyle name="差_530623_2006年县级财政报表附表 3" xfId="1511"/>
    <cellStyle name="差_530623_2006年县级财政报表附表 4" xfId="1512"/>
    <cellStyle name="差_530623_2006年县级财政报表附表 5" xfId="1513"/>
    <cellStyle name="差_530623_2006年县级财政报表附表 6" xfId="1514"/>
    <cellStyle name="差_530623_2006年县级财政报表附表 7" xfId="1515"/>
    <cellStyle name="差_530623_2006年县级财政报表附表 8" xfId="1516"/>
    <cellStyle name="差_530623_2006年县级财政报表附表 9" xfId="1517"/>
    <cellStyle name="差_530629_2006年县级财政报表附表" xfId="1518"/>
    <cellStyle name="差_530629_2006年县级财政报表附表 2" xfId="1519"/>
    <cellStyle name="差_530629_2006年县级财政报表附表 3" xfId="1520"/>
    <cellStyle name="差_530629_2006年县级财政报表附表 4" xfId="1521"/>
    <cellStyle name="差_530629_2006年县级财政报表附表 5" xfId="1522"/>
    <cellStyle name="差_530629_2006年县级财政报表附表 6" xfId="1523"/>
    <cellStyle name="差_530629_2006年县级财政报表附表 7" xfId="1524"/>
    <cellStyle name="差_530629_2006年县级财政报表附表 8" xfId="1525"/>
    <cellStyle name="差_530629_2006年县级财政报表附表 9" xfId="1526"/>
    <cellStyle name="差_5334_2006年迪庆县级财政报表附表" xfId="1527"/>
    <cellStyle name="差_5334_2006年迪庆县级财政报表附表 2" xfId="1528"/>
    <cellStyle name="差_5334_2006年迪庆县级财政报表附表 3" xfId="1529"/>
    <cellStyle name="差_5334_2006年迪庆县级财政报表附表 4" xfId="1530"/>
    <cellStyle name="差_5334_2006年迪庆县级财政报表附表 5" xfId="1531"/>
    <cellStyle name="差_5334_2006年迪庆县级财政报表附表 6" xfId="1532"/>
    <cellStyle name="差_5334_2006年迪庆县级财政报表附表 7" xfId="1533"/>
    <cellStyle name="差_5334_2006年迪庆县级财政报表附表 8" xfId="1534"/>
    <cellStyle name="差_5334_2006年迪庆县级财政报表附表 9" xfId="1535"/>
    <cellStyle name="差_Book1" xfId="1536"/>
    <cellStyle name="差_Book1 2" xfId="1537"/>
    <cellStyle name="差_Book1 3" xfId="1538"/>
    <cellStyle name="差_Book1 4" xfId="1539"/>
    <cellStyle name="差_Book1 5" xfId="1540"/>
    <cellStyle name="差_Book1 6" xfId="1541"/>
    <cellStyle name="差_Book1 7" xfId="1542"/>
    <cellStyle name="差_Book1 8" xfId="1543"/>
    <cellStyle name="差_Book1 9" xfId="1544"/>
    <cellStyle name="差_Book1_1" xfId="1545"/>
    <cellStyle name="差_Book1_1 2" xfId="1546"/>
    <cellStyle name="差_Book1_1 3" xfId="1547"/>
    <cellStyle name="差_Book1_1 4" xfId="1548"/>
    <cellStyle name="差_Book1_1 5" xfId="1549"/>
    <cellStyle name="差_Book1_1 6" xfId="1550"/>
    <cellStyle name="差_Book1_1 7" xfId="1551"/>
    <cellStyle name="差_Book1_1 8" xfId="1552"/>
    <cellStyle name="差_Book1_1 9" xfId="1553"/>
    <cellStyle name="差_Book2" xfId="1554"/>
    <cellStyle name="差_Book2 2" xfId="1555"/>
    <cellStyle name="差_Book2 3" xfId="1556"/>
    <cellStyle name="差_Book2 4" xfId="1557"/>
    <cellStyle name="差_Book2 5" xfId="1558"/>
    <cellStyle name="差_Book2 6" xfId="1559"/>
    <cellStyle name="差_Book2 7" xfId="1560"/>
    <cellStyle name="差_Book2 8" xfId="1561"/>
    <cellStyle name="差_Book2 9" xfId="1562"/>
    <cellStyle name="差_M01-2(州市补助收入)" xfId="1563"/>
    <cellStyle name="差_M01-2(州市补助收入) 2" xfId="1564"/>
    <cellStyle name="差_M01-2(州市补助收入) 3" xfId="1565"/>
    <cellStyle name="差_M01-2(州市补助收入) 4" xfId="1566"/>
    <cellStyle name="差_M01-2(州市补助收入) 5" xfId="1567"/>
    <cellStyle name="差_M01-2(州市补助收入) 6" xfId="1568"/>
    <cellStyle name="差_M01-2(州市补助收入) 7" xfId="1569"/>
    <cellStyle name="差_M01-2(州市补助收入) 8" xfId="1570"/>
    <cellStyle name="差_M01-2(州市补助收入) 9" xfId="1571"/>
    <cellStyle name="差_M03" xfId="1572"/>
    <cellStyle name="差_M03 2" xfId="1573"/>
    <cellStyle name="差_M03 3" xfId="1574"/>
    <cellStyle name="差_M03 4" xfId="1575"/>
    <cellStyle name="差_M03 5" xfId="1576"/>
    <cellStyle name="差_M03 6" xfId="1577"/>
    <cellStyle name="差_M03 7" xfId="1578"/>
    <cellStyle name="差_M03 8" xfId="1579"/>
    <cellStyle name="差_M03 9" xfId="1580"/>
    <cellStyle name="差_不用软件计算9.1不考虑经费管理评价xl" xfId="1581"/>
    <cellStyle name="差_不用软件计算9.1不考虑经费管理评价xl 2" xfId="1582"/>
    <cellStyle name="差_不用软件计算9.1不考虑经费管理评价xl 3" xfId="1583"/>
    <cellStyle name="差_不用软件计算9.1不考虑经费管理评价xl 4" xfId="1584"/>
    <cellStyle name="差_不用软件计算9.1不考虑经费管理评价xl 5" xfId="1585"/>
    <cellStyle name="差_不用软件计算9.1不考虑经费管理评价xl 6" xfId="1586"/>
    <cellStyle name="差_不用软件计算9.1不考虑经费管理评价xl 7" xfId="1587"/>
    <cellStyle name="差_不用软件计算9.1不考虑经费管理评价xl 8" xfId="1588"/>
    <cellStyle name="差_不用软件计算9.1不考虑经费管理评价xl 9" xfId="1589"/>
    <cellStyle name="差_财政供养人员" xfId="1590"/>
    <cellStyle name="差_财政供养人员 2" xfId="1591"/>
    <cellStyle name="差_财政供养人员 3" xfId="1592"/>
    <cellStyle name="差_财政供养人员 4" xfId="1593"/>
    <cellStyle name="差_财政供养人员 5" xfId="1594"/>
    <cellStyle name="差_财政供养人员 6" xfId="1595"/>
    <cellStyle name="差_财政供养人员 7" xfId="1596"/>
    <cellStyle name="差_财政供养人员 8" xfId="1597"/>
    <cellStyle name="差_财政供养人员 9" xfId="1598"/>
    <cellStyle name="差_财政支出对上级的依赖程度" xfId="1599"/>
    <cellStyle name="差_城建部门" xfId="1600"/>
    <cellStyle name="差_地方配套按人均增幅控制8.30xl" xfId="1601"/>
    <cellStyle name="差_地方配套按人均增幅控制8.30xl 2" xfId="1602"/>
    <cellStyle name="差_地方配套按人均增幅控制8.30xl 3" xfId="1603"/>
    <cellStyle name="差_地方配套按人均增幅控制8.30xl 4" xfId="1604"/>
    <cellStyle name="差_地方配套按人均增幅控制8.30xl 5" xfId="1605"/>
    <cellStyle name="差_地方配套按人均增幅控制8.30xl 6" xfId="1606"/>
    <cellStyle name="差_地方配套按人均增幅控制8.30xl 7" xfId="1607"/>
    <cellStyle name="差_地方配套按人均增幅控制8.30xl 8" xfId="1608"/>
    <cellStyle name="差_地方配套按人均增幅控制8.30xl 9" xfId="1609"/>
    <cellStyle name="差_地方配套按人均增幅控制8.30一般预算平均增幅、人均可用财力平均增幅两次控制、社会治安系数调整、案件数调整xl" xfId="1610"/>
    <cellStyle name="差_地方配套按人均增幅控制8.30一般预算平均增幅、人均可用财力平均增幅两次控制、社会治安系数调整、案件数调整xl 2" xfId="1611"/>
    <cellStyle name="差_地方配套按人均增幅控制8.30一般预算平均增幅、人均可用财力平均增幅两次控制、社会治安系数调整、案件数调整xl 3" xfId="1612"/>
    <cellStyle name="差_地方配套按人均增幅控制8.30一般预算平均增幅、人均可用财力平均增幅两次控制、社会治安系数调整、案件数调整xl 4" xfId="1613"/>
    <cellStyle name="差_地方配套按人均增幅控制8.30一般预算平均增幅、人均可用财力平均增幅两次控制、社会治安系数调整、案件数调整xl 5" xfId="1614"/>
    <cellStyle name="差_地方配套按人均增幅控制8.30一般预算平均增幅、人均可用财力平均增幅两次控制、社会治安系数调整、案件数调整xl 6" xfId="1615"/>
    <cellStyle name="差_地方配套按人均增幅控制8.30一般预算平均增幅、人均可用财力平均增幅两次控制、社会治安系数调整、案件数调整xl 7" xfId="1616"/>
    <cellStyle name="差_地方配套按人均增幅控制8.30一般预算平均增幅、人均可用财力平均增幅两次控制、社会治安系数调整、案件数调整xl 8" xfId="1617"/>
    <cellStyle name="差_地方配套按人均增幅控制8.30一般预算平均增幅、人均可用财力平均增幅两次控制、社会治安系数调整、案件数调整xl 9" xfId="1618"/>
    <cellStyle name="差_地方配套按人均增幅控制8.31（调整结案率后）xl" xfId="1619"/>
    <cellStyle name="差_地方配套按人均增幅控制8.31（调整结案率后）xl 2" xfId="1620"/>
    <cellStyle name="差_地方配套按人均增幅控制8.31（调整结案率后）xl 3" xfId="1621"/>
    <cellStyle name="差_地方配套按人均增幅控制8.31（调整结案率后）xl 4" xfId="1622"/>
    <cellStyle name="差_地方配套按人均增幅控制8.31（调整结案率后）xl 5" xfId="1623"/>
    <cellStyle name="差_地方配套按人均增幅控制8.31（调整结案率后）xl 6" xfId="1624"/>
    <cellStyle name="差_地方配套按人均增幅控制8.31（调整结案率后）xl 7" xfId="1625"/>
    <cellStyle name="差_地方配套按人均增幅控制8.31（调整结案率后）xl 8" xfId="1626"/>
    <cellStyle name="差_地方配套按人均增幅控制8.31（调整结案率后）xl 9" xfId="1627"/>
    <cellStyle name="差_第五部分(才淼、饶永宏）" xfId="1628"/>
    <cellStyle name="差_第五部分(才淼、饶永宏） 2" xfId="1629"/>
    <cellStyle name="差_第五部分(才淼、饶永宏） 3" xfId="1630"/>
    <cellStyle name="差_第五部分(才淼、饶永宏） 4" xfId="1631"/>
    <cellStyle name="差_第五部分(才淼、饶永宏） 5" xfId="1632"/>
    <cellStyle name="差_第五部分(才淼、饶永宏） 6" xfId="1633"/>
    <cellStyle name="差_第五部分(才淼、饶永宏） 7" xfId="1634"/>
    <cellStyle name="差_第五部分(才淼、饶永宏） 8" xfId="1635"/>
    <cellStyle name="差_第五部分(才淼、饶永宏） 9" xfId="1636"/>
    <cellStyle name="差_第一部分：综合全" xfId="1637"/>
    <cellStyle name="差_高中教师人数（教育厅1.6日提供）" xfId="1638"/>
    <cellStyle name="差_高中教师人数（教育厅1.6日提供） 2" xfId="1639"/>
    <cellStyle name="差_高中教师人数（教育厅1.6日提供） 3" xfId="1640"/>
    <cellStyle name="差_高中教师人数（教育厅1.6日提供） 4" xfId="1641"/>
    <cellStyle name="差_高中教师人数（教育厅1.6日提供） 5" xfId="1642"/>
    <cellStyle name="差_高中教师人数（教育厅1.6日提供） 6" xfId="1643"/>
    <cellStyle name="差_高中教师人数（教育厅1.6日提供） 7" xfId="1644"/>
    <cellStyle name="差_高中教师人数（教育厅1.6日提供） 8" xfId="1645"/>
    <cellStyle name="差_高中教师人数（教育厅1.6日提供） 9" xfId="1646"/>
    <cellStyle name="差_汇总" xfId="1647"/>
    <cellStyle name="差_汇总 2" xfId="1648"/>
    <cellStyle name="差_汇总 3" xfId="1649"/>
    <cellStyle name="差_汇总 4" xfId="1650"/>
    <cellStyle name="差_汇总 5" xfId="1651"/>
    <cellStyle name="差_汇总 6" xfId="1652"/>
    <cellStyle name="差_汇总 7" xfId="1653"/>
    <cellStyle name="差_汇总 8" xfId="1654"/>
    <cellStyle name="差_汇总 9" xfId="1655"/>
    <cellStyle name="差_汇总-县级财政报表附表" xfId="1656"/>
    <cellStyle name="差_汇总-县级财政报表附表 2" xfId="1657"/>
    <cellStyle name="差_汇总-县级财政报表附表 3" xfId="1658"/>
    <cellStyle name="差_汇总-县级财政报表附表 4" xfId="1659"/>
    <cellStyle name="差_汇总-县级财政报表附表 5" xfId="1660"/>
    <cellStyle name="差_汇总-县级财政报表附表 6" xfId="1661"/>
    <cellStyle name="差_汇总-县级财政报表附表 7" xfId="1662"/>
    <cellStyle name="差_汇总-县级财政报表附表 8" xfId="1663"/>
    <cellStyle name="差_汇总-县级财政报表附表 9" xfId="1664"/>
    <cellStyle name="差_基础数据分析" xfId="1665"/>
    <cellStyle name="差_基础数据分析 2" xfId="1666"/>
    <cellStyle name="差_基础数据分析 3" xfId="1667"/>
    <cellStyle name="差_基础数据分析 4" xfId="1668"/>
    <cellStyle name="差_基础数据分析 5" xfId="1669"/>
    <cellStyle name="差_基础数据分析 6" xfId="1670"/>
    <cellStyle name="差_基础数据分析 7" xfId="1671"/>
    <cellStyle name="差_基础数据分析 8" xfId="1672"/>
    <cellStyle name="差_基础数据分析 9" xfId="1673"/>
    <cellStyle name="差_检验表" xfId="1674"/>
    <cellStyle name="差_检验表（调整后）" xfId="1675"/>
    <cellStyle name="差_奖励补助测算5.22测试" xfId="1676"/>
    <cellStyle name="差_奖励补助测算5.22测试 2" xfId="1677"/>
    <cellStyle name="差_奖励补助测算5.22测试 3" xfId="1678"/>
    <cellStyle name="差_奖励补助测算5.22测试 4" xfId="1679"/>
    <cellStyle name="差_奖励补助测算5.22测试 5" xfId="1680"/>
    <cellStyle name="差_奖励补助测算5.22测试 6" xfId="1681"/>
    <cellStyle name="差_奖励补助测算5.22测试 7" xfId="1682"/>
    <cellStyle name="差_奖励补助测算5.22测试 8" xfId="1683"/>
    <cellStyle name="差_奖励补助测算5.22测试 9" xfId="1684"/>
    <cellStyle name="差_奖励补助测算5.23新" xfId="1685"/>
    <cellStyle name="差_奖励补助测算5.23新 2" xfId="1686"/>
    <cellStyle name="差_奖励补助测算5.23新 3" xfId="1687"/>
    <cellStyle name="差_奖励补助测算5.23新 4" xfId="1688"/>
    <cellStyle name="差_奖励补助测算5.23新 5" xfId="1689"/>
    <cellStyle name="差_奖励补助测算5.23新 6" xfId="1690"/>
    <cellStyle name="差_奖励补助测算5.23新 7" xfId="1691"/>
    <cellStyle name="差_奖励补助测算5.23新 8" xfId="1692"/>
    <cellStyle name="差_奖励补助测算5.23新 9" xfId="1693"/>
    <cellStyle name="差_奖励补助测算5.24冯铸" xfId="1694"/>
    <cellStyle name="差_奖励补助测算5.24冯铸 2" xfId="1695"/>
    <cellStyle name="差_奖励补助测算5.24冯铸 3" xfId="1696"/>
    <cellStyle name="差_奖励补助测算5.24冯铸 4" xfId="1697"/>
    <cellStyle name="差_奖励补助测算5.24冯铸 5" xfId="1698"/>
    <cellStyle name="差_奖励补助测算5.24冯铸 6" xfId="1699"/>
    <cellStyle name="差_奖励补助测算5.24冯铸 7" xfId="1700"/>
    <cellStyle name="差_奖励补助测算5.24冯铸 8" xfId="1701"/>
    <cellStyle name="差_奖励补助测算5.24冯铸 9" xfId="1702"/>
    <cellStyle name="差_奖励补助测算7.23" xfId="1703"/>
    <cellStyle name="差_奖励补助测算7.23 2" xfId="1704"/>
    <cellStyle name="差_奖励补助测算7.23 3" xfId="1705"/>
    <cellStyle name="差_奖励补助测算7.23 4" xfId="1706"/>
    <cellStyle name="差_奖励补助测算7.23 5" xfId="1707"/>
    <cellStyle name="差_奖励补助测算7.23 6" xfId="1708"/>
    <cellStyle name="差_奖励补助测算7.23 7" xfId="1709"/>
    <cellStyle name="差_奖励补助测算7.23 8" xfId="1710"/>
    <cellStyle name="差_奖励补助测算7.23 9" xfId="1711"/>
    <cellStyle name="差_奖励补助测算7.25" xfId="1712"/>
    <cellStyle name="差_奖励补助测算7.25 (version 1) (version 1)" xfId="1713"/>
    <cellStyle name="差_奖励补助测算7.25 (version 1) (version 1) 2" xfId="1714"/>
    <cellStyle name="差_奖励补助测算7.25 (version 1) (version 1) 3" xfId="1715"/>
    <cellStyle name="差_奖励补助测算7.25 (version 1) (version 1) 4" xfId="1716"/>
    <cellStyle name="差_奖励补助测算7.25 (version 1) (version 1) 5" xfId="1717"/>
    <cellStyle name="差_奖励补助测算7.25 (version 1) (version 1) 6" xfId="1718"/>
    <cellStyle name="差_奖励补助测算7.25 (version 1) (version 1) 7" xfId="1719"/>
    <cellStyle name="差_奖励补助测算7.25 (version 1) (version 1) 8" xfId="1720"/>
    <cellStyle name="差_奖励补助测算7.25 (version 1) (version 1) 9" xfId="1721"/>
    <cellStyle name="差_奖励补助测算7.25 2" xfId="1722"/>
    <cellStyle name="差_奖励补助测算7.25 3" xfId="1723"/>
    <cellStyle name="差_奖励补助测算7.25 4" xfId="1724"/>
    <cellStyle name="差_奖励补助测算7.25 5" xfId="1725"/>
    <cellStyle name="差_奖励补助测算7.25 6" xfId="1726"/>
    <cellStyle name="差_奖励补助测算7.25 7" xfId="1727"/>
    <cellStyle name="差_奖励补助测算7.25 8" xfId="1728"/>
    <cellStyle name="差_奖励补助测算7.25 9" xfId="1729"/>
    <cellStyle name="差_教师绩效工资测算表（离退休按各地上报数测算）2009年1月1日" xfId="1730"/>
    <cellStyle name="差_教育厅提供义务教育及高中教师人数（2009年1月6日）" xfId="1731"/>
    <cellStyle name="差_教育厅提供义务教育及高中教师人数（2009年1月6日） 2" xfId="1732"/>
    <cellStyle name="差_教育厅提供义务教育及高中教师人数（2009年1月6日） 3" xfId="1733"/>
    <cellStyle name="差_教育厅提供义务教育及高中教师人数（2009年1月6日） 4" xfId="1734"/>
    <cellStyle name="差_教育厅提供义务教育及高中教师人数（2009年1月6日） 5" xfId="1735"/>
    <cellStyle name="差_教育厅提供义务教育及高中教师人数（2009年1月6日） 6" xfId="1736"/>
    <cellStyle name="差_教育厅提供义务教育及高中教师人数（2009年1月6日） 7" xfId="1737"/>
    <cellStyle name="差_教育厅提供义务教育及高中教师人数（2009年1月6日） 8" xfId="1738"/>
    <cellStyle name="差_教育厅提供义务教育及高中教师人数（2009年1月6日） 9" xfId="1739"/>
    <cellStyle name="差_历年教师人数" xfId="1740"/>
    <cellStyle name="差_丽江汇总" xfId="1741"/>
    <cellStyle name="差_三季度－表二" xfId="1742"/>
    <cellStyle name="差_三季度－表二 2" xfId="1743"/>
    <cellStyle name="差_三季度－表二 3" xfId="1744"/>
    <cellStyle name="差_三季度－表二 4" xfId="1745"/>
    <cellStyle name="差_三季度－表二 5" xfId="1746"/>
    <cellStyle name="差_三季度－表二 6" xfId="1747"/>
    <cellStyle name="差_三季度－表二 7" xfId="1748"/>
    <cellStyle name="差_三季度－表二 8" xfId="1749"/>
    <cellStyle name="差_三季度－表二 9" xfId="1750"/>
    <cellStyle name="差_卫生部门" xfId="1751"/>
    <cellStyle name="差_卫生部门 2" xfId="1752"/>
    <cellStyle name="差_卫生部门 3" xfId="1753"/>
    <cellStyle name="差_卫生部门 4" xfId="1754"/>
    <cellStyle name="差_卫生部门 5" xfId="1755"/>
    <cellStyle name="差_卫生部门 6" xfId="1756"/>
    <cellStyle name="差_卫生部门 7" xfId="1757"/>
    <cellStyle name="差_卫生部门 8" xfId="1758"/>
    <cellStyle name="差_卫生部门 9" xfId="1759"/>
    <cellStyle name="差_文体广播部门" xfId="1760"/>
    <cellStyle name="差_下半年禁毒办案经费分配2544.3万元" xfId="1761"/>
    <cellStyle name="差_下半年禁吸戒毒经费1000万元" xfId="1762"/>
    <cellStyle name="差_下半年禁吸戒毒经费1000万元 2" xfId="1763"/>
    <cellStyle name="差_下半年禁吸戒毒经费1000万元 3" xfId="1764"/>
    <cellStyle name="差_下半年禁吸戒毒经费1000万元 4" xfId="1765"/>
    <cellStyle name="差_下半年禁吸戒毒经费1000万元 5" xfId="1766"/>
    <cellStyle name="差_下半年禁吸戒毒经费1000万元 6" xfId="1767"/>
    <cellStyle name="差_下半年禁吸戒毒经费1000万元 7" xfId="1768"/>
    <cellStyle name="差_下半年禁吸戒毒经费1000万元 8" xfId="1769"/>
    <cellStyle name="差_下半年禁吸戒毒经费1000万元 9" xfId="1770"/>
    <cellStyle name="差_县级公安机关公用经费标准奖励测算方案（定稿）" xfId="1771"/>
    <cellStyle name="差_县级公安机关公用经费标准奖励测算方案（定稿） 2" xfId="1772"/>
    <cellStyle name="差_县级公安机关公用经费标准奖励测算方案（定稿） 3" xfId="1773"/>
    <cellStyle name="差_县级公安机关公用经费标准奖励测算方案（定稿） 4" xfId="1774"/>
    <cellStyle name="差_县级公安机关公用经费标准奖励测算方案（定稿） 5" xfId="1775"/>
    <cellStyle name="差_县级公安机关公用经费标准奖励测算方案（定稿） 6" xfId="1776"/>
    <cellStyle name="差_县级公安机关公用经费标准奖励测算方案（定稿） 7" xfId="1777"/>
    <cellStyle name="差_县级公安机关公用经费标准奖励测算方案（定稿） 8" xfId="1778"/>
    <cellStyle name="差_县级公安机关公用经费标准奖励测算方案（定稿） 9" xfId="1779"/>
    <cellStyle name="差_县级基础数据" xfId="1780"/>
    <cellStyle name="差_业务工作量指标" xfId="1781"/>
    <cellStyle name="差_业务工作量指标 2" xfId="1782"/>
    <cellStyle name="差_业务工作量指标 3" xfId="1783"/>
    <cellStyle name="差_业务工作量指标 4" xfId="1784"/>
    <cellStyle name="差_业务工作量指标 5" xfId="1785"/>
    <cellStyle name="差_业务工作量指标 6" xfId="1786"/>
    <cellStyle name="差_业务工作量指标 7" xfId="1787"/>
    <cellStyle name="差_业务工作量指标 8" xfId="1788"/>
    <cellStyle name="差_业务工作量指标 9" xfId="1789"/>
    <cellStyle name="差_义务教育阶段教职工人数（教育厅提供最终）" xfId="1790"/>
    <cellStyle name="差_义务教育阶段教职工人数（教育厅提供最终） 2" xfId="1791"/>
    <cellStyle name="差_义务教育阶段教职工人数（教育厅提供最终） 3" xfId="1792"/>
    <cellStyle name="差_义务教育阶段教职工人数（教育厅提供最终） 4" xfId="1793"/>
    <cellStyle name="差_义务教育阶段教职工人数（教育厅提供最终） 5" xfId="1794"/>
    <cellStyle name="差_义务教育阶段教职工人数（教育厅提供最终） 6" xfId="1795"/>
    <cellStyle name="差_义务教育阶段教职工人数（教育厅提供最终） 7" xfId="1796"/>
    <cellStyle name="差_义务教育阶段教职工人数（教育厅提供最终） 8" xfId="1797"/>
    <cellStyle name="差_义务教育阶段教职工人数（教育厅提供最终） 9" xfId="1798"/>
    <cellStyle name="差_云南农村义务教育统计表" xfId="1799"/>
    <cellStyle name="差_云南农村义务教育统计表 2" xfId="1800"/>
    <cellStyle name="差_云南农村义务教育统计表 3" xfId="1801"/>
    <cellStyle name="差_云南农村义务教育统计表 4" xfId="1802"/>
    <cellStyle name="差_云南农村义务教育统计表 5" xfId="1803"/>
    <cellStyle name="差_云南农村义务教育统计表 6" xfId="1804"/>
    <cellStyle name="差_云南农村义务教育统计表 7" xfId="1805"/>
    <cellStyle name="差_云南农村义务教育统计表 8" xfId="1806"/>
    <cellStyle name="差_云南农村义务教育统计表 9" xfId="1807"/>
    <cellStyle name="差_云南省2008年中小学教师人数统计表" xfId="1808"/>
    <cellStyle name="差_云南省2008年中小学教职工情况（教育厅提供20090101加工整理）" xfId="1809"/>
    <cellStyle name="差_云南省2008年中小学教职工情况（教育厅提供20090101加工整理） 2" xfId="1810"/>
    <cellStyle name="差_云南省2008年中小学教职工情况（教育厅提供20090101加工整理） 3" xfId="1811"/>
    <cellStyle name="差_云南省2008年中小学教职工情况（教育厅提供20090101加工整理） 4" xfId="1812"/>
    <cellStyle name="差_云南省2008年中小学教职工情况（教育厅提供20090101加工整理） 5" xfId="1813"/>
    <cellStyle name="差_云南省2008年中小学教职工情况（教育厅提供20090101加工整理） 6" xfId="1814"/>
    <cellStyle name="差_云南省2008年中小学教职工情况（教育厅提供20090101加工整理） 7" xfId="1815"/>
    <cellStyle name="差_云南省2008年中小学教职工情况（教育厅提供20090101加工整理） 8" xfId="1816"/>
    <cellStyle name="差_云南省2008年中小学教职工情况（教育厅提供20090101加工整理） 9" xfId="1817"/>
    <cellStyle name="差_云南省2008年转移支付测算——州市本级考核部分及政策性测算" xfId="1818"/>
    <cellStyle name="差_云南省2008年转移支付测算——州市本级考核部分及政策性测算 2" xfId="1819"/>
    <cellStyle name="差_云南省2008年转移支付测算——州市本级考核部分及政策性测算 3" xfId="1820"/>
    <cellStyle name="差_云南省2008年转移支付测算——州市本级考核部分及政策性测算 4" xfId="1821"/>
    <cellStyle name="差_云南省2008年转移支付测算——州市本级考核部分及政策性测算 5" xfId="1822"/>
    <cellStyle name="差_云南省2008年转移支付测算——州市本级考核部分及政策性测算 6" xfId="1823"/>
    <cellStyle name="差_云南省2008年转移支付测算——州市本级考核部分及政策性测算 7" xfId="1824"/>
    <cellStyle name="差_云南省2008年转移支付测算——州市本级考核部分及政策性测算 8" xfId="1825"/>
    <cellStyle name="差_云南省2008年转移支付测算——州市本级考核部分及政策性测算 9" xfId="1826"/>
    <cellStyle name="差_指标四" xfId="1827"/>
    <cellStyle name="差_指标四 2" xfId="1828"/>
    <cellStyle name="差_指标四 3" xfId="1829"/>
    <cellStyle name="差_指标四 4" xfId="1830"/>
    <cellStyle name="差_指标四 5" xfId="1831"/>
    <cellStyle name="差_指标四 6" xfId="1832"/>
    <cellStyle name="差_指标四 7" xfId="1833"/>
    <cellStyle name="差_指标四 8" xfId="1834"/>
    <cellStyle name="差_指标四 9" xfId="1835"/>
    <cellStyle name="差_指标五" xfId="1836"/>
    <cellStyle name="常规 10" xfId="1837"/>
    <cellStyle name="常规 10 2" xfId="1838"/>
    <cellStyle name="常规 11" xfId="1839"/>
    <cellStyle name="常规 11 2" xfId="1840"/>
    <cellStyle name="常规 12" xfId="1841"/>
    <cellStyle name="常规 12 2" xfId="1842"/>
    <cellStyle name="常规 13" xfId="1843"/>
    <cellStyle name="常规 13 2" xfId="1844"/>
    <cellStyle name="常规 14" xfId="1845"/>
    <cellStyle name="常规 14 2" xfId="1846"/>
    <cellStyle name="常规 15" xfId="1847"/>
    <cellStyle name="常规 15 2" xfId="1848"/>
    <cellStyle name="常规 16" xfId="1849"/>
    <cellStyle name="常规 17" xfId="1850"/>
    <cellStyle name="常规 17 2" xfId="1851"/>
    <cellStyle name="常规 17 3" xfId="1852"/>
    <cellStyle name="常规 17 4" xfId="1853"/>
    <cellStyle name="常规 19 2" xfId="1854"/>
    <cellStyle name="常规 2" xfId="1855"/>
    <cellStyle name="常规 2 10" xfId="1856"/>
    <cellStyle name="常规 2 11" xfId="1857"/>
    <cellStyle name="常规 2 12" xfId="1858"/>
    <cellStyle name="常规 2 13" xfId="1859"/>
    <cellStyle name="常规 2 14" xfId="1860"/>
    <cellStyle name="常规 2 15" xfId="1861"/>
    <cellStyle name="常规 2 16" xfId="1862"/>
    <cellStyle name="常规 2 2" xfId="1863"/>
    <cellStyle name="常规 2 2 10" xfId="1864"/>
    <cellStyle name="常规 2 2 2" xfId="1865"/>
    <cellStyle name="常规 2 2 2 2" xfId="1866"/>
    <cellStyle name="常规 2 2 2 3" xfId="1867"/>
    <cellStyle name="常规 2 2 2 4" xfId="1868"/>
    <cellStyle name="常规 2 2 2 5" xfId="1869"/>
    <cellStyle name="常规 2 2 2 6" xfId="1870"/>
    <cellStyle name="常规 2 2 2 7" xfId="1871"/>
    <cellStyle name="常规 2 2 2 8" xfId="1872"/>
    <cellStyle name="常规 2 2 2 9" xfId="1873"/>
    <cellStyle name="常规 2 2 3" xfId="1874"/>
    <cellStyle name="常规 2 2 4" xfId="1875"/>
    <cellStyle name="常规 2 2 5" xfId="1876"/>
    <cellStyle name="常规 2 2 6" xfId="1877"/>
    <cellStyle name="常规 2 2 7" xfId="1878"/>
    <cellStyle name="常规 2 2 8" xfId="1879"/>
    <cellStyle name="常规 2 2 9" xfId="1880"/>
    <cellStyle name="常规 2 2_Book1" xfId="1881"/>
    <cellStyle name="常规 2 3" xfId="1882"/>
    <cellStyle name="常规 2 3 2" xfId="1883"/>
    <cellStyle name="常规 2 3 3" xfId="1884"/>
    <cellStyle name="常规 2 3 4" xfId="1885"/>
    <cellStyle name="常规 2 3 5" xfId="1886"/>
    <cellStyle name="常规 2 3 6" xfId="1887"/>
    <cellStyle name="常规 2 3 7" xfId="1888"/>
    <cellStyle name="常规 2 3 8" xfId="1889"/>
    <cellStyle name="常规 2 3 9" xfId="1890"/>
    <cellStyle name="常规 2 4" xfId="1891"/>
    <cellStyle name="常规 2 4 2" xfId="1892"/>
    <cellStyle name="常规 2 4 3" xfId="1893"/>
    <cellStyle name="常规 2 4 4" xfId="1894"/>
    <cellStyle name="常规 2 4 5" xfId="1895"/>
    <cellStyle name="常规 2 4 6" xfId="1896"/>
    <cellStyle name="常规 2 4 7" xfId="1897"/>
    <cellStyle name="常规 2 4 8" xfId="1898"/>
    <cellStyle name="常规 2 4 9" xfId="1899"/>
    <cellStyle name="常规 2 5" xfId="1900"/>
    <cellStyle name="常规 2 5 2" xfId="1901"/>
    <cellStyle name="常规 2 5 3" xfId="1902"/>
    <cellStyle name="常规 2 5 4" xfId="1903"/>
    <cellStyle name="常规 2 5 5" xfId="1904"/>
    <cellStyle name="常规 2 5 6" xfId="1905"/>
    <cellStyle name="常规 2 5 7" xfId="1906"/>
    <cellStyle name="常规 2 5 8" xfId="1907"/>
    <cellStyle name="常规 2 5 9" xfId="1908"/>
    <cellStyle name="常规 2 6" xfId="1909"/>
    <cellStyle name="常规 2 6 2" xfId="1910"/>
    <cellStyle name="常规 2 6 3" xfId="1911"/>
    <cellStyle name="常规 2 6 4" xfId="1912"/>
    <cellStyle name="常规 2 6 5" xfId="1913"/>
    <cellStyle name="常规 2 6 6" xfId="1914"/>
    <cellStyle name="常规 2 6 7" xfId="1915"/>
    <cellStyle name="常规 2 6 8" xfId="1916"/>
    <cellStyle name="常规 2 6 9" xfId="1917"/>
    <cellStyle name="常规 2 7" xfId="1918"/>
    <cellStyle name="常规 2 7 2" xfId="1919"/>
    <cellStyle name="常规 2 7 3" xfId="1920"/>
    <cellStyle name="常规 2 7 4" xfId="1921"/>
    <cellStyle name="常规 2 7 5" xfId="1922"/>
    <cellStyle name="常规 2 7 6" xfId="1923"/>
    <cellStyle name="常规 2 7 7" xfId="1924"/>
    <cellStyle name="常规 2 7 8" xfId="1925"/>
    <cellStyle name="常规 2 7 9" xfId="1926"/>
    <cellStyle name="常规 2 8" xfId="1927"/>
    <cellStyle name="常规 2 8 2" xfId="1928"/>
    <cellStyle name="常规 2 8 3" xfId="1929"/>
    <cellStyle name="常规 2 8 4" xfId="1930"/>
    <cellStyle name="常规 2 8 5" xfId="1931"/>
    <cellStyle name="常规 2 8 6" xfId="1932"/>
    <cellStyle name="常规 2 8 7" xfId="1933"/>
    <cellStyle name="常规 2 8 8" xfId="1934"/>
    <cellStyle name="常规 2 8 9" xfId="1935"/>
    <cellStyle name="常规 2 9" xfId="1936"/>
    <cellStyle name="常规 2_Book1" xfId="1937"/>
    <cellStyle name="常规 20" xfId="1938"/>
    <cellStyle name="常规 21" xfId="1939"/>
    <cellStyle name="常规 22" xfId="1940"/>
    <cellStyle name="常规 23" xfId="1941"/>
    <cellStyle name="常规 24" xfId="1942"/>
    <cellStyle name="常规 25" xfId="1943"/>
    <cellStyle name="常规 26" xfId="1944"/>
    <cellStyle name="常规 27" xfId="1945"/>
    <cellStyle name="常规 28" xfId="1946"/>
    <cellStyle name="常规 29" xfId="1947"/>
    <cellStyle name="常规 3" xfId="1948"/>
    <cellStyle name="常规 3 10" xfId="1949"/>
    <cellStyle name="常规 3 11" xfId="1950"/>
    <cellStyle name="常规 3 2" xfId="1951"/>
    <cellStyle name="常规 3 2 2" xfId="1952"/>
    <cellStyle name="常规 3 2 3" xfId="1953"/>
    <cellStyle name="常规 3 2 4" xfId="1954"/>
    <cellStyle name="常规 3 2 5" xfId="1955"/>
    <cellStyle name="常规 3 2 6" xfId="1956"/>
    <cellStyle name="常规 3 2 7" xfId="1957"/>
    <cellStyle name="常规 3 2 8" xfId="1958"/>
    <cellStyle name="常规 3 2 9" xfId="1959"/>
    <cellStyle name="常规 3 3" xfId="1960"/>
    <cellStyle name="常规 3 3 2" xfId="1961"/>
    <cellStyle name="常规 3 3 3" xfId="1962"/>
    <cellStyle name="常规 3 3 4" xfId="1963"/>
    <cellStyle name="常规 3 3 5" xfId="1964"/>
    <cellStyle name="常规 3 3 6" xfId="1965"/>
    <cellStyle name="常规 3 3 7" xfId="1966"/>
    <cellStyle name="常规 3 3 8" xfId="1967"/>
    <cellStyle name="常规 3 3 9" xfId="1968"/>
    <cellStyle name="常规 3 4" xfId="1969"/>
    <cellStyle name="常规 3 5" xfId="1970"/>
    <cellStyle name="常规 3 6" xfId="1971"/>
    <cellStyle name="常规 3 7" xfId="1972"/>
    <cellStyle name="常规 3 8" xfId="1973"/>
    <cellStyle name="常规 3 9" xfId="1974"/>
    <cellStyle name="常规 3_Book1" xfId="1975"/>
    <cellStyle name="常规 30" xfId="1976"/>
    <cellStyle name="常规 31" xfId="1977"/>
    <cellStyle name="常规 32" xfId="1978"/>
    <cellStyle name="常规 33" xfId="1979"/>
    <cellStyle name="常规 34" xfId="1980"/>
    <cellStyle name="常规 35" xfId="1981"/>
    <cellStyle name="常规 36" xfId="1982"/>
    <cellStyle name="常规 37" xfId="1983"/>
    <cellStyle name="常规 38" xfId="1984"/>
    <cellStyle name="常规 39" xfId="1985"/>
    <cellStyle name="常规 4" xfId="1986"/>
    <cellStyle name="常规 4 2" xfId="1987"/>
    <cellStyle name="常规 4 3" xfId="1988"/>
    <cellStyle name="常规 4 4" xfId="1989"/>
    <cellStyle name="常规 4 5" xfId="1990"/>
    <cellStyle name="常规 4 6" xfId="1991"/>
    <cellStyle name="常规 4 7" xfId="1992"/>
    <cellStyle name="常规 4 8" xfId="1993"/>
    <cellStyle name="常规 4 9" xfId="1994"/>
    <cellStyle name="常规 40" xfId="1995"/>
    <cellStyle name="常规 41" xfId="1996"/>
    <cellStyle name="常规 42" xfId="1997"/>
    <cellStyle name="常规 43" xfId="1998"/>
    <cellStyle name="常规 44" xfId="1999"/>
    <cellStyle name="常规 45" xfId="2000"/>
    <cellStyle name="常规 5" xfId="2001"/>
    <cellStyle name="常规 5 10" xfId="2002"/>
    <cellStyle name="常规 5 2" xfId="2003"/>
    <cellStyle name="常规 5 2 2" xfId="2004"/>
    <cellStyle name="常规 5 2 3" xfId="2005"/>
    <cellStyle name="常规 5 2 4" xfId="2006"/>
    <cellStyle name="常规 5 2 5" xfId="2007"/>
    <cellStyle name="常规 5 2 6" xfId="2008"/>
    <cellStyle name="常规 5 2 7" xfId="2009"/>
    <cellStyle name="常规 5 2 8" xfId="2010"/>
    <cellStyle name="常规 5 2 9" xfId="2011"/>
    <cellStyle name="常规 5 3" xfId="2012"/>
    <cellStyle name="常规 5 4" xfId="2013"/>
    <cellStyle name="常规 5 5" xfId="2014"/>
    <cellStyle name="常规 5 6" xfId="2015"/>
    <cellStyle name="常规 5 7" xfId="2016"/>
    <cellStyle name="常规 5 8" xfId="2017"/>
    <cellStyle name="常规 5 9" xfId="2018"/>
    <cellStyle name="常规 5_Book1" xfId="2019"/>
    <cellStyle name="常规 6" xfId="2020"/>
    <cellStyle name="常规 6 2" xfId="2021"/>
    <cellStyle name="常规 6 3" xfId="2022"/>
    <cellStyle name="常规 6 4" xfId="2023"/>
    <cellStyle name="常规 6 5" xfId="2024"/>
    <cellStyle name="常规 6 6" xfId="2025"/>
    <cellStyle name="常规 6 7" xfId="2026"/>
    <cellStyle name="常规 6 8" xfId="2027"/>
    <cellStyle name="常规 6 9" xfId="2028"/>
    <cellStyle name="常规 7" xfId="2029"/>
    <cellStyle name="常规 7 2" xfId="2030"/>
    <cellStyle name="常规 7 3" xfId="2031"/>
    <cellStyle name="常规 7 4" xfId="2032"/>
    <cellStyle name="常规 7 5" xfId="2033"/>
    <cellStyle name="常规 7 6" xfId="2034"/>
    <cellStyle name="常规 7 7" xfId="2035"/>
    <cellStyle name="常规 7 8" xfId="2036"/>
    <cellStyle name="常规 7 9" xfId="2037"/>
    <cellStyle name="常规 8" xfId="2038"/>
    <cellStyle name="常规 8 2" xfId="2039"/>
    <cellStyle name="常规 8 3" xfId="2040"/>
    <cellStyle name="常规 8 4" xfId="2041"/>
    <cellStyle name="常规 8 5" xfId="2042"/>
    <cellStyle name="常规 8 6" xfId="2043"/>
    <cellStyle name="常规 8 7" xfId="2044"/>
    <cellStyle name="常规 8 8" xfId="2045"/>
    <cellStyle name="常规 8 9" xfId="2046"/>
    <cellStyle name="常规 9" xfId="2047"/>
    <cellStyle name="常规 9 2" xfId="2048"/>
    <cellStyle name="常规_2001-2002年报表制度" xfId="2049"/>
    <cellStyle name="常规_2010年2月投资月报" xfId="2050"/>
    <cellStyle name="常规_2011年全省各市主要指标排位" xfId="2051"/>
    <cellStyle name="常规_Sheet1" xfId="2052"/>
    <cellStyle name="常规_册子——贸易(2016年9月)" xfId="2053"/>
    <cellStyle name="常规_分市5" xfId="2054"/>
    <cellStyle name="常规_农业产值" xfId="2055"/>
    <cellStyle name="常规_农业生产情况" xfId="2056"/>
    <cellStyle name="分级显示行_1_13区汇总" xfId="2057"/>
    <cellStyle name="分级显示列_1_Book1" xfId="2058"/>
    <cellStyle name="归盒啦_95" xfId="2059"/>
    <cellStyle name="好 10" xfId="2060"/>
    <cellStyle name="好 2" xfId="2061"/>
    <cellStyle name="好 3" xfId="2062"/>
    <cellStyle name="好 3 2" xfId="2063"/>
    <cellStyle name="好 3 3" xfId="2064"/>
    <cellStyle name="好 3 4" xfId="2065"/>
    <cellStyle name="好 3 5" xfId="2066"/>
    <cellStyle name="好 3 6" xfId="2067"/>
    <cellStyle name="好 3 7" xfId="2068"/>
    <cellStyle name="好 4" xfId="2069"/>
    <cellStyle name="好 4 2" xfId="2070"/>
    <cellStyle name="好 5" xfId="2071"/>
    <cellStyle name="好 5 2" xfId="2072"/>
    <cellStyle name="好 6" xfId="2073"/>
    <cellStyle name="好 6 2" xfId="2074"/>
    <cellStyle name="好 7" xfId="2075"/>
    <cellStyle name="好 7 2" xfId="2076"/>
    <cellStyle name="好 8" xfId="2077"/>
    <cellStyle name="好 8 2" xfId="2078"/>
    <cellStyle name="好 9" xfId="2079"/>
    <cellStyle name="好 9 2" xfId="2080"/>
    <cellStyle name="好_~4190974" xfId="2081"/>
    <cellStyle name="好_~4190974 2" xfId="2082"/>
    <cellStyle name="好_~4190974 3" xfId="2083"/>
    <cellStyle name="好_~4190974 4" xfId="2084"/>
    <cellStyle name="好_~4190974 5" xfId="2085"/>
    <cellStyle name="好_~4190974 6" xfId="2086"/>
    <cellStyle name="好_~4190974 7" xfId="2087"/>
    <cellStyle name="好_~4190974 8" xfId="2088"/>
    <cellStyle name="好_~4190974 9" xfId="2089"/>
    <cellStyle name="好_~5676413" xfId="2090"/>
    <cellStyle name="好_~5676413 2" xfId="2091"/>
    <cellStyle name="好_~5676413 3" xfId="2092"/>
    <cellStyle name="好_~5676413 4" xfId="2093"/>
    <cellStyle name="好_~5676413 5" xfId="2094"/>
    <cellStyle name="好_~5676413 6" xfId="2095"/>
    <cellStyle name="好_~5676413 7" xfId="2096"/>
    <cellStyle name="好_~5676413 8" xfId="2097"/>
    <cellStyle name="好_~5676413 9" xfId="2098"/>
    <cellStyle name="好_00省级(打印)" xfId="2099"/>
    <cellStyle name="好_00省级(打印) 2" xfId="2100"/>
    <cellStyle name="好_00省级(打印) 3" xfId="2101"/>
    <cellStyle name="好_00省级(打印) 4" xfId="2102"/>
    <cellStyle name="好_00省级(打印) 5" xfId="2103"/>
    <cellStyle name="好_00省级(打印) 6" xfId="2104"/>
    <cellStyle name="好_00省级(打印) 7" xfId="2105"/>
    <cellStyle name="好_00省级(打印) 8" xfId="2106"/>
    <cellStyle name="好_00省级(打印) 9" xfId="2107"/>
    <cellStyle name="好_00省级(定稿)" xfId="2108"/>
    <cellStyle name="好_00省级(定稿) 2" xfId="2109"/>
    <cellStyle name="好_00省级(定稿) 3" xfId="2110"/>
    <cellStyle name="好_00省级(定稿) 4" xfId="2111"/>
    <cellStyle name="好_00省级(定稿) 5" xfId="2112"/>
    <cellStyle name="好_00省级(定稿) 6" xfId="2113"/>
    <cellStyle name="好_00省级(定稿) 7" xfId="2114"/>
    <cellStyle name="好_00省级(定稿) 8" xfId="2115"/>
    <cellStyle name="好_00省级(定稿) 9" xfId="2116"/>
    <cellStyle name="好_03昭通" xfId="2117"/>
    <cellStyle name="好_03昭通 2" xfId="2118"/>
    <cellStyle name="好_03昭通 3" xfId="2119"/>
    <cellStyle name="好_03昭通 4" xfId="2120"/>
    <cellStyle name="好_03昭通 5" xfId="2121"/>
    <cellStyle name="好_03昭通 6" xfId="2122"/>
    <cellStyle name="好_03昭通 7" xfId="2123"/>
    <cellStyle name="好_03昭通 8" xfId="2124"/>
    <cellStyle name="好_03昭通 9" xfId="2125"/>
    <cellStyle name="好_0502通海县" xfId="2126"/>
    <cellStyle name="好_0502通海县 2" xfId="2127"/>
    <cellStyle name="好_0502通海县 3" xfId="2128"/>
    <cellStyle name="好_0502通海县 4" xfId="2129"/>
    <cellStyle name="好_0502通海县 5" xfId="2130"/>
    <cellStyle name="好_0502通海县 6" xfId="2131"/>
    <cellStyle name="好_0502通海县 7" xfId="2132"/>
    <cellStyle name="好_0502通海县 8" xfId="2133"/>
    <cellStyle name="好_0502通海县 9" xfId="2134"/>
    <cellStyle name="好_05玉溪" xfId="2135"/>
    <cellStyle name="好_05玉溪 2" xfId="2136"/>
    <cellStyle name="好_05玉溪 3" xfId="2137"/>
    <cellStyle name="好_05玉溪 4" xfId="2138"/>
    <cellStyle name="好_05玉溪 5" xfId="2139"/>
    <cellStyle name="好_05玉溪 6" xfId="2140"/>
    <cellStyle name="好_05玉溪 7" xfId="2141"/>
    <cellStyle name="好_05玉溪 8" xfId="2142"/>
    <cellStyle name="好_05玉溪 9" xfId="2143"/>
    <cellStyle name="好_0605石屏县" xfId="2144"/>
    <cellStyle name="好_0605石屏县 2" xfId="2145"/>
    <cellStyle name="好_0605石屏县 3" xfId="2146"/>
    <cellStyle name="好_0605石屏县 4" xfId="2147"/>
    <cellStyle name="好_0605石屏县 5" xfId="2148"/>
    <cellStyle name="好_0605石屏县 6" xfId="2149"/>
    <cellStyle name="好_0605石屏县 7" xfId="2150"/>
    <cellStyle name="好_0605石屏县 8" xfId="2151"/>
    <cellStyle name="好_0605石屏县 9" xfId="2152"/>
    <cellStyle name="好_1003牟定县" xfId="2153"/>
    <cellStyle name="好_1003牟定县 2" xfId="2154"/>
    <cellStyle name="好_1003牟定县 3" xfId="2155"/>
    <cellStyle name="好_1003牟定县 4" xfId="2156"/>
    <cellStyle name="好_1003牟定县 5" xfId="2157"/>
    <cellStyle name="好_1003牟定县 6" xfId="2158"/>
    <cellStyle name="好_1003牟定县 7" xfId="2159"/>
    <cellStyle name="好_1003牟定县 8" xfId="2160"/>
    <cellStyle name="好_1003牟定县 9" xfId="2161"/>
    <cellStyle name="好_1110洱源县" xfId="2162"/>
    <cellStyle name="好_1110洱源县 2" xfId="2163"/>
    <cellStyle name="好_1110洱源县 3" xfId="2164"/>
    <cellStyle name="好_1110洱源县 4" xfId="2165"/>
    <cellStyle name="好_1110洱源县 5" xfId="2166"/>
    <cellStyle name="好_1110洱源县 6" xfId="2167"/>
    <cellStyle name="好_1110洱源县 7" xfId="2168"/>
    <cellStyle name="好_1110洱源县 8" xfId="2169"/>
    <cellStyle name="好_1110洱源县 9" xfId="2170"/>
    <cellStyle name="好_11大理" xfId="2171"/>
    <cellStyle name="好_11大理 2" xfId="2172"/>
    <cellStyle name="好_11大理 3" xfId="2173"/>
    <cellStyle name="好_11大理 4" xfId="2174"/>
    <cellStyle name="好_11大理 5" xfId="2175"/>
    <cellStyle name="好_11大理 6" xfId="2176"/>
    <cellStyle name="好_11大理 7" xfId="2177"/>
    <cellStyle name="好_11大理 8" xfId="2178"/>
    <cellStyle name="好_11大理 9" xfId="2179"/>
    <cellStyle name="好_2、土地面积、人口、粮食产量基本情况" xfId="2180"/>
    <cellStyle name="好_2、土地面积、人口、粮食产量基本情况 2" xfId="2181"/>
    <cellStyle name="好_2、土地面积、人口、粮食产量基本情况 3" xfId="2182"/>
    <cellStyle name="好_2、土地面积、人口、粮食产量基本情况 4" xfId="2183"/>
    <cellStyle name="好_2、土地面积、人口、粮食产量基本情况 5" xfId="2184"/>
    <cellStyle name="好_2、土地面积、人口、粮食产量基本情况 6" xfId="2185"/>
    <cellStyle name="好_2、土地面积、人口、粮食产量基本情况 7" xfId="2186"/>
    <cellStyle name="好_2、土地面积、人口、粮食产量基本情况 8" xfId="2187"/>
    <cellStyle name="好_2、土地面积、人口、粮食产量基本情况 9" xfId="2188"/>
    <cellStyle name="好_2006年分析表" xfId="2189"/>
    <cellStyle name="好_2006年基础数据" xfId="2190"/>
    <cellStyle name="好_2006年基础数据 2" xfId="2191"/>
    <cellStyle name="好_2006年基础数据 3" xfId="2192"/>
    <cellStyle name="好_2006年基础数据 4" xfId="2193"/>
    <cellStyle name="好_2006年基础数据 5" xfId="2194"/>
    <cellStyle name="好_2006年基础数据 6" xfId="2195"/>
    <cellStyle name="好_2006年基础数据 7" xfId="2196"/>
    <cellStyle name="好_2006年基础数据 8" xfId="2197"/>
    <cellStyle name="好_2006年基础数据 9" xfId="2198"/>
    <cellStyle name="好_2006年全省财力计算表（中央、决算）" xfId="2199"/>
    <cellStyle name="好_2006年全省财力计算表（中央、决算） 2" xfId="2200"/>
    <cellStyle name="好_2006年全省财力计算表（中央、决算） 3" xfId="2201"/>
    <cellStyle name="好_2006年全省财力计算表（中央、决算） 4" xfId="2202"/>
    <cellStyle name="好_2006年全省财力计算表（中央、决算） 5" xfId="2203"/>
    <cellStyle name="好_2006年全省财力计算表（中央、决算） 6" xfId="2204"/>
    <cellStyle name="好_2006年全省财力计算表（中央、决算） 7" xfId="2205"/>
    <cellStyle name="好_2006年全省财力计算表（中央、决算） 8" xfId="2206"/>
    <cellStyle name="好_2006年全省财力计算表（中央、决算） 9" xfId="2207"/>
    <cellStyle name="好_2006年水利统计指标统计表" xfId="2208"/>
    <cellStyle name="好_2006年水利统计指标统计表 2" xfId="2209"/>
    <cellStyle name="好_2006年水利统计指标统计表 3" xfId="2210"/>
    <cellStyle name="好_2006年水利统计指标统计表 4" xfId="2211"/>
    <cellStyle name="好_2006年水利统计指标统计表 5" xfId="2212"/>
    <cellStyle name="好_2006年水利统计指标统计表 6" xfId="2213"/>
    <cellStyle name="好_2006年水利统计指标统计表 7" xfId="2214"/>
    <cellStyle name="好_2006年水利统计指标统计表 8" xfId="2215"/>
    <cellStyle name="好_2006年水利统计指标统计表 9" xfId="2216"/>
    <cellStyle name="好_2006年在职人员情况" xfId="2217"/>
    <cellStyle name="好_2006年在职人员情况 2" xfId="2218"/>
    <cellStyle name="好_2006年在职人员情况 3" xfId="2219"/>
    <cellStyle name="好_2006年在职人员情况 4" xfId="2220"/>
    <cellStyle name="好_2006年在职人员情况 5" xfId="2221"/>
    <cellStyle name="好_2006年在职人员情况 6" xfId="2222"/>
    <cellStyle name="好_2006年在职人员情况 7" xfId="2223"/>
    <cellStyle name="好_2006年在职人员情况 8" xfId="2224"/>
    <cellStyle name="好_2006年在职人员情况 9" xfId="2225"/>
    <cellStyle name="好_2007年检察院案件数" xfId="2226"/>
    <cellStyle name="好_2007年检察院案件数 2" xfId="2227"/>
    <cellStyle name="好_2007年检察院案件数 3" xfId="2228"/>
    <cellStyle name="好_2007年检察院案件数 4" xfId="2229"/>
    <cellStyle name="好_2007年检察院案件数 5" xfId="2230"/>
    <cellStyle name="好_2007年检察院案件数 6" xfId="2231"/>
    <cellStyle name="好_2007年检察院案件数 7" xfId="2232"/>
    <cellStyle name="好_2007年检察院案件数 8" xfId="2233"/>
    <cellStyle name="好_2007年检察院案件数 9" xfId="2234"/>
    <cellStyle name="好_2007年可用财力" xfId="2235"/>
    <cellStyle name="好_2007年人员分部门统计表" xfId="2236"/>
    <cellStyle name="好_2007年人员分部门统计表 2" xfId="2237"/>
    <cellStyle name="好_2007年人员分部门统计表 3" xfId="2238"/>
    <cellStyle name="好_2007年人员分部门统计表 4" xfId="2239"/>
    <cellStyle name="好_2007年人员分部门统计表 5" xfId="2240"/>
    <cellStyle name="好_2007年人员分部门统计表 6" xfId="2241"/>
    <cellStyle name="好_2007年人员分部门统计表 7" xfId="2242"/>
    <cellStyle name="好_2007年人员分部门统计表 8" xfId="2243"/>
    <cellStyle name="好_2007年人员分部门统计表 9" xfId="2244"/>
    <cellStyle name="好_2007年政法部门业务指标" xfId="2245"/>
    <cellStyle name="好_2007年政法部门业务指标 2" xfId="2246"/>
    <cellStyle name="好_2007年政法部门业务指标 3" xfId="2247"/>
    <cellStyle name="好_2007年政法部门业务指标 4" xfId="2248"/>
    <cellStyle name="好_2007年政法部门业务指标 5" xfId="2249"/>
    <cellStyle name="好_2007年政法部门业务指标 6" xfId="2250"/>
    <cellStyle name="好_2007年政法部门业务指标 7" xfId="2251"/>
    <cellStyle name="好_2007年政法部门业务指标 8" xfId="2252"/>
    <cellStyle name="好_2007年政法部门业务指标 9" xfId="2253"/>
    <cellStyle name="好_2008年县级公安保障标准落实奖励经费分配测算" xfId="2254"/>
    <cellStyle name="好_2008云南省分县市中小学教职工统计表（教育厅提供）" xfId="2255"/>
    <cellStyle name="好_2008云南省分县市中小学教职工统计表（教育厅提供） 2" xfId="2256"/>
    <cellStyle name="好_2008云南省分县市中小学教职工统计表（教育厅提供） 3" xfId="2257"/>
    <cellStyle name="好_2008云南省分县市中小学教职工统计表（教育厅提供） 4" xfId="2258"/>
    <cellStyle name="好_2008云南省分县市中小学教职工统计表（教育厅提供） 5" xfId="2259"/>
    <cellStyle name="好_2008云南省分县市中小学教职工统计表（教育厅提供） 6" xfId="2260"/>
    <cellStyle name="好_2008云南省分县市中小学教职工统计表（教育厅提供） 7" xfId="2261"/>
    <cellStyle name="好_2008云南省分县市中小学教职工统计表（教育厅提供） 8" xfId="2262"/>
    <cellStyle name="好_2008云南省分县市中小学教职工统计表（教育厅提供） 9" xfId="2263"/>
    <cellStyle name="好_2009年一般性转移支付标准工资" xfId="2264"/>
    <cellStyle name="好_2009年一般性转移支付标准工资 2" xfId="2265"/>
    <cellStyle name="好_2009年一般性转移支付标准工资 3" xfId="2266"/>
    <cellStyle name="好_2009年一般性转移支付标准工资 4" xfId="2267"/>
    <cellStyle name="好_2009年一般性转移支付标准工资 5" xfId="2268"/>
    <cellStyle name="好_2009年一般性转移支付标准工资 6" xfId="2269"/>
    <cellStyle name="好_2009年一般性转移支付标准工资 7" xfId="2270"/>
    <cellStyle name="好_2009年一般性转移支付标准工资 8" xfId="2271"/>
    <cellStyle name="好_2009年一般性转移支付标准工资 9" xfId="2272"/>
    <cellStyle name="好_2009年一般性转移支付标准工资_~4190974" xfId="2273"/>
    <cellStyle name="好_2009年一般性转移支付标准工资_~4190974 2" xfId="2274"/>
    <cellStyle name="好_2009年一般性转移支付标准工资_~4190974 3" xfId="2275"/>
    <cellStyle name="好_2009年一般性转移支付标准工资_~4190974 4" xfId="2276"/>
    <cellStyle name="好_2009年一般性转移支付标准工资_~4190974 5" xfId="2277"/>
    <cellStyle name="好_2009年一般性转移支付标准工资_~4190974 6" xfId="2278"/>
    <cellStyle name="好_2009年一般性转移支付标准工资_~4190974 7" xfId="2279"/>
    <cellStyle name="好_2009年一般性转移支付标准工资_~4190974 8" xfId="2280"/>
    <cellStyle name="好_2009年一般性转移支付标准工资_~4190974 9" xfId="2281"/>
    <cellStyle name="好_2009年一般性转移支付标准工资_~5676413" xfId="2282"/>
    <cellStyle name="好_2009年一般性转移支付标准工资_~5676413 2" xfId="2283"/>
    <cellStyle name="好_2009年一般性转移支付标准工资_~5676413 3" xfId="2284"/>
    <cellStyle name="好_2009年一般性转移支付标准工资_~5676413 4" xfId="2285"/>
    <cellStyle name="好_2009年一般性转移支付标准工资_~5676413 5" xfId="2286"/>
    <cellStyle name="好_2009年一般性转移支付标准工资_~5676413 6" xfId="2287"/>
    <cellStyle name="好_2009年一般性转移支付标准工资_~5676413 7" xfId="2288"/>
    <cellStyle name="好_2009年一般性转移支付标准工资_~5676413 8" xfId="2289"/>
    <cellStyle name="好_2009年一般性转移支付标准工资_~5676413 9" xfId="2290"/>
    <cellStyle name="好_2009年一般性转移支付标准工资_不用软件计算9.1不考虑经费管理评价xl" xfId="2291"/>
    <cellStyle name="好_2009年一般性转移支付标准工资_不用软件计算9.1不考虑经费管理评价xl 2" xfId="2292"/>
    <cellStyle name="好_2009年一般性转移支付标准工资_不用软件计算9.1不考虑经费管理评价xl 3" xfId="2293"/>
    <cellStyle name="好_2009年一般性转移支付标准工资_不用软件计算9.1不考虑经费管理评价xl 4" xfId="2294"/>
    <cellStyle name="好_2009年一般性转移支付标准工资_不用软件计算9.1不考虑经费管理评价xl 5" xfId="2295"/>
    <cellStyle name="好_2009年一般性转移支付标准工资_不用软件计算9.1不考虑经费管理评价xl 6" xfId="2296"/>
    <cellStyle name="好_2009年一般性转移支付标准工资_不用软件计算9.1不考虑经费管理评价xl 7" xfId="2297"/>
    <cellStyle name="好_2009年一般性转移支付标准工资_不用软件计算9.1不考虑经费管理评价xl 8" xfId="2298"/>
    <cellStyle name="好_2009年一般性转移支付标准工资_不用软件计算9.1不考虑经费管理评价xl 9" xfId="2299"/>
    <cellStyle name="好_2009年一般性转移支付标准工资_地方配套按人均增幅控制8.30xl" xfId="2300"/>
    <cellStyle name="好_2009年一般性转移支付标准工资_地方配套按人均增幅控制8.30xl 2" xfId="2301"/>
    <cellStyle name="好_2009年一般性转移支付标准工资_地方配套按人均增幅控制8.30xl 3" xfId="2302"/>
    <cellStyle name="好_2009年一般性转移支付标准工资_地方配套按人均增幅控制8.30xl 4" xfId="2303"/>
    <cellStyle name="好_2009年一般性转移支付标准工资_地方配套按人均增幅控制8.30xl 5" xfId="2304"/>
    <cellStyle name="好_2009年一般性转移支付标准工资_地方配套按人均增幅控制8.30xl 6" xfId="2305"/>
    <cellStyle name="好_2009年一般性转移支付标准工资_地方配套按人均增幅控制8.30xl 7" xfId="2306"/>
    <cellStyle name="好_2009年一般性转移支付标准工资_地方配套按人均增幅控制8.30xl 8" xfId="2307"/>
    <cellStyle name="好_2009年一般性转移支付标准工资_地方配套按人均增幅控制8.30xl 9" xfId="2308"/>
    <cellStyle name="好_2009年一般性转移支付标准工资_地方配套按人均增幅控制8.30一般预算平均增幅、人均可用财力平均增幅两次控制、社会治安系数调整、案件数调整xl" xfId="2309"/>
    <cellStyle name="好_2009年一般性转移支付标准工资_地方配套按人均增幅控制8.30一般预算平均增幅、人均可用财力平均增幅两次控制、社会治安系数调整、案件数调整xl 2" xfId="2310"/>
    <cellStyle name="好_2009年一般性转移支付标准工资_地方配套按人均增幅控制8.30一般预算平均增幅、人均可用财力平均增幅两次控制、社会治安系数调整、案件数调整xl 3" xfId="2311"/>
    <cellStyle name="好_2009年一般性转移支付标准工资_地方配套按人均增幅控制8.30一般预算平均增幅、人均可用财力平均增幅两次控制、社会治安系数调整、案件数调整xl 4" xfId="2312"/>
    <cellStyle name="好_2009年一般性转移支付标准工资_地方配套按人均增幅控制8.30一般预算平均增幅、人均可用财力平均增幅两次控制、社会治安系数调整、案件数调整xl 5" xfId="2313"/>
    <cellStyle name="好_2009年一般性转移支付标准工资_地方配套按人均增幅控制8.30一般预算平均增幅、人均可用财力平均增幅两次控制、社会治安系数调整、案件数调整xl 6" xfId="2314"/>
    <cellStyle name="好_2009年一般性转移支付标准工资_地方配套按人均增幅控制8.30一般预算平均增幅、人均可用财力平均增幅两次控制、社会治安系数调整、案件数调整xl 7" xfId="2315"/>
    <cellStyle name="好_2009年一般性转移支付标准工资_地方配套按人均增幅控制8.30一般预算平均增幅、人均可用财力平均增幅两次控制、社会治安系数调整、案件数调整xl 8" xfId="2316"/>
    <cellStyle name="好_2009年一般性转移支付标准工资_地方配套按人均增幅控制8.30一般预算平均增幅、人均可用财力平均增幅两次控制、社会治安系数调整、案件数调整xl 9" xfId="2317"/>
    <cellStyle name="好_2009年一般性转移支付标准工资_地方配套按人均增幅控制8.31（调整结案率后）xl" xfId="2318"/>
    <cellStyle name="好_2009年一般性转移支付标准工资_地方配套按人均增幅控制8.31（调整结案率后）xl 2" xfId="2319"/>
    <cellStyle name="好_2009年一般性转移支付标准工资_地方配套按人均增幅控制8.31（调整结案率后）xl 3" xfId="2320"/>
    <cellStyle name="好_2009年一般性转移支付标准工资_地方配套按人均增幅控制8.31（调整结案率后）xl 4" xfId="2321"/>
    <cellStyle name="好_2009年一般性转移支付标准工资_地方配套按人均增幅控制8.31（调整结案率后）xl 5" xfId="2322"/>
    <cellStyle name="好_2009年一般性转移支付标准工资_地方配套按人均增幅控制8.31（调整结案率后）xl 6" xfId="2323"/>
    <cellStyle name="好_2009年一般性转移支付标准工资_地方配套按人均增幅控制8.31（调整结案率后）xl 7" xfId="2324"/>
    <cellStyle name="好_2009年一般性转移支付标准工资_地方配套按人均增幅控制8.31（调整结案率后）xl 8" xfId="2325"/>
    <cellStyle name="好_2009年一般性转移支付标准工资_地方配套按人均增幅控制8.31（调整结案率后）xl 9" xfId="2326"/>
    <cellStyle name="好_2009年一般性转移支付标准工资_奖励补助测算5.22测试" xfId="2327"/>
    <cellStyle name="好_2009年一般性转移支付标准工资_奖励补助测算5.22测试 2" xfId="2328"/>
    <cellStyle name="好_2009年一般性转移支付标准工资_奖励补助测算5.22测试 3" xfId="2329"/>
    <cellStyle name="好_2009年一般性转移支付标准工资_奖励补助测算5.22测试 4" xfId="2330"/>
    <cellStyle name="好_2009年一般性转移支付标准工资_奖励补助测算5.22测试 5" xfId="2331"/>
    <cellStyle name="好_2009年一般性转移支付标准工资_奖励补助测算5.22测试 6" xfId="2332"/>
    <cellStyle name="好_2009年一般性转移支付标准工资_奖励补助测算5.22测试 7" xfId="2333"/>
    <cellStyle name="好_2009年一般性转移支付标准工资_奖励补助测算5.22测试 8" xfId="2334"/>
    <cellStyle name="好_2009年一般性转移支付标准工资_奖励补助测算5.22测试 9" xfId="2335"/>
    <cellStyle name="好_2009年一般性转移支付标准工资_奖励补助测算5.23新" xfId="2336"/>
    <cellStyle name="好_2009年一般性转移支付标准工资_奖励补助测算5.23新 2" xfId="2337"/>
    <cellStyle name="好_2009年一般性转移支付标准工资_奖励补助测算5.23新 3" xfId="2338"/>
    <cellStyle name="好_2009年一般性转移支付标准工资_奖励补助测算5.23新 4" xfId="2339"/>
    <cellStyle name="好_2009年一般性转移支付标准工资_奖励补助测算5.23新 5" xfId="2340"/>
    <cellStyle name="好_2009年一般性转移支付标准工资_奖励补助测算5.23新 6" xfId="2341"/>
    <cellStyle name="好_2009年一般性转移支付标准工资_奖励补助测算5.23新 7" xfId="2342"/>
    <cellStyle name="好_2009年一般性转移支付标准工资_奖励补助测算5.23新 8" xfId="2343"/>
    <cellStyle name="好_2009年一般性转移支付标准工资_奖励补助测算5.23新 9" xfId="2344"/>
    <cellStyle name="好_2009年一般性转移支付标准工资_奖励补助测算5.24冯铸" xfId="2345"/>
    <cellStyle name="好_2009年一般性转移支付标准工资_奖励补助测算5.24冯铸 2" xfId="2346"/>
    <cellStyle name="好_2009年一般性转移支付标准工资_奖励补助测算5.24冯铸 3" xfId="2347"/>
    <cellStyle name="好_2009年一般性转移支付标准工资_奖励补助测算5.24冯铸 4" xfId="2348"/>
    <cellStyle name="好_2009年一般性转移支付标准工资_奖励补助测算5.24冯铸 5" xfId="2349"/>
    <cellStyle name="好_2009年一般性转移支付标准工资_奖励补助测算5.24冯铸 6" xfId="2350"/>
    <cellStyle name="好_2009年一般性转移支付标准工资_奖励补助测算5.24冯铸 7" xfId="2351"/>
    <cellStyle name="好_2009年一般性转移支付标准工资_奖励补助测算5.24冯铸 8" xfId="2352"/>
    <cellStyle name="好_2009年一般性转移支付标准工资_奖励补助测算5.24冯铸 9" xfId="2353"/>
    <cellStyle name="好_2009年一般性转移支付标准工资_奖励补助测算7.23" xfId="2354"/>
    <cellStyle name="好_2009年一般性转移支付标准工资_奖励补助测算7.23 2" xfId="2355"/>
    <cellStyle name="好_2009年一般性转移支付标准工资_奖励补助测算7.23 3" xfId="2356"/>
    <cellStyle name="好_2009年一般性转移支付标准工资_奖励补助测算7.23 4" xfId="2357"/>
    <cellStyle name="好_2009年一般性转移支付标准工资_奖励补助测算7.23 5" xfId="2358"/>
    <cellStyle name="好_2009年一般性转移支付标准工资_奖励补助测算7.23 6" xfId="2359"/>
    <cellStyle name="好_2009年一般性转移支付标准工资_奖励补助测算7.23 7" xfId="2360"/>
    <cellStyle name="好_2009年一般性转移支付标准工资_奖励补助测算7.23 8" xfId="2361"/>
    <cellStyle name="好_2009年一般性转移支付标准工资_奖励补助测算7.23 9" xfId="2362"/>
    <cellStyle name="好_2009年一般性转移支付标准工资_奖励补助测算7.25" xfId="2363"/>
    <cellStyle name="好_2009年一般性转移支付标准工资_奖励补助测算7.25 (version 1) (version 1)" xfId="2364"/>
    <cellStyle name="好_2009年一般性转移支付标准工资_奖励补助测算7.25 (version 1) (version 1) 2" xfId="2365"/>
    <cellStyle name="好_2009年一般性转移支付标准工资_奖励补助测算7.25 (version 1) (version 1) 3" xfId="2366"/>
    <cellStyle name="好_2009年一般性转移支付标准工资_奖励补助测算7.25 (version 1) (version 1) 4" xfId="2367"/>
    <cellStyle name="好_2009年一般性转移支付标准工资_奖励补助测算7.25 (version 1) (version 1) 5" xfId="2368"/>
    <cellStyle name="好_2009年一般性转移支付标准工资_奖励补助测算7.25 (version 1) (version 1) 6" xfId="2369"/>
    <cellStyle name="好_2009年一般性转移支付标准工资_奖励补助测算7.25 (version 1) (version 1) 7" xfId="2370"/>
    <cellStyle name="好_2009年一般性转移支付标准工资_奖励补助测算7.25 (version 1) (version 1) 8" xfId="2371"/>
    <cellStyle name="好_2009年一般性转移支付标准工资_奖励补助测算7.25 (version 1) (version 1) 9" xfId="2372"/>
    <cellStyle name="好_2009年一般性转移支付标准工资_奖励补助测算7.25 2" xfId="2373"/>
    <cellStyle name="好_2009年一般性转移支付标准工资_奖励补助测算7.25 3" xfId="2374"/>
    <cellStyle name="好_2009年一般性转移支付标准工资_奖励补助测算7.25 4" xfId="2375"/>
    <cellStyle name="好_2009年一般性转移支付标准工资_奖励补助测算7.25 5" xfId="2376"/>
    <cellStyle name="好_2009年一般性转移支付标准工资_奖励补助测算7.25 6" xfId="2377"/>
    <cellStyle name="好_2009年一般性转移支付标准工资_奖励补助测算7.25 7" xfId="2378"/>
    <cellStyle name="好_2009年一般性转移支付标准工资_奖励补助测算7.25 8" xfId="2379"/>
    <cellStyle name="好_2009年一般性转移支付标准工资_奖励补助测算7.25 9" xfId="2380"/>
    <cellStyle name="好_530623_2006年县级财政报表附表" xfId="2381"/>
    <cellStyle name="好_530623_2006年县级财政报表附表 2" xfId="2382"/>
    <cellStyle name="好_530623_2006年县级财政报表附表 3" xfId="2383"/>
    <cellStyle name="好_530623_2006年县级财政报表附表 4" xfId="2384"/>
    <cellStyle name="好_530623_2006年县级财政报表附表 5" xfId="2385"/>
    <cellStyle name="好_530623_2006年县级财政报表附表 6" xfId="2386"/>
    <cellStyle name="好_530623_2006年县级财政报表附表 7" xfId="2387"/>
    <cellStyle name="好_530623_2006年县级财政报表附表 8" xfId="2388"/>
    <cellStyle name="好_530623_2006年县级财政报表附表 9" xfId="2389"/>
    <cellStyle name="好_530629_2006年县级财政报表附表" xfId="2390"/>
    <cellStyle name="好_530629_2006年县级财政报表附表 2" xfId="2391"/>
    <cellStyle name="好_530629_2006年县级财政报表附表 3" xfId="2392"/>
    <cellStyle name="好_530629_2006年县级财政报表附表 4" xfId="2393"/>
    <cellStyle name="好_530629_2006年县级财政报表附表 5" xfId="2394"/>
    <cellStyle name="好_530629_2006年县级财政报表附表 6" xfId="2395"/>
    <cellStyle name="好_530629_2006年县级财政报表附表 7" xfId="2396"/>
    <cellStyle name="好_530629_2006年县级财政报表附表 8" xfId="2397"/>
    <cellStyle name="好_530629_2006年县级财政报表附表 9" xfId="2398"/>
    <cellStyle name="好_5334_2006年迪庆县级财政报表附表" xfId="2399"/>
    <cellStyle name="好_5334_2006年迪庆县级财政报表附表 2" xfId="2400"/>
    <cellStyle name="好_5334_2006年迪庆县级财政报表附表 3" xfId="2401"/>
    <cellStyle name="好_5334_2006年迪庆县级财政报表附表 4" xfId="2402"/>
    <cellStyle name="好_5334_2006年迪庆县级财政报表附表 5" xfId="2403"/>
    <cellStyle name="好_5334_2006年迪庆县级财政报表附表 6" xfId="2404"/>
    <cellStyle name="好_5334_2006年迪庆县级财政报表附表 7" xfId="2405"/>
    <cellStyle name="好_5334_2006年迪庆县级财政报表附表 8" xfId="2406"/>
    <cellStyle name="好_5334_2006年迪庆县级财政报表附表 9" xfId="2407"/>
    <cellStyle name="好_Book1" xfId="2408"/>
    <cellStyle name="好_Book1 2" xfId="2409"/>
    <cellStyle name="好_Book1 3" xfId="2410"/>
    <cellStyle name="好_Book1 4" xfId="2411"/>
    <cellStyle name="好_Book1 5" xfId="2412"/>
    <cellStyle name="好_Book1 6" xfId="2413"/>
    <cellStyle name="好_Book1 7" xfId="2414"/>
    <cellStyle name="好_Book1 8" xfId="2415"/>
    <cellStyle name="好_Book1 9" xfId="2416"/>
    <cellStyle name="好_Book1_1" xfId="2417"/>
    <cellStyle name="好_Book1_1 2" xfId="2418"/>
    <cellStyle name="好_Book1_1 3" xfId="2419"/>
    <cellStyle name="好_Book1_1 4" xfId="2420"/>
    <cellStyle name="好_Book1_1 5" xfId="2421"/>
    <cellStyle name="好_Book1_1 6" xfId="2422"/>
    <cellStyle name="好_Book1_1 7" xfId="2423"/>
    <cellStyle name="好_Book1_1 8" xfId="2424"/>
    <cellStyle name="好_Book1_1 9" xfId="2425"/>
    <cellStyle name="好_Book2" xfId="2426"/>
    <cellStyle name="好_Book2 2" xfId="2427"/>
    <cellStyle name="好_Book2 3" xfId="2428"/>
    <cellStyle name="好_Book2 4" xfId="2429"/>
    <cellStyle name="好_Book2 5" xfId="2430"/>
    <cellStyle name="好_Book2 6" xfId="2431"/>
    <cellStyle name="好_Book2 7" xfId="2432"/>
    <cellStyle name="好_Book2 8" xfId="2433"/>
    <cellStyle name="好_Book2 9" xfId="2434"/>
    <cellStyle name="好_M01-2(州市补助收入)" xfId="2435"/>
    <cellStyle name="好_M01-2(州市补助收入) 2" xfId="2436"/>
    <cellStyle name="好_M01-2(州市补助收入) 3" xfId="2437"/>
    <cellStyle name="好_M01-2(州市补助收入) 4" xfId="2438"/>
    <cellStyle name="好_M01-2(州市补助收入) 5" xfId="2439"/>
    <cellStyle name="好_M01-2(州市补助收入) 6" xfId="2440"/>
    <cellStyle name="好_M01-2(州市补助收入) 7" xfId="2441"/>
    <cellStyle name="好_M01-2(州市补助收入) 8" xfId="2442"/>
    <cellStyle name="好_M01-2(州市补助收入) 9" xfId="2443"/>
    <cellStyle name="好_M03" xfId="2444"/>
    <cellStyle name="好_M03 2" xfId="2445"/>
    <cellStyle name="好_M03 3" xfId="2446"/>
    <cellStyle name="好_M03 4" xfId="2447"/>
    <cellStyle name="好_M03 5" xfId="2448"/>
    <cellStyle name="好_M03 6" xfId="2449"/>
    <cellStyle name="好_M03 7" xfId="2450"/>
    <cellStyle name="好_M03 8" xfId="2451"/>
    <cellStyle name="好_M03 9" xfId="2452"/>
    <cellStyle name="好_不用软件计算9.1不考虑经费管理评价xl" xfId="2453"/>
    <cellStyle name="好_不用软件计算9.1不考虑经费管理评价xl 2" xfId="2454"/>
    <cellStyle name="好_不用软件计算9.1不考虑经费管理评价xl 3" xfId="2455"/>
    <cellStyle name="好_不用软件计算9.1不考虑经费管理评价xl 4" xfId="2456"/>
    <cellStyle name="好_不用软件计算9.1不考虑经费管理评价xl 5" xfId="2457"/>
    <cellStyle name="好_不用软件计算9.1不考虑经费管理评价xl 6" xfId="2458"/>
    <cellStyle name="好_不用软件计算9.1不考虑经费管理评价xl 7" xfId="2459"/>
    <cellStyle name="好_不用软件计算9.1不考虑经费管理评价xl 8" xfId="2460"/>
    <cellStyle name="好_不用软件计算9.1不考虑经费管理评价xl 9" xfId="2461"/>
    <cellStyle name="好_财政供养人员" xfId="2462"/>
    <cellStyle name="好_财政供养人员 2" xfId="2463"/>
    <cellStyle name="好_财政供养人员 3" xfId="2464"/>
    <cellStyle name="好_财政供养人员 4" xfId="2465"/>
    <cellStyle name="好_财政供养人员 5" xfId="2466"/>
    <cellStyle name="好_财政供养人员 6" xfId="2467"/>
    <cellStyle name="好_财政供养人员 7" xfId="2468"/>
    <cellStyle name="好_财政供养人员 8" xfId="2469"/>
    <cellStyle name="好_财政供养人员 9" xfId="2470"/>
    <cellStyle name="好_财政支出对上级的依赖程度" xfId="2471"/>
    <cellStyle name="好_城建部门" xfId="2472"/>
    <cellStyle name="好_地方配套按人均增幅控制8.30xl" xfId="2473"/>
    <cellStyle name="好_地方配套按人均增幅控制8.30xl 2" xfId="2474"/>
    <cellStyle name="好_地方配套按人均增幅控制8.30xl 3" xfId="2475"/>
    <cellStyle name="好_地方配套按人均增幅控制8.30xl 4" xfId="2476"/>
    <cellStyle name="好_地方配套按人均增幅控制8.30xl 5" xfId="2477"/>
    <cellStyle name="好_地方配套按人均增幅控制8.30xl 6" xfId="2478"/>
    <cellStyle name="好_地方配套按人均增幅控制8.30xl 7" xfId="2479"/>
    <cellStyle name="好_地方配套按人均增幅控制8.30xl 8" xfId="2480"/>
    <cellStyle name="好_地方配套按人均增幅控制8.30xl 9" xfId="2481"/>
    <cellStyle name="好_地方配套按人均增幅控制8.30一般预算平均增幅、人均可用财力平均增幅两次控制、社会治安系数调整、案件数调整xl" xfId="2482"/>
    <cellStyle name="好_地方配套按人均增幅控制8.30一般预算平均增幅、人均可用财力平均增幅两次控制、社会治安系数调整、案件数调整xl 2" xfId="2483"/>
    <cellStyle name="好_地方配套按人均增幅控制8.30一般预算平均增幅、人均可用财力平均增幅两次控制、社会治安系数调整、案件数调整xl 3" xfId="2484"/>
    <cellStyle name="好_地方配套按人均增幅控制8.30一般预算平均增幅、人均可用财力平均增幅两次控制、社会治安系数调整、案件数调整xl 4" xfId="2485"/>
    <cellStyle name="好_地方配套按人均增幅控制8.30一般预算平均增幅、人均可用财力平均增幅两次控制、社会治安系数调整、案件数调整xl 5" xfId="2486"/>
    <cellStyle name="好_地方配套按人均增幅控制8.30一般预算平均增幅、人均可用财力平均增幅两次控制、社会治安系数调整、案件数调整xl 6" xfId="2487"/>
    <cellStyle name="好_地方配套按人均增幅控制8.30一般预算平均增幅、人均可用财力平均增幅两次控制、社会治安系数调整、案件数调整xl 7" xfId="2488"/>
    <cellStyle name="好_地方配套按人均增幅控制8.30一般预算平均增幅、人均可用财力平均增幅两次控制、社会治安系数调整、案件数调整xl 8" xfId="2489"/>
    <cellStyle name="好_地方配套按人均增幅控制8.30一般预算平均增幅、人均可用财力平均增幅两次控制、社会治安系数调整、案件数调整xl 9" xfId="2490"/>
    <cellStyle name="好_地方配套按人均增幅控制8.31（调整结案率后）xl" xfId="2491"/>
    <cellStyle name="好_地方配套按人均增幅控制8.31（调整结案率后）xl 2" xfId="2492"/>
    <cellStyle name="好_地方配套按人均增幅控制8.31（调整结案率后）xl 3" xfId="2493"/>
    <cellStyle name="好_地方配套按人均增幅控制8.31（调整结案率后）xl 4" xfId="2494"/>
    <cellStyle name="好_地方配套按人均增幅控制8.31（调整结案率后）xl 5" xfId="2495"/>
    <cellStyle name="好_地方配套按人均增幅控制8.31（调整结案率后）xl 6" xfId="2496"/>
    <cellStyle name="好_地方配套按人均增幅控制8.31（调整结案率后）xl 7" xfId="2497"/>
    <cellStyle name="好_地方配套按人均增幅控制8.31（调整结案率后）xl 8" xfId="2498"/>
    <cellStyle name="好_地方配套按人均增幅控制8.31（调整结案率后）xl 9" xfId="2499"/>
    <cellStyle name="好_第五部分(才淼、饶永宏）" xfId="2500"/>
    <cellStyle name="好_第五部分(才淼、饶永宏） 2" xfId="2501"/>
    <cellStyle name="好_第五部分(才淼、饶永宏） 3" xfId="2502"/>
    <cellStyle name="好_第五部分(才淼、饶永宏） 4" xfId="2503"/>
    <cellStyle name="好_第五部分(才淼、饶永宏） 5" xfId="2504"/>
    <cellStyle name="好_第五部分(才淼、饶永宏） 6" xfId="2505"/>
    <cellStyle name="好_第五部分(才淼、饶永宏） 7" xfId="2506"/>
    <cellStyle name="好_第五部分(才淼、饶永宏） 8" xfId="2507"/>
    <cellStyle name="好_第五部分(才淼、饶永宏） 9" xfId="2508"/>
    <cellStyle name="好_第一部分：综合全" xfId="2509"/>
    <cellStyle name="好_高中教师人数（教育厅1.6日提供）" xfId="2510"/>
    <cellStyle name="好_高中教师人数（教育厅1.6日提供） 2" xfId="2511"/>
    <cellStyle name="好_高中教师人数（教育厅1.6日提供） 3" xfId="2512"/>
    <cellStyle name="好_高中教师人数（教育厅1.6日提供） 4" xfId="2513"/>
    <cellStyle name="好_高中教师人数（教育厅1.6日提供） 5" xfId="2514"/>
    <cellStyle name="好_高中教师人数（教育厅1.6日提供） 6" xfId="2515"/>
    <cellStyle name="好_高中教师人数（教育厅1.6日提供） 7" xfId="2516"/>
    <cellStyle name="好_高中教师人数（教育厅1.6日提供） 8" xfId="2517"/>
    <cellStyle name="好_高中教师人数（教育厅1.6日提供） 9" xfId="2518"/>
    <cellStyle name="好_汇总" xfId="2519"/>
    <cellStyle name="好_汇总 2" xfId="2520"/>
    <cellStyle name="好_汇总 3" xfId="2521"/>
    <cellStyle name="好_汇总 4" xfId="2522"/>
    <cellStyle name="好_汇总 5" xfId="2523"/>
    <cellStyle name="好_汇总 6" xfId="2524"/>
    <cellStyle name="好_汇总 7" xfId="2525"/>
    <cellStyle name="好_汇总 8" xfId="2526"/>
    <cellStyle name="好_汇总 9" xfId="2527"/>
    <cellStyle name="好_汇总-县级财政报表附表" xfId="2528"/>
    <cellStyle name="好_汇总-县级财政报表附表 2" xfId="2529"/>
    <cellStyle name="好_汇总-县级财政报表附表 3" xfId="2530"/>
    <cellStyle name="好_汇总-县级财政报表附表 4" xfId="2531"/>
    <cellStyle name="好_汇总-县级财政报表附表 5" xfId="2532"/>
    <cellStyle name="好_汇总-县级财政报表附表 6" xfId="2533"/>
    <cellStyle name="好_汇总-县级财政报表附表 7" xfId="2534"/>
    <cellStyle name="好_汇总-县级财政报表附表 8" xfId="2535"/>
    <cellStyle name="好_汇总-县级财政报表附表 9" xfId="2536"/>
    <cellStyle name="好_基础数据分析" xfId="2537"/>
    <cellStyle name="好_基础数据分析 2" xfId="2538"/>
    <cellStyle name="好_基础数据分析 3" xfId="2539"/>
    <cellStyle name="好_基础数据分析 4" xfId="2540"/>
    <cellStyle name="好_基础数据分析 5" xfId="2541"/>
    <cellStyle name="好_基础数据分析 6" xfId="2542"/>
    <cellStyle name="好_基础数据分析 7" xfId="2543"/>
    <cellStyle name="好_基础数据分析 8" xfId="2544"/>
    <cellStyle name="好_基础数据分析 9" xfId="2545"/>
    <cellStyle name="好_检验表" xfId="2546"/>
    <cellStyle name="好_检验表（调整后）" xfId="2547"/>
    <cellStyle name="好_奖励补助测算5.22测试" xfId="2548"/>
    <cellStyle name="好_奖励补助测算5.22测试 2" xfId="2549"/>
    <cellStyle name="好_奖励补助测算5.22测试 3" xfId="2550"/>
    <cellStyle name="好_奖励补助测算5.22测试 4" xfId="2551"/>
    <cellStyle name="好_奖励补助测算5.22测试 5" xfId="2552"/>
    <cellStyle name="好_奖励补助测算5.22测试 6" xfId="2553"/>
    <cellStyle name="好_奖励补助测算5.22测试 7" xfId="2554"/>
    <cellStyle name="好_奖励补助测算5.22测试 8" xfId="2555"/>
    <cellStyle name="好_奖励补助测算5.22测试 9" xfId="2556"/>
    <cellStyle name="好_奖励补助测算5.23新" xfId="2557"/>
    <cellStyle name="好_奖励补助测算5.23新 2" xfId="2558"/>
    <cellStyle name="好_奖励补助测算5.23新 3" xfId="2559"/>
    <cellStyle name="好_奖励补助测算5.23新 4" xfId="2560"/>
    <cellStyle name="好_奖励补助测算5.23新 5" xfId="2561"/>
    <cellStyle name="好_奖励补助测算5.23新 6" xfId="2562"/>
    <cellStyle name="好_奖励补助测算5.23新 7" xfId="2563"/>
    <cellStyle name="好_奖励补助测算5.23新 8" xfId="2564"/>
    <cellStyle name="好_奖励补助测算5.23新 9" xfId="2565"/>
    <cellStyle name="好_奖励补助测算5.24冯铸" xfId="2566"/>
    <cellStyle name="好_奖励补助测算5.24冯铸 2" xfId="2567"/>
    <cellStyle name="好_奖励补助测算5.24冯铸 3" xfId="2568"/>
    <cellStyle name="好_奖励补助测算5.24冯铸 4" xfId="2569"/>
    <cellStyle name="好_奖励补助测算5.24冯铸 5" xfId="2570"/>
    <cellStyle name="好_奖励补助测算5.24冯铸 6" xfId="2571"/>
    <cellStyle name="好_奖励补助测算5.24冯铸 7" xfId="2572"/>
    <cellStyle name="好_奖励补助测算5.24冯铸 8" xfId="2573"/>
    <cellStyle name="好_奖励补助测算5.24冯铸 9" xfId="2574"/>
    <cellStyle name="好_奖励补助测算7.23" xfId="2575"/>
    <cellStyle name="好_奖励补助测算7.23 2" xfId="2576"/>
    <cellStyle name="好_奖励补助测算7.23 3" xfId="2577"/>
    <cellStyle name="好_奖励补助测算7.23 4" xfId="2578"/>
    <cellStyle name="好_奖励补助测算7.23 5" xfId="2579"/>
    <cellStyle name="好_奖励补助测算7.23 6" xfId="2580"/>
    <cellStyle name="好_奖励补助测算7.23 7" xfId="2581"/>
    <cellStyle name="好_奖励补助测算7.23 8" xfId="2582"/>
    <cellStyle name="好_奖励补助测算7.23 9" xfId="2583"/>
    <cellStyle name="好_奖励补助测算7.25" xfId="2584"/>
    <cellStyle name="好_奖励补助测算7.25 (version 1) (version 1)" xfId="2585"/>
    <cellStyle name="好_奖励补助测算7.25 (version 1) (version 1) 2" xfId="2586"/>
    <cellStyle name="好_奖励补助测算7.25 (version 1) (version 1) 3" xfId="2587"/>
    <cellStyle name="好_奖励补助测算7.25 (version 1) (version 1) 4" xfId="2588"/>
    <cellStyle name="好_奖励补助测算7.25 (version 1) (version 1) 5" xfId="2589"/>
    <cellStyle name="好_奖励补助测算7.25 (version 1) (version 1) 6" xfId="2590"/>
    <cellStyle name="好_奖励补助测算7.25 (version 1) (version 1) 7" xfId="2591"/>
    <cellStyle name="好_奖励补助测算7.25 (version 1) (version 1) 8" xfId="2592"/>
    <cellStyle name="好_奖励补助测算7.25 (version 1) (version 1) 9" xfId="2593"/>
    <cellStyle name="好_奖励补助测算7.25 2" xfId="2594"/>
    <cellStyle name="好_奖励补助测算7.25 3" xfId="2595"/>
    <cellStyle name="好_奖励补助测算7.25 4" xfId="2596"/>
    <cellStyle name="好_奖励补助测算7.25 5" xfId="2597"/>
    <cellStyle name="好_奖励补助测算7.25 6" xfId="2598"/>
    <cellStyle name="好_奖励补助测算7.25 7" xfId="2599"/>
    <cellStyle name="好_奖励补助测算7.25 8" xfId="2600"/>
    <cellStyle name="好_奖励补助测算7.25 9" xfId="2601"/>
    <cellStyle name="好_教师绩效工资测算表（离退休按各地上报数测算）2009年1月1日" xfId="2602"/>
    <cellStyle name="好_教育厅提供义务教育及高中教师人数（2009年1月6日）" xfId="2603"/>
    <cellStyle name="好_教育厅提供义务教育及高中教师人数（2009年1月6日） 2" xfId="2604"/>
    <cellStyle name="好_教育厅提供义务教育及高中教师人数（2009年1月6日） 3" xfId="2605"/>
    <cellStyle name="好_教育厅提供义务教育及高中教师人数（2009年1月6日） 4" xfId="2606"/>
    <cellStyle name="好_教育厅提供义务教育及高中教师人数（2009年1月6日） 5" xfId="2607"/>
    <cellStyle name="好_教育厅提供义务教育及高中教师人数（2009年1月6日） 6" xfId="2608"/>
    <cellStyle name="好_教育厅提供义务教育及高中教师人数（2009年1月6日） 7" xfId="2609"/>
    <cellStyle name="好_教育厅提供义务教育及高中教师人数（2009年1月6日） 8" xfId="2610"/>
    <cellStyle name="好_教育厅提供义务教育及高中教师人数（2009年1月6日） 9" xfId="2611"/>
    <cellStyle name="好_历年教师人数" xfId="2612"/>
    <cellStyle name="好_丽江汇总" xfId="2613"/>
    <cellStyle name="好_三季度－表二" xfId="2614"/>
    <cellStyle name="好_三季度－表二 2" xfId="2615"/>
    <cellStyle name="好_三季度－表二 3" xfId="2616"/>
    <cellStyle name="好_三季度－表二 4" xfId="2617"/>
    <cellStyle name="好_三季度－表二 5" xfId="2618"/>
    <cellStyle name="好_三季度－表二 6" xfId="2619"/>
    <cellStyle name="好_三季度－表二 7" xfId="2620"/>
    <cellStyle name="好_三季度－表二 8" xfId="2621"/>
    <cellStyle name="好_三季度－表二 9" xfId="2622"/>
    <cellStyle name="好_卫生部门" xfId="2623"/>
    <cellStyle name="好_卫生部门 2" xfId="2624"/>
    <cellStyle name="好_卫生部门 3" xfId="2625"/>
    <cellStyle name="好_卫生部门 4" xfId="2626"/>
    <cellStyle name="好_卫生部门 5" xfId="2627"/>
    <cellStyle name="好_卫生部门 6" xfId="2628"/>
    <cellStyle name="好_卫生部门 7" xfId="2629"/>
    <cellStyle name="好_卫生部门 8" xfId="2630"/>
    <cellStyle name="好_卫生部门 9" xfId="2631"/>
    <cellStyle name="好_文体广播部门" xfId="2632"/>
    <cellStyle name="好_下半年禁毒办案经费分配2544.3万元" xfId="2633"/>
    <cellStyle name="好_下半年禁吸戒毒经费1000万元" xfId="2634"/>
    <cellStyle name="好_下半年禁吸戒毒经费1000万元 2" xfId="2635"/>
    <cellStyle name="好_下半年禁吸戒毒经费1000万元 3" xfId="2636"/>
    <cellStyle name="好_下半年禁吸戒毒经费1000万元 4" xfId="2637"/>
    <cellStyle name="好_下半年禁吸戒毒经费1000万元 5" xfId="2638"/>
    <cellStyle name="好_下半年禁吸戒毒经费1000万元 6" xfId="2639"/>
    <cellStyle name="好_下半年禁吸戒毒经费1000万元 7" xfId="2640"/>
    <cellStyle name="好_下半年禁吸戒毒经费1000万元 8" xfId="2641"/>
    <cellStyle name="好_下半年禁吸戒毒经费1000万元 9" xfId="2642"/>
    <cellStyle name="好_县级公安机关公用经费标准奖励测算方案（定稿）" xfId="2643"/>
    <cellStyle name="好_县级公安机关公用经费标准奖励测算方案（定稿） 2" xfId="2644"/>
    <cellStyle name="好_县级公安机关公用经费标准奖励测算方案（定稿） 3" xfId="2645"/>
    <cellStyle name="好_县级公安机关公用经费标准奖励测算方案（定稿） 4" xfId="2646"/>
    <cellStyle name="好_县级公安机关公用经费标准奖励测算方案（定稿） 5" xfId="2647"/>
    <cellStyle name="好_县级公安机关公用经费标准奖励测算方案（定稿） 6" xfId="2648"/>
    <cellStyle name="好_县级公安机关公用经费标准奖励测算方案（定稿） 7" xfId="2649"/>
    <cellStyle name="好_县级公安机关公用经费标准奖励测算方案（定稿） 8" xfId="2650"/>
    <cellStyle name="好_县级公安机关公用经费标准奖励测算方案（定稿） 9" xfId="2651"/>
    <cellStyle name="好_县级基础数据" xfId="2652"/>
    <cellStyle name="好_业务工作量指标" xfId="2653"/>
    <cellStyle name="好_业务工作量指标 2" xfId="2654"/>
    <cellStyle name="好_业务工作量指标 3" xfId="2655"/>
    <cellStyle name="好_业务工作量指标 4" xfId="2656"/>
    <cellStyle name="好_业务工作量指标 5" xfId="2657"/>
    <cellStyle name="好_业务工作量指标 6" xfId="2658"/>
    <cellStyle name="好_业务工作量指标 7" xfId="2659"/>
    <cellStyle name="好_业务工作量指标 8" xfId="2660"/>
    <cellStyle name="好_业务工作量指标 9" xfId="2661"/>
    <cellStyle name="好_义务教育阶段教职工人数（教育厅提供最终）" xfId="2662"/>
    <cellStyle name="好_义务教育阶段教职工人数（教育厅提供最终） 2" xfId="2663"/>
    <cellStyle name="好_义务教育阶段教职工人数（教育厅提供最终） 3" xfId="2664"/>
    <cellStyle name="好_义务教育阶段教职工人数（教育厅提供最终） 4" xfId="2665"/>
    <cellStyle name="好_义务教育阶段教职工人数（教育厅提供最终） 5" xfId="2666"/>
    <cellStyle name="好_义务教育阶段教职工人数（教育厅提供最终） 6" xfId="2667"/>
    <cellStyle name="好_义务教育阶段教职工人数（教育厅提供最终） 7" xfId="2668"/>
    <cellStyle name="好_义务教育阶段教职工人数（教育厅提供最终） 8" xfId="2669"/>
    <cellStyle name="好_义务教育阶段教职工人数（教育厅提供最终） 9" xfId="2670"/>
    <cellStyle name="好_云南农村义务教育统计表" xfId="2671"/>
    <cellStyle name="好_云南农村义务教育统计表 2" xfId="2672"/>
    <cellStyle name="好_云南农村义务教育统计表 3" xfId="2673"/>
    <cellStyle name="好_云南农村义务教育统计表 4" xfId="2674"/>
    <cellStyle name="好_云南农村义务教育统计表 5" xfId="2675"/>
    <cellStyle name="好_云南农村义务教育统计表 6" xfId="2676"/>
    <cellStyle name="好_云南农村义务教育统计表 7" xfId="2677"/>
    <cellStyle name="好_云南农村义务教育统计表 8" xfId="2678"/>
    <cellStyle name="好_云南农村义务教育统计表 9" xfId="2679"/>
    <cellStyle name="好_云南省2008年中小学教师人数统计表" xfId="2680"/>
    <cellStyle name="好_云南省2008年中小学教职工情况（教育厅提供20090101加工整理）" xfId="2681"/>
    <cellStyle name="好_云南省2008年中小学教职工情况（教育厅提供20090101加工整理） 2" xfId="2682"/>
    <cellStyle name="好_云南省2008年中小学教职工情况（教育厅提供20090101加工整理） 3" xfId="2683"/>
    <cellStyle name="好_云南省2008年中小学教职工情况（教育厅提供20090101加工整理） 4" xfId="2684"/>
    <cellStyle name="好_云南省2008年中小学教职工情况（教育厅提供20090101加工整理） 5" xfId="2685"/>
    <cellStyle name="好_云南省2008年中小学教职工情况（教育厅提供20090101加工整理） 6" xfId="2686"/>
    <cellStyle name="好_云南省2008年中小学教职工情况（教育厅提供20090101加工整理） 7" xfId="2687"/>
    <cellStyle name="好_云南省2008年中小学教职工情况（教育厅提供20090101加工整理） 8" xfId="2688"/>
    <cellStyle name="好_云南省2008年中小学教职工情况（教育厅提供20090101加工整理） 9" xfId="2689"/>
    <cellStyle name="好_云南省2008年转移支付测算——州市本级考核部分及政策性测算" xfId="2690"/>
    <cellStyle name="好_云南省2008年转移支付测算——州市本级考核部分及政策性测算 2" xfId="2691"/>
    <cellStyle name="好_云南省2008年转移支付测算——州市本级考核部分及政策性测算 3" xfId="2692"/>
    <cellStyle name="好_云南省2008年转移支付测算——州市本级考核部分及政策性测算 4" xfId="2693"/>
    <cellStyle name="好_云南省2008年转移支付测算——州市本级考核部分及政策性测算 5" xfId="2694"/>
    <cellStyle name="好_云南省2008年转移支付测算——州市本级考核部分及政策性测算 6" xfId="2695"/>
    <cellStyle name="好_云南省2008年转移支付测算——州市本级考核部分及政策性测算 7" xfId="2696"/>
    <cellStyle name="好_云南省2008年转移支付测算——州市本级考核部分及政策性测算 8" xfId="2697"/>
    <cellStyle name="好_云南省2008年转移支付测算——州市本级考核部分及政策性测算 9" xfId="2698"/>
    <cellStyle name="好_指标四" xfId="2699"/>
    <cellStyle name="好_指标四 2" xfId="2700"/>
    <cellStyle name="好_指标四 3" xfId="2701"/>
    <cellStyle name="好_指标四 4" xfId="2702"/>
    <cellStyle name="好_指标四 5" xfId="2703"/>
    <cellStyle name="好_指标四 6" xfId="2704"/>
    <cellStyle name="好_指标四 7" xfId="2705"/>
    <cellStyle name="好_指标四 8" xfId="2706"/>
    <cellStyle name="好_指标四 9" xfId="2707"/>
    <cellStyle name="好_指标五" xfId="2708"/>
    <cellStyle name="后继超链接" xfId="2709"/>
    <cellStyle name="后继超链接 2" xfId="2710"/>
    <cellStyle name="后继超链接 3" xfId="2711"/>
    <cellStyle name="后继超链接 4" xfId="2712"/>
    <cellStyle name="后继超链接 5" xfId="2713"/>
    <cellStyle name="后继超链接 6" xfId="2714"/>
    <cellStyle name="后继超链接 7" xfId="2715"/>
    <cellStyle name="后继超链接 8" xfId="2716"/>
    <cellStyle name="后继超链接 9" xfId="2717"/>
    <cellStyle name="汇总 10" xfId="2718"/>
    <cellStyle name="汇总 2" xfId="2719"/>
    <cellStyle name="汇总 3" xfId="2720"/>
    <cellStyle name="汇总 3 2" xfId="2721"/>
    <cellStyle name="汇总 3 3" xfId="2722"/>
    <cellStyle name="汇总 3 4" xfId="2723"/>
    <cellStyle name="汇总 3 5" xfId="2724"/>
    <cellStyle name="汇总 3 6" xfId="2725"/>
    <cellStyle name="汇总 3 7" xfId="2726"/>
    <cellStyle name="汇总 4" xfId="2727"/>
    <cellStyle name="汇总 4 2" xfId="2728"/>
    <cellStyle name="汇总 5" xfId="2729"/>
    <cellStyle name="汇总 5 2" xfId="2730"/>
    <cellStyle name="汇总 6" xfId="2731"/>
    <cellStyle name="汇总 6 2" xfId="2732"/>
    <cellStyle name="汇总 7" xfId="2733"/>
    <cellStyle name="汇总 7 2" xfId="2734"/>
    <cellStyle name="汇总 8" xfId="2735"/>
    <cellStyle name="汇总 8 2" xfId="2736"/>
    <cellStyle name="汇总 9" xfId="2737"/>
    <cellStyle name="汇总 9 2" xfId="2738"/>
    <cellStyle name="计算 10" xfId="2739"/>
    <cellStyle name="计算 2" xfId="2740"/>
    <cellStyle name="计算 3" xfId="2741"/>
    <cellStyle name="计算 3 2" xfId="2742"/>
    <cellStyle name="计算 3 3" xfId="2743"/>
    <cellStyle name="计算 3 4" xfId="2744"/>
    <cellStyle name="计算 3 5" xfId="2745"/>
    <cellStyle name="计算 3 6" xfId="2746"/>
    <cellStyle name="计算 3 7" xfId="2747"/>
    <cellStyle name="计算 4" xfId="2748"/>
    <cellStyle name="计算 4 2" xfId="2749"/>
    <cellStyle name="计算 5" xfId="2750"/>
    <cellStyle name="计算 5 2" xfId="2751"/>
    <cellStyle name="计算 6" xfId="2752"/>
    <cellStyle name="计算 6 2" xfId="2753"/>
    <cellStyle name="计算 7" xfId="2754"/>
    <cellStyle name="计算 7 2" xfId="2755"/>
    <cellStyle name="计算 8" xfId="2756"/>
    <cellStyle name="计算 8 2" xfId="2757"/>
    <cellStyle name="计算 9" xfId="2758"/>
    <cellStyle name="计算 9 2" xfId="2759"/>
    <cellStyle name="检查单元格 10" xfId="2760"/>
    <cellStyle name="检查单元格 2" xfId="2761"/>
    <cellStyle name="检查单元格 3" xfId="2762"/>
    <cellStyle name="检查单元格 3 2" xfId="2763"/>
    <cellStyle name="检查单元格 3 3" xfId="2764"/>
    <cellStyle name="检查单元格 3 4" xfId="2765"/>
    <cellStyle name="检查单元格 3 5" xfId="2766"/>
    <cellStyle name="检查单元格 3 6" xfId="2767"/>
    <cellStyle name="检查单元格 3 7" xfId="2768"/>
    <cellStyle name="检查单元格 4" xfId="2769"/>
    <cellStyle name="检查单元格 4 2" xfId="2770"/>
    <cellStyle name="检查单元格 5" xfId="2771"/>
    <cellStyle name="检查单元格 5 2" xfId="2772"/>
    <cellStyle name="检查单元格 6" xfId="2773"/>
    <cellStyle name="检查单元格 6 2" xfId="2774"/>
    <cellStyle name="检查单元格 7" xfId="2775"/>
    <cellStyle name="检查单元格 7 2" xfId="2776"/>
    <cellStyle name="检查单元格 8" xfId="2777"/>
    <cellStyle name="检查单元格 8 2" xfId="2778"/>
    <cellStyle name="检查单元格 9" xfId="2779"/>
    <cellStyle name="检查单元格 9 2" xfId="2780"/>
    <cellStyle name="解释性文本 10" xfId="2781"/>
    <cellStyle name="解释性文本 2" xfId="2782"/>
    <cellStyle name="解释性文本 3" xfId="2783"/>
    <cellStyle name="解释性文本 3 2" xfId="2784"/>
    <cellStyle name="解释性文本 3 3" xfId="2785"/>
    <cellStyle name="解释性文本 3 4" xfId="2786"/>
    <cellStyle name="解释性文本 3 5" xfId="2787"/>
    <cellStyle name="解释性文本 3 6" xfId="2788"/>
    <cellStyle name="解释性文本 3 7" xfId="2789"/>
    <cellStyle name="解释性文本 4" xfId="2790"/>
    <cellStyle name="解释性文本 4 2" xfId="2791"/>
    <cellStyle name="解释性文本 5" xfId="2792"/>
    <cellStyle name="解释性文本 5 2" xfId="2793"/>
    <cellStyle name="解释性文本 6" xfId="2794"/>
    <cellStyle name="解释性文本 6 2" xfId="2795"/>
    <cellStyle name="解释性文本 7" xfId="2796"/>
    <cellStyle name="解释性文本 7 2" xfId="2797"/>
    <cellStyle name="解释性文本 8" xfId="2798"/>
    <cellStyle name="解释性文本 8 2" xfId="2799"/>
    <cellStyle name="解释性文本 9" xfId="2800"/>
    <cellStyle name="解释性文本 9 2" xfId="2801"/>
    <cellStyle name="借出原因" xfId="2802"/>
    <cellStyle name="警告文本 10" xfId="2803"/>
    <cellStyle name="警告文本 2" xfId="2804"/>
    <cellStyle name="警告文本 3" xfId="2805"/>
    <cellStyle name="警告文本 3 2" xfId="2806"/>
    <cellStyle name="警告文本 3 3" xfId="2807"/>
    <cellStyle name="警告文本 3 4" xfId="2808"/>
    <cellStyle name="警告文本 3 5" xfId="2809"/>
    <cellStyle name="警告文本 3 6" xfId="2810"/>
    <cellStyle name="警告文本 3 7" xfId="2811"/>
    <cellStyle name="警告文本 4" xfId="2812"/>
    <cellStyle name="警告文本 4 2" xfId="2813"/>
    <cellStyle name="警告文本 5" xfId="2814"/>
    <cellStyle name="警告文本 5 2" xfId="2815"/>
    <cellStyle name="警告文本 6" xfId="2816"/>
    <cellStyle name="警告文本 6 2" xfId="2817"/>
    <cellStyle name="警告文本 7" xfId="2818"/>
    <cellStyle name="警告文本 7 2" xfId="2819"/>
    <cellStyle name="警告文本 8" xfId="2820"/>
    <cellStyle name="警告文本 8 2" xfId="2821"/>
    <cellStyle name="警告文本 9" xfId="2822"/>
    <cellStyle name="警告文本 9 2" xfId="2823"/>
    <cellStyle name="链接单元格 10" xfId="2824"/>
    <cellStyle name="链接单元格 2" xfId="2825"/>
    <cellStyle name="链接单元格 3" xfId="2826"/>
    <cellStyle name="链接单元格 3 2" xfId="2827"/>
    <cellStyle name="链接单元格 3 3" xfId="2828"/>
    <cellStyle name="链接单元格 3 4" xfId="2829"/>
    <cellStyle name="链接单元格 3 5" xfId="2830"/>
    <cellStyle name="链接单元格 3 6" xfId="2831"/>
    <cellStyle name="链接单元格 3 7" xfId="2832"/>
    <cellStyle name="链接单元格 4" xfId="2833"/>
    <cellStyle name="链接单元格 4 2" xfId="2834"/>
    <cellStyle name="链接单元格 5" xfId="2835"/>
    <cellStyle name="链接单元格 5 2" xfId="2836"/>
    <cellStyle name="链接单元格 6" xfId="2837"/>
    <cellStyle name="链接单元格 6 2" xfId="2838"/>
    <cellStyle name="链接单元格 7" xfId="2839"/>
    <cellStyle name="链接单元格 7 2" xfId="2840"/>
    <cellStyle name="链接单元格 8" xfId="2841"/>
    <cellStyle name="链接单元格 8 2" xfId="2842"/>
    <cellStyle name="链接单元格 9" xfId="2843"/>
    <cellStyle name="链接单元格 9 2" xfId="2844"/>
    <cellStyle name="霓付 [0]_ +Foil &amp; -FOIL &amp; PAPER" xfId="2845"/>
    <cellStyle name="霓付_ +Foil &amp; -FOIL &amp; PAPER" xfId="2846"/>
    <cellStyle name="烹拳 [0]_ +Foil &amp; -FOIL &amp; PAPER" xfId="2847"/>
    <cellStyle name="烹拳_ +Foil &amp; -FOIL &amp; PAPER" xfId="2848"/>
    <cellStyle name="普通_ 白土" xfId="2849"/>
    <cellStyle name="千分位[0]_ 白土" xfId="2850"/>
    <cellStyle name="千分位_ 白土" xfId="2851"/>
    <cellStyle name="千位[0]_ 方正PC" xfId="2852"/>
    <cellStyle name="千位_ 方正PC" xfId="2853"/>
    <cellStyle name="千位分隔 2" xfId="2854"/>
    <cellStyle name="千位分隔 2 10" xfId="2855"/>
    <cellStyle name="千位分隔 2 2" xfId="2856"/>
    <cellStyle name="千位分隔 2 2 2" xfId="2857"/>
    <cellStyle name="千位分隔 2 2 3" xfId="2858"/>
    <cellStyle name="千位分隔 2 2 4" xfId="2859"/>
    <cellStyle name="千位分隔 2 2 5" xfId="2860"/>
    <cellStyle name="千位分隔 2 2 6" xfId="2861"/>
    <cellStyle name="千位分隔 2 2 7" xfId="2862"/>
    <cellStyle name="千位分隔 2 2 8" xfId="2863"/>
    <cellStyle name="千位分隔 2 2 9" xfId="2864"/>
    <cellStyle name="千位分隔 2 3" xfId="2865"/>
    <cellStyle name="千位分隔 2 4" xfId="2866"/>
    <cellStyle name="千位分隔 2 5" xfId="2867"/>
    <cellStyle name="千位分隔 2 6" xfId="2868"/>
    <cellStyle name="千位分隔 2 7" xfId="2869"/>
    <cellStyle name="千位分隔 2 8" xfId="2870"/>
    <cellStyle name="千位分隔 2 9" xfId="2871"/>
    <cellStyle name="千位分隔 3" xfId="2872"/>
    <cellStyle name="千位分隔 3 2" xfId="2873"/>
    <cellStyle name="千位分隔 3 3" xfId="2874"/>
    <cellStyle name="千位分隔 3 4" xfId="2875"/>
    <cellStyle name="千位分隔 3 5" xfId="2876"/>
    <cellStyle name="千位分隔 3 6" xfId="2877"/>
    <cellStyle name="千位分隔 3 7" xfId="2878"/>
    <cellStyle name="千位分隔 3 8" xfId="2879"/>
    <cellStyle name="千位分隔 3 9" xfId="2880"/>
    <cellStyle name="千位分隔 4" xfId="2881"/>
    <cellStyle name="千位分隔 4 2" xfId="2882"/>
    <cellStyle name="千位分隔 4 3" xfId="2883"/>
    <cellStyle name="千位分隔 4 4" xfId="2884"/>
    <cellStyle name="千位分隔 4 5" xfId="2885"/>
    <cellStyle name="千位分隔 4 6" xfId="2886"/>
    <cellStyle name="千位分隔 4 7" xfId="2887"/>
    <cellStyle name="千位分隔 4 8" xfId="2888"/>
    <cellStyle name="千位分隔 4 9" xfId="2889"/>
    <cellStyle name="千位分隔[0] 2" xfId="2890"/>
    <cellStyle name="千位分隔[0] 2 2" xfId="2891"/>
    <cellStyle name="千位分隔[0] 2 3" xfId="2892"/>
    <cellStyle name="千位分隔[0] 2 4" xfId="2893"/>
    <cellStyle name="千位分隔[0] 2 5" xfId="2894"/>
    <cellStyle name="千位分隔[0] 2 6" xfId="2895"/>
    <cellStyle name="千位分隔[0] 2 7" xfId="2896"/>
    <cellStyle name="千位分隔[0] 2 8" xfId="2897"/>
    <cellStyle name="千位分隔[0] 2 9" xfId="2898"/>
    <cellStyle name="钎霖_4岿角利" xfId="2899"/>
    <cellStyle name="强调 1" xfId="2900"/>
    <cellStyle name="强调 2" xfId="2901"/>
    <cellStyle name="强调 3" xfId="2902"/>
    <cellStyle name="强调文字颜色 1 10" xfId="2903"/>
    <cellStyle name="强调文字颜色 1 2" xfId="2904"/>
    <cellStyle name="强调文字颜色 1 3" xfId="2905"/>
    <cellStyle name="强调文字颜色 1 3 2" xfId="2906"/>
    <cellStyle name="强调文字颜色 1 3 3" xfId="2907"/>
    <cellStyle name="强调文字颜色 1 3 4" xfId="2908"/>
    <cellStyle name="强调文字颜色 1 3 5" xfId="2909"/>
    <cellStyle name="强调文字颜色 1 3 6" xfId="2910"/>
    <cellStyle name="强调文字颜色 1 3 7" xfId="2911"/>
    <cellStyle name="强调文字颜色 1 4" xfId="2912"/>
    <cellStyle name="强调文字颜色 1 4 2" xfId="2913"/>
    <cellStyle name="强调文字颜色 1 5" xfId="2914"/>
    <cellStyle name="强调文字颜色 1 5 2" xfId="2915"/>
    <cellStyle name="强调文字颜色 1 6" xfId="2916"/>
    <cellStyle name="强调文字颜色 1 6 2" xfId="2917"/>
    <cellStyle name="强调文字颜色 1 7" xfId="2918"/>
    <cellStyle name="强调文字颜色 1 7 2" xfId="2919"/>
    <cellStyle name="强调文字颜色 1 8" xfId="2920"/>
    <cellStyle name="强调文字颜色 1 8 2" xfId="2921"/>
    <cellStyle name="强调文字颜色 1 9" xfId="2922"/>
    <cellStyle name="强调文字颜色 1 9 2" xfId="2923"/>
    <cellStyle name="强调文字颜色 2 10" xfId="2924"/>
    <cellStyle name="强调文字颜色 2 2" xfId="2925"/>
    <cellStyle name="强调文字颜色 2 3" xfId="2926"/>
    <cellStyle name="强调文字颜色 2 3 2" xfId="2927"/>
    <cellStyle name="强调文字颜色 2 3 3" xfId="2928"/>
    <cellStyle name="强调文字颜色 2 3 4" xfId="2929"/>
    <cellStyle name="强调文字颜色 2 3 5" xfId="2930"/>
    <cellStyle name="强调文字颜色 2 3 6" xfId="2931"/>
    <cellStyle name="强调文字颜色 2 3 7" xfId="2932"/>
    <cellStyle name="强调文字颜色 2 4" xfId="2933"/>
    <cellStyle name="强调文字颜色 2 4 2" xfId="2934"/>
    <cellStyle name="强调文字颜色 2 5" xfId="2935"/>
    <cellStyle name="强调文字颜色 2 5 2" xfId="2936"/>
    <cellStyle name="强调文字颜色 2 6" xfId="2937"/>
    <cellStyle name="强调文字颜色 2 6 2" xfId="2938"/>
    <cellStyle name="强调文字颜色 2 7" xfId="2939"/>
    <cellStyle name="强调文字颜色 2 7 2" xfId="2940"/>
    <cellStyle name="强调文字颜色 2 8" xfId="2941"/>
    <cellStyle name="强调文字颜色 2 8 2" xfId="2942"/>
    <cellStyle name="强调文字颜色 2 9" xfId="2943"/>
    <cellStyle name="强调文字颜色 2 9 2" xfId="2944"/>
    <cellStyle name="强调文字颜色 3 10" xfId="2945"/>
    <cellStyle name="强调文字颜色 3 2" xfId="2946"/>
    <cellStyle name="强调文字颜色 3 3" xfId="2947"/>
    <cellStyle name="强调文字颜色 3 3 2" xfId="2948"/>
    <cellStyle name="强调文字颜色 3 3 3" xfId="2949"/>
    <cellStyle name="强调文字颜色 3 3 4" xfId="2950"/>
    <cellStyle name="强调文字颜色 3 3 5" xfId="2951"/>
    <cellStyle name="强调文字颜色 3 3 6" xfId="2952"/>
    <cellStyle name="强调文字颜色 3 3 7" xfId="2953"/>
    <cellStyle name="强调文字颜色 3 4" xfId="2954"/>
    <cellStyle name="强调文字颜色 3 4 2" xfId="2955"/>
    <cellStyle name="强调文字颜色 3 5" xfId="2956"/>
    <cellStyle name="强调文字颜色 3 5 2" xfId="2957"/>
    <cellStyle name="强调文字颜色 3 6" xfId="2958"/>
    <cellStyle name="强调文字颜色 3 6 2" xfId="2959"/>
    <cellStyle name="强调文字颜色 3 7" xfId="2960"/>
    <cellStyle name="强调文字颜色 3 7 2" xfId="2961"/>
    <cellStyle name="强调文字颜色 3 8" xfId="2962"/>
    <cellStyle name="强调文字颜色 3 8 2" xfId="2963"/>
    <cellStyle name="强调文字颜色 3 9" xfId="2964"/>
    <cellStyle name="强调文字颜色 3 9 2" xfId="2965"/>
    <cellStyle name="强调文字颜色 4 10" xfId="2966"/>
    <cellStyle name="强调文字颜色 4 2" xfId="2967"/>
    <cellStyle name="强调文字颜色 4 3" xfId="2968"/>
    <cellStyle name="强调文字颜色 4 3 2" xfId="2969"/>
    <cellStyle name="强调文字颜色 4 3 3" xfId="2970"/>
    <cellStyle name="强调文字颜色 4 3 4" xfId="2971"/>
    <cellStyle name="强调文字颜色 4 3 5" xfId="2972"/>
    <cellStyle name="强调文字颜色 4 3 6" xfId="2973"/>
    <cellStyle name="强调文字颜色 4 3 7" xfId="2974"/>
    <cellStyle name="强调文字颜色 4 4" xfId="2975"/>
    <cellStyle name="强调文字颜色 4 4 2" xfId="2976"/>
    <cellStyle name="强调文字颜色 4 5" xfId="2977"/>
    <cellStyle name="强调文字颜色 4 5 2" xfId="2978"/>
    <cellStyle name="强调文字颜色 4 6" xfId="2979"/>
    <cellStyle name="强调文字颜色 4 6 2" xfId="2980"/>
    <cellStyle name="强调文字颜色 4 7" xfId="2981"/>
    <cellStyle name="强调文字颜色 4 7 2" xfId="2982"/>
    <cellStyle name="强调文字颜色 4 8" xfId="2983"/>
    <cellStyle name="强调文字颜色 4 8 2" xfId="2984"/>
    <cellStyle name="强调文字颜色 4 9" xfId="2985"/>
    <cellStyle name="强调文字颜色 4 9 2" xfId="2986"/>
    <cellStyle name="强调文字颜色 5 10" xfId="2987"/>
    <cellStyle name="强调文字颜色 5 2" xfId="2988"/>
    <cellStyle name="强调文字颜色 5 3" xfId="2989"/>
    <cellStyle name="强调文字颜色 5 3 2" xfId="2990"/>
    <cellStyle name="强调文字颜色 5 3 3" xfId="2991"/>
    <cellStyle name="强调文字颜色 5 3 4" xfId="2992"/>
    <cellStyle name="强调文字颜色 5 3 5" xfId="2993"/>
    <cellStyle name="强调文字颜色 5 3 6" xfId="2994"/>
    <cellStyle name="强调文字颜色 5 3 7" xfId="2995"/>
    <cellStyle name="强调文字颜色 5 4" xfId="2996"/>
    <cellStyle name="强调文字颜色 5 4 2" xfId="2997"/>
    <cellStyle name="强调文字颜色 5 5" xfId="2998"/>
    <cellStyle name="强调文字颜色 5 5 2" xfId="2999"/>
    <cellStyle name="强调文字颜色 5 6" xfId="3000"/>
    <cellStyle name="强调文字颜色 5 6 2" xfId="3001"/>
    <cellStyle name="强调文字颜色 5 7" xfId="3002"/>
    <cellStyle name="强调文字颜色 5 7 2" xfId="3003"/>
    <cellStyle name="强调文字颜色 5 8" xfId="3004"/>
    <cellStyle name="强调文字颜色 5 8 2" xfId="3005"/>
    <cellStyle name="强调文字颜色 5 9" xfId="3006"/>
    <cellStyle name="强调文字颜色 5 9 2" xfId="3007"/>
    <cellStyle name="强调文字颜色 6 10" xfId="3008"/>
    <cellStyle name="强调文字颜色 6 2" xfId="3009"/>
    <cellStyle name="强调文字颜色 6 3" xfId="3010"/>
    <cellStyle name="强调文字颜色 6 3 2" xfId="3011"/>
    <cellStyle name="强调文字颜色 6 3 3" xfId="3012"/>
    <cellStyle name="强调文字颜色 6 3 4" xfId="3013"/>
    <cellStyle name="强调文字颜色 6 3 5" xfId="3014"/>
    <cellStyle name="强调文字颜色 6 3 6" xfId="3015"/>
    <cellStyle name="强调文字颜色 6 3 7" xfId="3016"/>
    <cellStyle name="强调文字颜色 6 4" xfId="3017"/>
    <cellStyle name="强调文字颜色 6 4 2" xfId="3018"/>
    <cellStyle name="强调文字颜色 6 5" xfId="3019"/>
    <cellStyle name="强调文字颜色 6 5 2" xfId="3020"/>
    <cellStyle name="强调文字颜色 6 6" xfId="3021"/>
    <cellStyle name="强调文字颜色 6 6 2" xfId="3022"/>
    <cellStyle name="强调文字颜色 6 7" xfId="3023"/>
    <cellStyle name="强调文字颜色 6 7 2" xfId="3024"/>
    <cellStyle name="强调文字颜色 6 8" xfId="3025"/>
    <cellStyle name="强调文字颜色 6 8 2" xfId="3026"/>
    <cellStyle name="强调文字颜色 6 9" xfId="3027"/>
    <cellStyle name="强调文字颜色 6 9 2" xfId="3028"/>
    <cellStyle name="日期" xfId="3029"/>
    <cellStyle name="商品名称" xfId="3030"/>
    <cellStyle name="适中 10" xfId="3031"/>
    <cellStyle name="适中 2" xfId="3032"/>
    <cellStyle name="适中 3" xfId="3033"/>
    <cellStyle name="适中 3 2" xfId="3034"/>
    <cellStyle name="适中 3 3" xfId="3035"/>
    <cellStyle name="适中 3 4" xfId="3036"/>
    <cellStyle name="适中 3 5" xfId="3037"/>
    <cellStyle name="适中 3 6" xfId="3038"/>
    <cellStyle name="适中 3 7" xfId="3039"/>
    <cellStyle name="适中 4" xfId="3040"/>
    <cellStyle name="适中 4 2" xfId="3041"/>
    <cellStyle name="适中 5" xfId="3042"/>
    <cellStyle name="适中 5 2" xfId="3043"/>
    <cellStyle name="适中 6" xfId="3044"/>
    <cellStyle name="适中 6 2" xfId="3045"/>
    <cellStyle name="适中 7" xfId="3046"/>
    <cellStyle name="适中 7 2" xfId="3047"/>
    <cellStyle name="适中 8" xfId="3048"/>
    <cellStyle name="适中 8 2" xfId="3049"/>
    <cellStyle name="适中 9" xfId="3050"/>
    <cellStyle name="适中 9 2" xfId="3051"/>
    <cellStyle name="输出 10" xfId="3052"/>
    <cellStyle name="输出 2" xfId="3053"/>
    <cellStyle name="输出 3" xfId="3054"/>
    <cellStyle name="输出 3 2" xfId="3055"/>
    <cellStyle name="输出 3 3" xfId="3056"/>
    <cellStyle name="输出 3 4" xfId="3057"/>
    <cellStyle name="输出 3 5" xfId="3058"/>
    <cellStyle name="输出 3 6" xfId="3059"/>
    <cellStyle name="输出 3 7" xfId="3060"/>
    <cellStyle name="输出 4" xfId="3061"/>
    <cellStyle name="输出 4 2" xfId="3062"/>
    <cellStyle name="输出 5" xfId="3063"/>
    <cellStyle name="输出 5 2" xfId="3064"/>
    <cellStyle name="输出 6" xfId="3065"/>
    <cellStyle name="输出 6 2" xfId="3066"/>
    <cellStyle name="输出 7" xfId="3067"/>
    <cellStyle name="输出 7 2" xfId="3068"/>
    <cellStyle name="输出 8" xfId="3069"/>
    <cellStyle name="输出 8 2" xfId="3070"/>
    <cellStyle name="输出 9" xfId="3071"/>
    <cellStyle name="输出 9 2" xfId="3072"/>
    <cellStyle name="输入 10" xfId="3073"/>
    <cellStyle name="输入 2" xfId="3074"/>
    <cellStyle name="输入 3" xfId="3075"/>
    <cellStyle name="输入 3 2" xfId="3076"/>
    <cellStyle name="输入 3 3" xfId="3077"/>
    <cellStyle name="输入 3 4" xfId="3078"/>
    <cellStyle name="输入 3 5" xfId="3079"/>
    <cellStyle name="输入 3 6" xfId="3080"/>
    <cellStyle name="输入 3 7" xfId="3081"/>
    <cellStyle name="输入 4" xfId="3082"/>
    <cellStyle name="输入 4 2" xfId="3083"/>
    <cellStyle name="输入 5" xfId="3084"/>
    <cellStyle name="输入 5 2" xfId="3085"/>
    <cellStyle name="输入 6" xfId="3086"/>
    <cellStyle name="输入 6 2" xfId="3087"/>
    <cellStyle name="输入 7" xfId="3088"/>
    <cellStyle name="输入 7 2" xfId="3089"/>
    <cellStyle name="输入 8" xfId="3090"/>
    <cellStyle name="输入 8 2" xfId="3091"/>
    <cellStyle name="输入 9" xfId="3092"/>
    <cellStyle name="输入 9 2" xfId="3093"/>
    <cellStyle name="数量" xfId="3094"/>
    <cellStyle name="数字" xfId="3095"/>
    <cellStyle name="数字 2" xfId="3096"/>
    <cellStyle name="数字 3" xfId="3097"/>
    <cellStyle name="数字 4" xfId="3098"/>
    <cellStyle name="数字 5" xfId="3099"/>
    <cellStyle name="数字 6" xfId="3100"/>
    <cellStyle name="数字 7" xfId="3101"/>
    <cellStyle name="数字 8" xfId="3102"/>
    <cellStyle name="数字 9" xfId="3103"/>
    <cellStyle name="未定义" xfId="3104"/>
    <cellStyle name="小数" xfId="3105"/>
    <cellStyle name="小数 2" xfId="3106"/>
    <cellStyle name="小数 3" xfId="3107"/>
    <cellStyle name="小数 4" xfId="3108"/>
    <cellStyle name="小数 5" xfId="3109"/>
    <cellStyle name="小数 6" xfId="3110"/>
    <cellStyle name="小数 7" xfId="3111"/>
    <cellStyle name="小数 8" xfId="3112"/>
    <cellStyle name="小数 9" xfId="3113"/>
    <cellStyle name="样式 1" xfId="3114"/>
    <cellStyle name="昗弨_Pacific Region P&amp;L" xfId="3115"/>
    <cellStyle name="寘嬫愗傝 [0.00]_Region Orders (2)" xfId="3116"/>
    <cellStyle name="寘嬫愗傝_Region Orders (2)" xfId="3117"/>
    <cellStyle name="注释 10" xfId="3118"/>
    <cellStyle name="注释 2" xfId="3119"/>
    <cellStyle name="注释 2 2" xfId="3120"/>
    <cellStyle name="注释 2 3" xfId="3121"/>
    <cellStyle name="注释 2 4" xfId="3122"/>
    <cellStyle name="注释 2 5" xfId="3123"/>
    <cellStyle name="注释 2 6" xfId="3124"/>
    <cellStyle name="注释 2 7" xfId="3125"/>
    <cellStyle name="注释 2 8" xfId="3126"/>
    <cellStyle name="注释 2 9" xfId="3127"/>
    <cellStyle name="注释 3" xfId="3128"/>
    <cellStyle name="注释 3 2" xfId="3129"/>
    <cellStyle name="注释 3 3" xfId="3130"/>
    <cellStyle name="注释 3 4" xfId="3131"/>
    <cellStyle name="注释 3 5" xfId="3132"/>
    <cellStyle name="注释 3 6" xfId="3133"/>
    <cellStyle name="注释 3 7" xfId="3134"/>
    <cellStyle name="注释 4" xfId="3135"/>
    <cellStyle name="注释 4 2" xfId="3136"/>
    <cellStyle name="注释 5" xfId="3137"/>
    <cellStyle name="注释 5 2" xfId="3138"/>
    <cellStyle name="注释 6" xfId="3139"/>
    <cellStyle name="注释 6 2" xfId="3140"/>
    <cellStyle name="注释 7" xfId="3141"/>
    <cellStyle name="注释 7 2" xfId="3142"/>
    <cellStyle name="注释 8" xfId="3143"/>
    <cellStyle name="注释 8 2" xfId="3144"/>
    <cellStyle name="注释 9" xfId="3145"/>
    <cellStyle name="注释 9 2" xfId="3146"/>
    <cellStyle name="콤마 [0]_BOILER-CO1" xfId="3147"/>
    <cellStyle name="콤마_BOILER-CO1" xfId="3148"/>
    <cellStyle name="통화 [0]_BOILER-CO1" xfId="3149"/>
    <cellStyle name="통화_BOILER-CO1" xfId="3150"/>
    <cellStyle name="표준_0N-HANDLING " xfId="31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4" Type="http://schemas.openxmlformats.org/officeDocument/2006/relationships/styles" Target="styles.xml"/><Relationship Id="rId83" Type="http://schemas.openxmlformats.org/officeDocument/2006/relationships/sharedStrings" Target="sharedStrings.xml"/><Relationship Id="rId82" Type="http://schemas.openxmlformats.org/officeDocument/2006/relationships/theme" Target="theme/theme1.xml"/><Relationship Id="rId81" Type="http://schemas.openxmlformats.org/officeDocument/2006/relationships/externalLink" Target="externalLinks/externalLink27.xml"/><Relationship Id="rId80" Type="http://schemas.openxmlformats.org/officeDocument/2006/relationships/externalLink" Target="externalLinks/externalLink26.xml"/><Relationship Id="rId8" Type="http://schemas.openxmlformats.org/officeDocument/2006/relationships/worksheet" Target="worksheets/sheet8.xml"/><Relationship Id="rId79" Type="http://schemas.openxmlformats.org/officeDocument/2006/relationships/externalLink" Target="externalLinks/externalLink25.xml"/><Relationship Id="rId78" Type="http://schemas.openxmlformats.org/officeDocument/2006/relationships/externalLink" Target="externalLinks/externalLink24.xml"/><Relationship Id="rId77" Type="http://schemas.openxmlformats.org/officeDocument/2006/relationships/externalLink" Target="externalLinks/externalLink23.xml"/><Relationship Id="rId76" Type="http://schemas.openxmlformats.org/officeDocument/2006/relationships/externalLink" Target="externalLinks/externalLink22.xml"/><Relationship Id="rId75" Type="http://schemas.openxmlformats.org/officeDocument/2006/relationships/externalLink" Target="externalLinks/externalLink21.xml"/><Relationship Id="rId74" Type="http://schemas.openxmlformats.org/officeDocument/2006/relationships/externalLink" Target="externalLinks/externalLink20.xml"/><Relationship Id="rId73" Type="http://schemas.openxmlformats.org/officeDocument/2006/relationships/externalLink" Target="externalLinks/externalLink19.xml"/><Relationship Id="rId72" Type="http://schemas.openxmlformats.org/officeDocument/2006/relationships/externalLink" Target="externalLinks/externalLink18.xml"/><Relationship Id="rId71" Type="http://schemas.openxmlformats.org/officeDocument/2006/relationships/externalLink" Target="externalLinks/externalLink17.xml"/><Relationship Id="rId70" Type="http://schemas.openxmlformats.org/officeDocument/2006/relationships/externalLink" Target="externalLinks/externalLink16.xml"/><Relationship Id="rId7" Type="http://schemas.openxmlformats.org/officeDocument/2006/relationships/worksheet" Target="worksheets/sheet7.xml"/><Relationship Id="rId69" Type="http://schemas.openxmlformats.org/officeDocument/2006/relationships/externalLink" Target="externalLinks/externalLink15.xml"/><Relationship Id="rId68" Type="http://schemas.openxmlformats.org/officeDocument/2006/relationships/externalLink" Target="externalLinks/externalLink14.xml"/><Relationship Id="rId67" Type="http://schemas.openxmlformats.org/officeDocument/2006/relationships/externalLink" Target="externalLinks/externalLink13.xml"/><Relationship Id="rId66" Type="http://schemas.openxmlformats.org/officeDocument/2006/relationships/externalLink" Target="externalLinks/externalLink12.xml"/><Relationship Id="rId65" Type="http://schemas.openxmlformats.org/officeDocument/2006/relationships/externalLink" Target="externalLinks/externalLink11.xml"/><Relationship Id="rId64" Type="http://schemas.openxmlformats.org/officeDocument/2006/relationships/externalLink" Target="externalLinks/externalLink10.xml"/><Relationship Id="rId63" Type="http://schemas.openxmlformats.org/officeDocument/2006/relationships/externalLink" Target="externalLinks/externalLink9.xml"/><Relationship Id="rId62" Type="http://schemas.openxmlformats.org/officeDocument/2006/relationships/externalLink" Target="externalLinks/externalLink8.xml"/><Relationship Id="rId61" Type="http://schemas.openxmlformats.org/officeDocument/2006/relationships/externalLink" Target="externalLinks/externalLink7.xml"/><Relationship Id="rId60" Type="http://schemas.openxmlformats.org/officeDocument/2006/relationships/externalLink" Target="externalLinks/externalLink6.xml"/><Relationship Id="rId6" Type="http://schemas.openxmlformats.org/officeDocument/2006/relationships/worksheet" Target="worksheets/sheet6.xml"/><Relationship Id="rId59" Type="http://schemas.openxmlformats.org/officeDocument/2006/relationships/externalLink" Target="externalLinks/externalLink5.xml"/><Relationship Id="rId58" Type="http://schemas.openxmlformats.org/officeDocument/2006/relationships/externalLink" Target="externalLinks/externalLink4.xml"/><Relationship Id="rId57" Type="http://schemas.openxmlformats.org/officeDocument/2006/relationships/externalLink" Target="externalLinks/externalLink3.xml"/><Relationship Id="rId56" Type="http://schemas.openxmlformats.org/officeDocument/2006/relationships/externalLink" Target="externalLinks/externalLink2.xml"/><Relationship Id="rId55" Type="http://schemas.openxmlformats.org/officeDocument/2006/relationships/externalLink" Target="externalLinks/externalLink1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GDP&#21450;&#20998;&#20135;&#19994;&#25968;&#25454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998;&#22320;&#21439;&#36130;&#25919;&#19968;&#33324;&#39044;&#31639;&#25910;&#20837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2320;&#21439;&#24037;&#21830;&#31246;&#25910;&#20915;&#31639;&#25968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34892;&#25919;&#21644;&#20844;&#26816;&#27861;&#21496;&#37096;&#38376;&#32534;&#21046;&#2596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844;&#29992;&#26631;&#20934;&#25903;&#2098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56.0.160.17\DOCUME~1\zq\LOCALS~1\Temp\&#25919;&#27861;&#21475;&#24120;&#29992;&#32479;&#35745;&#36164;&#26009;\&#19977;&#23395;&#24230;&#27719;&#24635;\&#39044;&#31639;\2006&#39044;&#31639;&#25253;&#34920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892;&#19994;&#20154;&#21475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20892;&#19994;&#29992;&#22320;&#38754;&#31215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54;&#21592;&#26631;&#20934;&#25903;&#2098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07;&#19994;&#21457;&#23637;&#25903;&#20986;&#65288;&#32463;&#24046;&#24322;&#35843;&#25972;&#65289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.000\Desktop\&#25105;&#30340;&#20844;&#25991;&#21253;\&#36213;&#21746;&#36132;&#25991;&#20214;&#22841;\&#25253;&#34920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&#20065;&#38215;&#21644;&#34892;&#25919;&#26449;&#20010;&#25968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56.0.160.17\DOCUME~1\zq\LOCALS~1\Temp\&#36130;&#25919;&#20379;&#20859;&#20154;&#21592;&#20449;&#24687;&#34920;\&#25945;&#32946;\&#27896;&#27700;&#22235;&#20013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2&#24180;&#20113;&#21335;&#30465;&#20998;&#21439;&#19968;&#33324;&#39044;&#31639;&#25910;&#20837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013;&#23567;&#23398;&#29983;&#20154;&#25968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4635;&#20154;&#2147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dministrator\&#26700;&#38754;\1106&#26399;&#19987;&#19994;&#31185;&#30446;&#25253;&#21517;&#20449;&#24687;\&#24066;&#20116;&#20013;1106&#26399;&#20013;&#32423;&#22521;&#35757;&#25253;&#21517;&#34920;16&#2608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2004&#24180;&#20113;&#21335;&#30465;&#20998;&#21439;&#26412;&#32423;&#26631;&#20934;&#25910;&#20837;&#21512;&#3574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&#36130;&#25919;&#20840;&#20379;&#20859;&#20154;&#21592;&#22686;&#24133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6449;&#32423;&#26631;&#20934;&#25903;&#2098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7575;&#38177;&#29790;\&#21271;&#20140;&#24503;&#21150;\2007&#24180;&#27979;&#31639;&#26041;&#26696;\&#19968;&#22870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56.0.160.17\DOCUME~1\zq\LOCALS~1\Temp\04&#20307;&#21046;&#31185;\03&#24180;&#32456;&#32467;&#31639;&#21450;&#25968;&#25454;&#20998;&#26512;\2006&#24180;\&#20915;&#31639;&#21450;&#25968;&#25454;&#20998;&#26512;\&#20915;&#31639;&#20998;&#26512;&#36164;&#26009;&#32467;&#26524;\&#21439;&#32423;&#36130;&#25919;&#25253;&#34920;&#38468;&#34920;\01&#26118;&#26126;\01&#26118;&#2612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一般预算收入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工商税收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行政编制"/>
      <sheetName val="公检法司编制"/>
      <sheetName val="行政和公检法司人数"/>
    </sheetNames>
    <sheetDataSet>
      <sheetData sheetId="0"/>
      <sheetData sheetId="1"/>
      <sheetData sheetId="2"/>
      <sheetData sheetId="3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合计"/>
      <sheetName val="行政"/>
      <sheetName val="公检法司"/>
      <sheetName val="教育"/>
      <sheetName val="其他事业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1"/>
      <sheetName val="单位信息2"/>
      <sheetName val="非税征收"/>
      <sheetName val="政府采购"/>
      <sheetName val="基本支出预算"/>
      <sheetName val="项目预算"/>
      <sheetName val="成本性预算"/>
      <sheetName val="收支预算总表"/>
      <sheetName val="编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农业人口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农业用地"/>
    </sheetNames>
    <sheetDataSet>
      <sheetData sheetId="0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</sheetNames>
    <sheetDataSet>
      <sheetData sheetId="0"/>
      <sheetData sheetId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人员支出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事业发展"/>
    </sheetNames>
    <sheetDataSet>
      <sheetData sheetId="0"/>
      <sheetData sheetId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</sheetNames>
    <sheetDataSet>
      <sheetData sheetId="0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行政区划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2002年一般预算收入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中小学生"/>
    </sheetNames>
    <sheetDataSet>
      <sheetData sheetId="0"/>
      <sheetData sheetId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总人口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"/>
      <sheetName val="00000ppy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本年收入合计"/>
      <sheetName val="01.增值税"/>
      <sheetName val="03.营业税"/>
      <sheetName val="04.企业所得税"/>
      <sheetName val="07.个人所得税"/>
      <sheetName val="08.资源税"/>
      <sheetName val="09.投调税"/>
      <sheetName val="10.城建税"/>
      <sheetName val="11.房产税"/>
      <sheetName val="12.印花税"/>
      <sheetName val="13.城镇土地使用税"/>
      <sheetName val="14.土地增值税"/>
      <sheetName val="15.车船使用和牌照税"/>
      <sheetName val="25.屠宰税"/>
      <sheetName val="30.农业税"/>
      <sheetName val="31.烟叶农特税"/>
      <sheetName val="33.耕地占用税"/>
      <sheetName val="34.契税"/>
      <sheetName val="40.经营收益"/>
      <sheetName val="41.亏损补贴"/>
      <sheetName val="42.行政性收费"/>
      <sheetName val="43.罚没收入"/>
      <sheetName val="70.专项收入"/>
      <sheetName val="71.其他收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月报"/>
      <sheetName val="1月报"/>
      <sheetName val="2月报"/>
      <sheetName val="3月报"/>
      <sheetName val="4月报"/>
      <sheetName val="5月报"/>
      <sheetName val="6月报"/>
      <sheetName val="7月报"/>
      <sheetName val="8月报"/>
      <sheetName val="9月报"/>
      <sheetName val="10月报"/>
      <sheetName val="11月报"/>
      <sheetName val="12月报"/>
      <sheetName val="汇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财政供养人员增幅"/>
    </sheetNames>
    <sheetDataSet>
      <sheetData sheetId="0"/>
      <sheetData sheetId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村级支出"/>
    </sheetNames>
    <sheetDataSet>
      <sheetData sheetId="0"/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"/>
      <sheetName val="13 铁路配件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A01"/>
      <sheetName val="A02"/>
      <sheetName val="A03"/>
      <sheetName val="A04"/>
      <sheetName val="A05"/>
      <sheetName val="A06"/>
      <sheetName val="A0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J20"/>
  <sheetViews>
    <sheetView workbookViewId="0">
      <selection activeCell="I15" sqref="I15"/>
    </sheetView>
  </sheetViews>
  <sheetFormatPr defaultColWidth="9" defaultRowHeight="14.25"/>
  <cols>
    <col min="1" max="1" width="25" style="515" customWidth="1"/>
    <col min="2" max="2" width="10.625" style="515" customWidth="1"/>
    <col min="3" max="3" width="12" style="515" customWidth="1"/>
    <col min="4" max="4" width="10.625" style="515" customWidth="1"/>
    <col min="5" max="5" width="12.125" style="445" customWidth="1"/>
    <col min="6" max="6" width="10.625" style="515" customWidth="1"/>
    <col min="7" max="7" width="9" style="515"/>
    <col min="8" max="8" width="10.5" style="515" customWidth="1"/>
    <col min="9" max="9" width="9.75" style="515" customWidth="1"/>
    <col min="10" max="10" width="11.75" style="515" customWidth="1"/>
    <col min="11" max="16384" width="9" style="515"/>
  </cols>
  <sheetData>
    <row r="1" ht="28.5" customHeight="1" spans="1:10">
      <c r="A1" s="504" t="s">
        <v>168</v>
      </c>
      <c r="B1" s="477"/>
      <c r="C1" s="477"/>
      <c r="D1" s="477"/>
      <c r="E1" s="516"/>
      <c r="F1" s="516"/>
    </row>
    <row r="2" ht="35.25" customHeight="1" spans="1:10">
      <c r="A2" s="517" t="s">
        <v>36</v>
      </c>
      <c r="B2" s="517" t="s">
        <v>100</v>
      </c>
      <c r="C2" s="518">
        <v>43435</v>
      </c>
      <c r="D2" s="519" t="s">
        <v>75</v>
      </c>
      <c r="E2" s="387" t="s">
        <v>3</v>
      </c>
      <c r="F2" s="519" t="s">
        <v>75</v>
      </c>
      <c r="H2" s="520"/>
      <c r="J2" s="520"/>
    </row>
    <row r="3" ht="26.1" customHeight="1" spans="1:10">
      <c r="A3" s="464" t="s">
        <v>169</v>
      </c>
      <c r="B3" s="458" t="s">
        <v>64</v>
      </c>
      <c r="C3" s="548">
        <v>0.0457</v>
      </c>
      <c r="D3" s="549">
        <v>-64.4</v>
      </c>
      <c r="E3" s="548">
        <v>1.5973</v>
      </c>
      <c r="F3" s="395">
        <v>-28.2</v>
      </c>
      <c r="H3" s="520"/>
      <c r="J3" s="520"/>
    </row>
    <row r="4" ht="26.1" customHeight="1" spans="1:10">
      <c r="A4" s="464" t="s">
        <v>170</v>
      </c>
      <c r="B4" s="458" t="s">
        <v>64</v>
      </c>
      <c r="C4" s="548">
        <v>22.841</v>
      </c>
      <c r="D4" s="549">
        <v>2.4</v>
      </c>
      <c r="E4" s="548">
        <v>272.5759</v>
      </c>
      <c r="F4" s="395">
        <v>12.7</v>
      </c>
      <c r="H4" s="520"/>
      <c r="J4" s="520"/>
    </row>
    <row r="5" ht="26.1" customHeight="1" spans="1:10">
      <c r="A5" s="464" t="s">
        <v>171</v>
      </c>
      <c r="B5" s="458" t="s">
        <v>64</v>
      </c>
      <c r="C5" s="548">
        <v>3.9755</v>
      </c>
      <c r="D5" s="549">
        <v>-21.7</v>
      </c>
      <c r="E5" s="548">
        <v>51.634</v>
      </c>
      <c r="F5" s="395">
        <v>-21.5</v>
      </c>
      <c r="H5" s="520"/>
      <c r="J5" s="520"/>
    </row>
    <row r="6" ht="26.1" customHeight="1" spans="1:10">
      <c r="A6" s="464" t="s">
        <v>172</v>
      </c>
      <c r="B6" s="458" t="s">
        <v>64</v>
      </c>
      <c r="C6" s="548">
        <v>0.4675</v>
      </c>
      <c r="D6" s="549">
        <v>-19.8</v>
      </c>
      <c r="E6" s="548">
        <v>6.2802</v>
      </c>
      <c r="F6" s="395">
        <v>88.1</v>
      </c>
      <c r="H6" s="520"/>
      <c r="J6" s="520"/>
    </row>
    <row r="7" ht="26.1" customHeight="1" spans="1:10">
      <c r="A7" s="464" t="s">
        <v>173</v>
      </c>
      <c r="B7" s="458" t="s">
        <v>64</v>
      </c>
      <c r="C7" s="548">
        <v>0.8649</v>
      </c>
      <c r="D7" s="549">
        <v>16</v>
      </c>
      <c r="E7" s="548">
        <v>10.9015</v>
      </c>
      <c r="F7" s="395">
        <v>6.8</v>
      </c>
      <c r="H7" s="520"/>
      <c r="J7" s="520"/>
    </row>
    <row r="8" ht="26.1" customHeight="1" spans="1:10">
      <c r="A8" s="452" t="s">
        <v>174</v>
      </c>
      <c r="B8" s="458" t="s">
        <v>64</v>
      </c>
      <c r="C8" s="548">
        <v>12.5746</v>
      </c>
      <c r="D8" s="550">
        <v>19.7</v>
      </c>
      <c r="E8" s="548">
        <v>83.2402</v>
      </c>
      <c r="F8" s="395">
        <v>35</v>
      </c>
      <c r="H8" s="520"/>
      <c r="J8" s="520"/>
    </row>
    <row r="9" ht="26.1" customHeight="1" spans="1:10">
      <c r="A9" s="464" t="s">
        <v>175</v>
      </c>
      <c r="B9" s="458" t="s">
        <v>64</v>
      </c>
      <c r="C9" s="548">
        <v>1.261</v>
      </c>
      <c r="D9" s="549">
        <v>11.9</v>
      </c>
      <c r="E9" s="548">
        <v>10.9078</v>
      </c>
      <c r="F9" s="395">
        <v>-22.9</v>
      </c>
      <c r="G9" s="155"/>
      <c r="H9" s="533"/>
      <c r="J9" s="520"/>
    </row>
    <row r="10" ht="26.1" customHeight="1" spans="1:10">
      <c r="A10" s="464" t="s">
        <v>176</v>
      </c>
      <c r="B10" s="458" t="s">
        <v>177</v>
      </c>
      <c r="C10" s="551">
        <v>13374</v>
      </c>
      <c r="D10" s="549">
        <v>32.4</v>
      </c>
      <c r="E10" s="401">
        <v>105917</v>
      </c>
      <c r="F10" s="395">
        <v>125.8</v>
      </c>
      <c r="H10" s="520"/>
      <c r="J10" s="520"/>
    </row>
    <row r="11" ht="26.1" customHeight="1" spans="1:10">
      <c r="A11" s="464" t="s">
        <v>178</v>
      </c>
      <c r="B11" s="458" t="s">
        <v>177</v>
      </c>
      <c r="C11" s="551">
        <v>17760</v>
      </c>
      <c r="D11" s="549">
        <v>-14.9</v>
      </c>
      <c r="E11" s="401">
        <v>206615</v>
      </c>
      <c r="F11" s="395">
        <v>-9.4</v>
      </c>
      <c r="H11" s="520"/>
      <c r="J11" s="520"/>
    </row>
    <row r="12" ht="26.1" customHeight="1" spans="1:10">
      <c r="A12" s="464" t="s">
        <v>179</v>
      </c>
      <c r="B12" s="458" t="s">
        <v>177</v>
      </c>
      <c r="C12" s="551">
        <v>5381</v>
      </c>
      <c r="D12" s="549">
        <v>10.9</v>
      </c>
      <c r="E12" s="401">
        <v>45598</v>
      </c>
      <c r="F12" s="395">
        <v>2.5</v>
      </c>
      <c r="H12" s="520"/>
      <c r="J12" s="520"/>
    </row>
    <row r="13" ht="29.1" customHeight="1" spans="1:10">
      <c r="A13" s="464" t="s">
        <v>180</v>
      </c>
      <c r="B13" s="458" t="s">
        <v>177</v>
      </c>
      <c r="C13" s="551">
        <v>6531</v>
      </c>
      <c r="D13" s="549">
        <v>-15.6</v>
      </c>
      <c r="E13" s="401">
        <v>122131</v>
      </c>
      <c r="F13" s="395">
        <v>-8.4</v>
      </c>
    </row>
    <row r="14" ht="24.95" customHeight="1" spans="1:10">
      <c r="A14" s="552" t="s">
        <v>181</v>
      </c>
      <c r="B14" s="458" t="s">
        <v>64</v>
      </c>
      <c r="C14" s="548">
        <v>0.1435</v>
      </c>
      <c r="D14" s="553">
        <v>66.3</v>
      </c>
      <c r="E14" s="548">
        <v>1.6919</v>
      </c>
      <c r="F14" s="554">
        <v>10.6</v>
      </c>
    </row>
    <row r="15" ht="24.95" customHeight="1" spans="1:10">
      <c r="A15" s="552" t="s">
        <v>182</v>
      </c>
      <c r="B15" s="458" t="s">
        <v>64</v>
      </c>
      <c r="C15" s="548">
        <v>4.2002</v>
      </c>
      <c r="D15" s="549">
        <v>11</v>
      </c>
      <c r="E15" s="548">
        <v>43.8385</v>
      </c>
      <c r="F15" s="554">
        <v>-2.3</v>
      </c>
    </row>
    <row r="16" ht="24.95" customHeight="1" spans="1:10">
      <c r="A16" s="452" t="s">
        <v>183</v>
      </c>
      <c r="B16" s="458" t="s">
        <v>64</v>
      </c>
      <c r="C16" s="548">
        <v>2.4731</v>
      </c>
      <c r="D16" s="550">
        <v>-11.3</v>
      </c>
      <c r="E16" s="548">
        <v>24.1095</v>
      </c>
      <c r="F16" s="554">
        <v>-11.5</v>
      </c>
    </row>
    <row r="17" ht="24.95" customHeight="1" spans="1:6">
      <c r="A17" s="452" t="s">
        <v>184</v>
      </c>
      <c r="B17" s="458" t="s">
        <v>185</v>
      </c>
      <c r="C17" s="555">
        <v>9.1753</v>
      </c>
      <c r="D17" s="550">
        <v>-15</v>
      </c>
      <c r="E17" s="555">
        <v>121</v>
      </c>
      <c r="F17" s="554">
        <v>-4.3</v>
      </c>
    </row>
    <row r="18" ht="24.95" customHeight="1" spans="1:6">
      <c r="A18" s="452" t="s">
        <v>186</v>
      </c>
      <c r="B18" s="458" t="s">
        <v>64</v>
      </c>
      <c r="C18" s="548">
        <v>0.1239</v>
      </c>
      <c r="D18" s="550">
        <v>6.9</v>
      </c>
      <c r="E18" s="548">
        <v>1.3369</v>
      </c>
      <c r="F18" s="554">
        <v>-5.8</v>
      </c>
    </row>
    <row r="19" ht="24.95" customHeight="1" spans="1:6">
      <c r="A19" s="452" t="s">
        <v>187</v>
      </c>
      <c r="B19" s="458" t="s">
        <v>188</v>
      </c>
      <c r="C19" s="551">
        <v>0</v>
      </c>
      <c r="D19" s="550">
        <v>0</v>
      </c>
      <c r="E19" s="401">
        <v>0</v>
      </c>
      <c r="F19" s="554">
        <v>0</v>
      </c>
    </row>
    <row r="20" ht="24.95" customHeight="1" spans="1:6">
      <c r="A20" s="556" t="s">
        <v>189</v>
      </c>
      <c r="B20" s="557" t="s">
        <v>190</v>
      </c>
      <c r="C20" s="558">
        <v>161</v>
      </c>
      <c r="D20" s="559">
        <v>-50.9</v>
      </c>
      <c r="E20" s="405">
        <v>911</v>
      </c>
      <c r="F20" s="560">
        <v>-20.5</v>
      </c>
    </row>
  </sheetData>
  <mergeCells count="1">
    <mergeCell ref="A1:F1"/>
  </mergeCells>
  <pageMargins left="0.75" right="0.75" top="1" bottom="1" header="0.5" footer="0.5"/>
  <pageSetup paperSize="9" orientation="portrait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J22"/>
  <sheetViews>
    <sheetView workbookViewId="0">
      <selection activeCell="H14" sqref="H14"/>
    </sheetView>
  </sheetViews>
  <sheetFormatPr defaultColWidth="9" defaultRowHeight="14.25"/>
  <cols>
    <col min="1" max="1" width="25" style="540" customWidth="1"/>
    <col min="2" max="2" width="10.625" style="540" customWidth="1"/>
    <col min="3" max="3" width="12" style="540" customWidth="1"/>
    <col min="4" max="4" width="10.625" style="540" customWidth="1"/>
    <col min="5" max="5" width="12.125" style="540" customWidth="1"/>
    <col min="6" max="6" width="10.625" style="540" customWidth="1"/>
    <col min="7" max="7" width="9" style="540"/>
    <col min="8" max="8" width="10.5" style="540" customWidth="1"/>
    <col min="9" max="9" width="9.75" style="540" customWidth="1"/>
    <col min="10" max="10" width="11.75" style="540" customWidth="1"/>
    <col min="11" max="16384" width="9" style="540"/>
  </cols>
  <sheetData>
    <row r="1" ht="28.5" customHeight="1" spans="1:10">
      <c r="A1" s="504" t="s">
        <v>191</v>
      </c>
      <c r="B1" s="477"/>
      <c r="C1" s="477"/>
      <c r="D1" s="477"/>
      <c r="E1" s="516"/>
      <c r="F1" s="516"/>
    </row>
    <row r="2" ht="35.25" customHeight="1" spans="1:10">
      <c r="A2" s="517" t="s">
        <v>36</v>
      </c>
      <c r="B2" s="517" t="s">
        <v>100</v>
      </c>
      <c r="C2" s="518">
        <v>43435</v>
      </c>
      <c r="D2" s="519" t="s">
        <v>75</v>
      </c>
      <c r="E2" s="387" t="s">
        <v>3</v>
      </c>
      <c r="F2" s="519" t="s">
        <v>75</v>
      </c>
      <c r="G2" s="445"/>
      <c r="H2" s="541"/>
      <c r="J2" s="541"/>
    </row>
    <row r="3" ht="24.95" customHeight="1" spans="1:10">
      <c r="A3" s="521" t="s">
        <v>192</v>
      </c>
      <c r="B3" s="542" t="s">
        <v>64</v>
      </c>
      <c r="C3" s="523">
        <v>4.7227</v>
      </c>
      <c r="D3" s="524">
        <v>-27</v>
      </c>
      <c r="E3" s="525">
        <v>50.1775</v>
      </c>
      <c r="F3" s="526">
        <v>5.6</v>
      </c>
      <c r="G3" s="445"/>
      <c r="H3" s="541"/>
      <c r="J3" s="541"/>
    </row>
    <row r="4" ht="24.95" customHeight="1" spans="1:10">
      <c r="A4" s="521" t="s">
        <v>193</v>
      </c>
      <c r="B4" s="542" t="s">
        <v>194</v>
      </c>
      <c r="C4" s="523">
        <v>6.3946</v>
      </c>
      <c r="D4" s="524">
        <v>-29.8</v>
      </c>
      <c r="E4" s="525">
        <v>72.207</v>
      </c>
      <c r="F4" s="526">
        <v>-21.6</v>
      </c>
      <c r="G4" s="445"/>
      <c r="H4" s="541"/>
      <c r="J4" s="541"/>
    </row>
    <row r="5" ht="24.95" customHeight="1" spans="1:10">
      <c r="A5" s="527" t="s">
        <v>195</v>
      </c>
      <c r="B5" s="522" t="s">
        <v>190</v>
      </c>
      <c r="C5" s="523">
        <v>18.6431</v>
      </c>
      <c r="D5" s="543">
        <v>-38.2</v>
      </c>
      <c r="E5" s="525">
        <v>340.3492</v>
      </c>
      <c r="F5" s="526">
        <v>-33</v>
      </c>
      <c r="G5" s="445"/>
      <c r="H5" s="541"/>
      <c r="J5" s="541"/>
    </row>
    <row r="6" ht="24.95" customHeight="1" spans="1:10">
      <c r="A6" s="527" t="s">
        <v>196</v>
      </c>
      <c r="B6" s="542" t="s">
        <v>64</v>
      </c>
      <c r="C6" s="523">
        <v>5.817</v>
      </c>
      <c r="D6" s="543">
        <v>-23.4</v>
      </c>
      <c r="E6" s="525">
        <v>57.9225</v>
      </c>
      <c r="F6" s="526">
        <v>-6.7</v>
      </c>
      <c r="G6" s="445"/>
      <c r="H6" s="541"/>
      <c r="J6" s="541"/>
    </row>
    <row r="7" ht="24.95" customHeight="1" spans="1:10">
      <c r="A7" s="527" t="s">
        <v>197</v>
      </c>
      <c r="B7" s="542" t="s">
        <v>64</v>
      </c>
      <c r="C7" s="523">
        <v>19.4372</v>
      </c>
      <c r="D7" s="543">
        <v>24.4</v>
      </c>
      <c r="E7" s="525">
        <v>201.5588</v>
      </c>
      <c r="F7" s="526">
        <v>23.1</v>
      </c>
      <c r="G7" s="445"/>
      <c r="H7" s="541"/>
      <c r="J7" s="541"/>
    </row>
    <row r="8" ht="24.95" customHeight="1" spans="1:10">
      <c r="A8" s="527" t="s">
        <v>198</v>
      </c>
      <c r="B8" s="542" t="s">
        <v>64</v>
      </c>
      <c r="C8" s="523">
        <v>46.7228</v>
      </c>
      <c r="D8" s="543">
        <v>3.1</v>
      </c>
      <c r="E8" s="525">
        <v>535.548</v>
      </c>
      <c r="F8" s="526">
        <v>-1.9</v>
      </c>
      <c r="G8" s="445"/>
      <c r="H8" s="541"/>
      <c r="J8" s="541"/>
    </row>
    <row r="9" ht="24.95" customHeight="1" spans="1:10">
      <c r="A9" s="527" t="s">
        <v>199</v>
      </c>
      <c r="B9" s="542" t="s">
        <v>64</v>
      </c>
      <c r="C9" s="523">
        <v>15.0722</v>
      </c>
      <c r="D9" s="543">
        <v>-1.3</v>
      </c>
      <c r="E9" s="525">
        <v>180.0308</v>
      </c>
      <c r="F9" s="526">
        <v>-0.9</v>
      </c>
      <c r="G9" s="445"/>
      <c r="H9" s="541"/>
      <c r="J9" s="541"/>
    </row>
    <row r="10" ht="24.95" customHeight="1" spans="1:10">
      <c r="A10" s="528" t="s">
        <v>200</v>
      </c>
      <c r="B10" s="458" t="s">
        <v>64</v>
      </c>
      <c r="C10" s="523">
        <v>17.0519</v>
      </c>
      <c r="D10" s="543">
        <v>3.3</v>
      </c>
      <c r="E10" s="525">
        <v>205.1314</v>
      </c>
      <c r="F10" s="526">
        <v>-2.2</v>
      </c>
      <c r="G10" s="445"/>
      <c r="H10" s="541"/>
      <c r="J10" s="541"/>
    </row>
    <row r="11" ht="24.95" customHeight="1" spans="1:10">
      <c r="A11" s="527" t="s">
        <v>201</v>
      </c>
      <c r="B11" s="542" t="s">
        <v>64</v>
      </c>
      <c r="C11" s="523">
        <v>2.4538</v>
      </c>
      <c r="D11" s="543">
        <v>63.7</v>
      </c>
      <c r="E11" s="525">
        <v>17.9732</v>
      </c>
      <c r="F11" s="526">
        <v>-8</v>
      </c>
      <c r="G11" s="445"/>
      <c r="H11" s="541"/>
      <c r="J11" s="541"/>
    </row>
    <row r="12" ht="24.95" customHeight="1" spans="1:10">
      <c r="A12" s="527" t="s">
        <v>202</v>
      </c>
      <c r="B12" s="542" t="s">
        <v>64</v>
      </c>
      <c r="C12" s="523">
        <v>0.6514</v>
      </c>
      <c r="D12" s="543">
        <v>206.7</v>
      </c>
      <c r="E12" s="525">
        <v>2.6262</v>
      </c>
      <c r="F12" s="526">
        <v>-64</v>
      </c>
      <c r="G12" s="445"/>
      <c r="H12" s="541"/>
      <c r="J12" s="541"/>
    </row>
    <row r="13" ht="24.95" customHeight="1" spans="1:10">
      <c r="A13" s="527" t="s">
        <v>203</v>
      </c>
      <c r="B13" s="542" t="s">
        <v>64</v>
      </c>
      <c r="C13" s="523">
        <v>4.5949</v>
      </c>
      <c r="D13" s="543">
        <v>-2.7</v>
      </c>
      <c r="E13" s="525">
        <v>45.2664</v>
      </c>
      <c r="F13" s="526">
        <v>-2.7</v>
      </c>
      <c r="G13" s="445"/>
      <c r="H13" s="541"/>
      <c r="J13" s="541"/>
    </row>
    <row r="14" ht="24.95" customHeight="1" spans="1:10">
      <c r="A14" s="527" t="s">
        <v>204</v>
      </c>
      <c r="B14" s="542" t="s">
        <v>64</v>
      </c>
      <c r="C14" s="523">
        <v>2.2065</v>
      </c>
      <c r="D14" s="543">
        <v>-22.1</v>
      </c>
      <c r="E14" s="525">
        <v>29.8463</v>
      </c>
      <c r="F14" s="526">
        <v>-1.4</v>
      </c>
      <c r="G14" s="445"/>
      <c r="H14" s="541"/>
      <c r="J14" s="541"/>
    </row>
    <row r="15" ht="24.95" customHeight="1" spans="1:10">
      <c r="A15" s="530" t="s">
        <v>205</v>
      </c>
      <c r="B15" s="542" t="s">
        <v>64</v>
      </c>
      <c r="C15" s="523">
        <v>2.9698</v>
      </c>
      <c r="D15" s="544">
        <v>-2.7</v>
      </c>
      <c r="E15" s="525">
        <v>19.7112</v>
      </c>
      <c r="F15" s="526">
        <v>43.9</v>
      </c>
      <c r="G15" s="445"/>
      <c r="H15" s="541"/>
      <c r="J15" s="541"/>
    </row>
    <row r="16" ht="24.95" customHeight="1" spans="1:10">
      <c r="A16" s="527" t="s">
        <v>206</v>
      </c>
      <c r="B16" s="542" t="s">
        <v>64</v>
      </c>
      <c r="C16" s="523">
        <v>0.1233</v>
      </c>
      <c r="D16" s="543">
        <v>24.5</v>
      </c>
      <c r="E16" s="525">
        <v>0.862</v>
      </c>
      <c r="F16" s="526">
        <v>-11.7</v>
      </c>
      <c r="G16" s="445"/>
      <c r="H16" s="541"/>
      <c r="J16" s="541"/>
    </row>
    <row r="17" ht="24.95" customHeight="1" spans="1:10">
      <c r="A17" s="527" t="s">
        <v>207</v>
      </c>
      <c r="B17" s="542" t="s">
        <v>64</v>
      </c>
      <c r="C17" s="523">
        <v>0.7342</v>
      </c>
      <c r="D17" s="543">
        <v>-25.2</v>
      </c>
      <c r="E17" s="525">
        <v>10.9847</v>
      </c>
      <c r="F17" s="526">
        <v>-34.2</v>
      </c>
      <c r="G17" s="445"/>
      <c r="H17" s="541"/>
      <c r="J17" s="541"/>
    </row>
    <row r="18" ht="24.95" customHeight="1" spans="1:10">
      <c r="A18" s="527" t="s">
        <v>208</v>
      </c>
      <c r="B18" s="542" t="s">
        <v>64</v>
      </c>
      <c r="C18" s="523">
        <v>0.9336</v>
      </c>
      <c r="D18" s="543">
        <v>-28.5</v>
      </c>
      <c r="E18" s="525">
        <v>13.4729</v>
      </c>
      <c r="F18" s="526">
        <v>-46.7</v>
      </c>
      <c r="G18" s="445"/>
      <c r="H18" s="541"/>
      <c r="J18" s="541"/>
    </row>
    <row r="19" ht="24.95" customHeight="1" spans="1:10">
      <c r="A19" s="527" t="s">
        <v>209</v>
      </c>
      <c r="B19" s="542" t="s">
        <v>64</v>
      </c>
      <c r="C19" s="523">
        <v>1.5046</v>
      </c>
      <c r="D19" s="543">
        <v>-24.9</v>
      </c>
      <c r="E19" s="525">
        <v>20.2704</v>
      </c>
      <c r="F19" s="526">
        <v>-4.2</v>
      </c>
      <c r="G19" s="445"/>
      <c r="H19" s="541"/>
      <c r="J19" s="541"/>
    </row>
    <row r="20" ht="24.95" customHeight="1" spans="1:10">
      <c r="A20" s="527" t="s">
        <v>210</v>
      </c>
      <c r="B20" s="542" t="s">
        <v>64</v>
      </c>
      <c r="C20" s="523">
        <v>0.0434</v>
      </c>
      <c r="D20" s="543">
        <v>-34</v>
      </c>
      <c r="E20" s="525">
        <v>0.6067</v>
      </c>
      <c r="F20" s="526">
        <v>-12</v>
      </c>
      <c r="G20" s="155"/>
      <c r="H20" s="545"/>
      <c r="J20" s="541"/>
    </row>
    <row r="21" ht="24.95" customHeight="1" spans="1:10">
      <c r="A21" s="527" t="s">
        <v>211</v>
      </c>
      <c r="B21" s="542" t="s">
        <v>64</v>
      </c>
      <c r="C21" s="523">
        <v>0</v>
      </c>
      <c r="D21" s="543">
        <v>-100</v>
      </c>
      <c r="E21" s="525">
        <v>0.3629</v>
      </c>
      <c r="F21" s="526">
        <v>-44.4</v>
      </c>
      <c r="G21" s="155"/>
      <c r="H21" s="541"/>
      <c r="J21" s="541"/>
    </row>
    <row r="22" ht="24.95" customHeight="1" spans="1:10">
      <c r="A22" s="534" t="s">
        <v>212</v>
      </c>
      <c r="B22" s="546" t="s">
        <v>64</v>
      </c>
      <c r="C22" s="536">
        <v>0.0574</v>
      </c>
      <c r="D22" s="547">
        <v>-5.7</v>
      </c>
      <c r="E22" s="538">
        <v>0.5304</v>
      </c>
      <c r="F22" s="539">
        <v>-28</v>
      </c>
      <c r="G22" s="155"/>
      <c r="H22" s="541"/>
      <c r="J22" s="541"/>
    </row>
  </sheetData>
  <mergeCells count="1">
    <mergeCell ref="A1:F1"/>
  </mergeCells>
  <pageMargins left="0.75" right="0.75" top="1" bottom="1" header="0.5" footer="0.5"/>
  <pageSetup paperSize="9" scale="98" orientation="portrait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J22"/>
  <sheetViews>
    <sheetView zoomScale="90" zoomScaleNormal="90" workbookViewId="0">
      <selection activeCell="I16" sqref="I16"/>
    </sheetView>
  </sheetViews>
  <sheetFormatPr defaultColWidth="9" defaultRowHeight="14.25"/>
  <cols>
    <col min="1" max="1" width="25" style="515" customWidth="1"/>
    <col min="2" max="2" width="10.625" style="515" customWidth="1"/>
    <col min="3" max="3" width="12" style="515" customWidth="1"/>
    <col min="4" max="4" width="10.625" style="515" customWidth="1"/>
    <col min="5" max="5" width="12.125" style="445" customWidth="1"/>
    <col min="6" max="6" width="10.625" style="515" customWidth="1"/>
    <col min="7" max="7" width="9" style="515"/>
    <col min="8" max="8" width="10.5" style="515" customWidth="1"/>
    <col min="9" max="9" width="9.75" style="515" customWidth="1"/>
    <col min="10" max="10" width="11.75" style="515" customWidth="1"/>
    <col min="11" max="16384" width="9" style="515"/>
  </cols>
  <sheetData>
    <row r="1" ht="28.5" customHeight="1" spans="1:10">
      <c r="A1" s="504" t="s">
        <v>213</v>
      </c>
      <c r="B1" s="477"/>
      <c r="C1" s="477"/>
      <c r="D1" s="477"/>
      <c r="E1" s="516"/>
      <c r="F1" s="516"/>
    </row>
    <row r="2" ht="35.25" customHeight="1" spans="1:10">
      <c r="A2" s="517" t="s">
        <v>36</v>
      </c>
      <c r="B2" s="517" t="s">
        <v>100</v>
      </c>
      <c r="C2" s="518">
        <v>43435</v>
      </c>
      <c r="D2" s="519" t="s">
        <v>75</v>
      </c>
      <c r="E2" s="387" t="s">
        <v>3</v>
      </c>
      <c r="F2" s="519" t="s">
        <v>75</v>
      </c>
      <c r="H2" s="520"/>
      <c r="J2" s="520"/>
    </row>
    <row r="3" ht="24.95" customHeight="1" spans="1:10">
      <c r="A3" s="521" t="s">
        <v>214</v>
      </c>
      <c r="B3" s="522" t="s">
        <v>64</v>
      </c>
      <c r="C3" s="523">
        <v>1.845</v>
      </c>
      <c r="D3" s="524">
        <v>-2.3</v>
      </c>
      <c r="E3" s="525">
        <v>14.1804</v>
      </c>
      <c r="F3" s="526">
        <v>3.4</v>
      </c>
      <c r="H3" s="520"/>
      <c r="J3" s="520"/>
    </row>
    <row r="4" ht="24.95" customHeight="1" spans="1:10">
      <c r="A4" s="521" t="s">
        <v>215</v>
      </c>
      <c r="B4" s="522" t="s">
        <v>64</v>
      </c>
      <c r="C4" s="523">
        <v>0.2001</v>
      </c>
      <c r="D4" s="524">
        <v>-29.3</v>
      </c>
      <c r="E4" s="525">
        <v>2.3318</v>
      </c>
      <c r="F4" s="526">
        <v>-1.4</v>
      </c>
      <c r="H4" s="520"/>
      <c r="J4" s="520"/>
    </row>
    <row r="5" ht="24.95" customHeight="1" spans="1:10">
      <c r="A5" s="527" t="s">
        <v>216</v>
      </c>
      <c r="B5" s="522" t="s">
        <v>217</v>
      </c>
      <c r="C5" s="523">
        <v>0</v>
      </c>
      <c r="D5" s="524">
        <v>0</v>
      </c>
      <c r="E5" s="525">
        <v>0</v>
      </c>
      <c r="F5" s="526">
        <v>0</v>
      </c>
      <c r="H5" s="520"/>
      <c r="J5" s="520"/>
    </row>
    <row r="6" ht="24.95" customHeight="1" spans="1:10">
      <c r="A6" s="527" t="s">
        <v>218</v>
      </c>
      <c r="B6" s="522" t="s">
        <v>64</v>
      </c>
      <c r="C6" s="523">
        <v>95.1931</v>
      </c>
      <c r="D6" s="524">
        <v>-1.1</v>
      </c>
      <c r="E6" s="525">
        <v>885.8021</v>
      </c>
      <c r="F6" s="526">
        <v>3.8</v>
      </c>
      <c r="H6" s="520"/>
      <c r="J6" s="520"/>
    </row>
    <row r="7" ht="24.95" customHeight="1" spans="1:10">
      <c r="A7" s="527" t="s">
        <v>219</v>
      </c>
      <c r="B7" s="522" t="s">
        <v>194</v>
      </c>
      <c r="C7" s="523">
        <v>108.549</v>
      </c>
      <c r="D7" s="524">
        <v>10</v>
      </c>
      <c r="E7" s="525">
        <v>900.3304</v>
      </c>
      <c r="F7" s="526">
        <v>21.1</v>
      </c>
      <c r="H7" s="520"/>
      <c r="J7" s="520"/>
    </row>
    <row r="8" ht="24.95" customHeight="1" spans="1:10">
      <c r="A8" s="527" t="s">
        <v>220</v>
      </c>
      <c r="B8" s="522" t="s">
        <v>221</v>
      </c>
      <c r="C8" s="523">
        <v>0.7132</v>
      </c>
      <c r="D8" s="524">
        <v>-35.7</v>
      </c>
      <c r="E8" s="525">
        <v>8.7412</v>
      </c>
      <c r="F8" s="526">
        <v>-43.6</v>
      </c>
      <c r="H8" s="520"/>
      <c r="J8" s="520"/>
    </row>
    <row r="9" ht="24.95" customHeight="1" spans="1:10">
      <c r="A9" s="527" t="s">
        <v>222</v>
      </c>
      <c r="B9" s="522" t="s">
        <v>64</v>
      </c>
      <c r="C9" s="523">
        <v>0.3087</v>
      </c>
      <c r="D9" s="524">
        <v>93.7</v>
      </c>
      <c r="E9" s="525">
        <v>3.2395</v>
      </c>
      <c r="F9" s="526">
        <v>6.2</v>
      </c>
      <c r="H9" s="520"/>
      <c r="J9" s="520"/>
    </row>
    <row r="10" ht="24.95" customHeight="1" spans="1:10">
      <c r="A10" s="528" t="s">
        <v>223</v>
      </c>
      <c r="B10" s="529" t="s">
        <v>14</v>
      </c>
      <c r="C10" s="523">
        <v>29.2926</v>
      </c>
      <c r="D10" s="524">
        <v>-3.8</v>
      </c>
      <c r="E10" s="525">
        <v>247.7945</v>
      </c>
      <c r="F10" s="526">
        <v>-14.4</v>
      </c>
      <c r="H10" s="520"/>
      <c r="J10" s="520"/>
    </row>
    <row r="11" ht="24.95" customHeight="1" spans="1:10">
      <c r="A11" s="527" t="s">
        <v>224</v>
      </c>
      <c r="B11" s="522" t="s">
        <v>64</v>
      </c>
      <c r="C11" s="523">
        <v>68.2838</v>
      </c>
      <c r="D11" s="524">
        <v>-1.7</v>
      </c>
      <c r="E11" s="525">
        <v>839.2275</v>
      </c>
      <c r="F11" s="526">
        <v>1.3</v>
      </c>
      <c r="H11" s="520"/>
      <c r="J11" s="520"/>
    </row>
    <row r="12" ht="24.95" customHeight="1" spans="1:10">
      <c r="A12" s="527" t="s">
        <v>225</v>
      </c>
      <c r="B12" s="522" t="s">
        <v>64</v>
      </c>
      <c r="C12" s="523">
        <v>71.2124</v>
      </c>
      <c r="D12" s="524">
        <v>-0.8</v>
      </c>
      <c r="E12" s="525">
        <v>876.3705</v>
      </c>
      <c r="F12" s="526">
        <v>3.5</v>
      </c>
      <c r="H12" s="520"/>
      <c r="J12" s="520"/>
    </row>
    <row r="13" ht="24.95" customHeight="1" spans="1:10">
      <c r="A13" s="527" t="s">
        <v>226</v>
      </c>
      <c r="B13" s="522" t="s">
        <v>64</v>
      </c>
      <c r="C13" s="523">
        <v>68.4681</v>
      </c>
      <c r="D13" s="524">
        <v>31</v>
      </c>
      <c r="E13" s="525">
        <v>797.5662</v>
      </c>
      <c r="F13" s="526">
        <v>16</v>
      </c>
      <c r="H13" s="520"/>
      <c r="J13" s="520"/>
    </row>
    <row r="14" ht="24.95" customHeight="1" spans="1:10">
      <c r="A14" s="527" t="s">
        <v>227</v>
      </c>
      <c r="B14" s="522" t="s">
        <v>64</v>
      </c>
      <c r="C14" s="523">
        <v>0</v>
      </c>
      <c r="D14" s="524">
        <v>-100</v>
      </c>
      <c r="E14" s="525">
        <v>0</v>
      </c>
      <c r="F14" s="526">
        <v>-100</v>
      </c>
      <c r="H14" s="520"/>
      <c r="J14" s="520"/>
    </row>
    <row r="15" ht="24.95" customHeight="1" spans="1:10">
      <c r="A15" s="527" t="s">
        <v>228</v>
      </c>
      <c r="B15" s="522" t="s">
        <v>64</v>
      </c>
      <c r="C15" s="523">
        <v>0.1942</v>
      </c>
      <c r="D15" s="524">
        <v>87.1</v>
      </c>
      <c r="E15" s="525">
        <v>1.1952</v>
      </c>
      <c r="F15" s="526">
        <v>-1.1</v>
      </c>
      <c r="H15" s="520"/>
      <c r="J15" s="520"/>
    </row>
    <row r="16" ht="24.95" customHeight="1" spans="1:10">
      <c r="A16" s="530" t="s">
        <v>229</v>
      </c>
      <c r="B16" s="522" t="s">
        <v>64</v>
      </c>
      <c r="C16" s="523">
        <v>0.0666</v>
      </c>
      <c r="D16" s="524">
        <v>-13.8</v>
      </c>
      <c r="E16" s="525">
        <v>0.8909</v>
      </c>
      <c r="F16" s="526">
        <v>9.7</v>
      </c>
      <c r="H16" s="520"/>
      <c r="J16" s="520"/>
    </row>
    <row r="17" ht="24.95" customHeight="1" spans="1:10">
      <c r="A17" s="527" t="s">
        <v>230</v>
      </c>
      <c r="B17" s="522" t="s">
        <v>231</v>
      </c>
      <c r="C17" s="531">
        <v>11</v>
      </c>
      <c r="D17" s="524">
        <v>-35.3</v>
      </c>
      <c r="E17" s="532">
        <v>2166</v>
      </c>
      <c r="F17" s="526">
        <v>-44.5</v>
      </c>
      <c r="H17" s="520"/>
      <c r="J17" s="520"/>
    </row>
    <row r="18" ht="24.95" customHeight="1" spans="1:10">
      <c r="A18" s="527" t="s">
        <v>232</v>
      </c>
      <c r="B18" s="522" t="s">
        <v>233</v>
      </c>
      <c r="C18" s="523">
        <v>0.2177</v>
      </c>
      <c r="D18" s="524">
        <v>-80.9</v>
      </c>
      <c r="E18" s="525">
        <v>14.868</v>
      </c>
      <c r="F18" s="526">
        <v>-20.7</v>
      </c>
      <c r="H18" s="520"/>
      <c r="J18" s="520"/>
    </row>
    <row r="19" ht="24.95" customHeight="1" spans="1:10">
      <c r="A19" s="527" t="s">
        <v>234</v>
      </c>
      <c r="B19" s="522" t="s">
        <v>235</v>
      </c>
      <c r="C19" s="531">
        <v>1218</v>
      </c>
      <c r="D19" s="524">
        <v>15.3</v>
      </c>
      <c r="E19" s="532">
        <v>11872</v>
      </c>
      <c r="F19" s="526">
        <v>4.8</v>
      </c>
      <c r="H19" s="520"/>
      <c r="J19" s="520"/>
    </row>
    <row r="20" ht="24.95" customHeight="1" spans="1:10">
      <c r="A20" s="527" t="s">
        <v>236</v>
      </c>
      <c r="B20" s="522" t="s">
        <v>237</v>
      </c>
      <c r="C20" s="523">
        <v>11.3806</v>
      </c>
      <c r="D20" s="524">
        <v>10.8</v>
      </c>
      <c r="E20" s="525">
        <v>129.3518</v>
      </c>
      <c r="F20" s="526">
        <v>-25.3</v>
      </c>
      <c r="G20" s="155"/>
      <c r="H20" s="533"/>
      <c r="J20" s="520"/>
    </row>
    <row r="21" ht="24.95" customHeight="1" spans="1:10">
      <c r="A21" s="527" t="s">
        <v>238</v>
      </c>
      <c r="B21" s="522" t="s">
        <v>31</v>
      </c>
      <c r="C21" s="523">
        <v>18.7834</v>
      </c>
      <c r="D21" s="524">
        <v>9</v>
      </c>
      <c r="E21" s="525">
        <v>208.4886</v>
      </c>
      <c r="F21" s="526">
        <v>11.7</v>
      </c>
      <c r="G21" s="155"/>
      <c r="H21" s="520"/>
      <c r="J21" s="520"/>
    </row>
    <row r="22" ht="24.95" customHeight="1" spans="1:10">
      <c r="A22" s="534" t="s">
        <v>239</v>
      </c>
      <c r="B22" s="535" t="s">
        <v>31</v>
      </c>
      <c r="C22" s="536">
        <v>9.3738</v>
      </c>
      <c r="D22" s="537">
        <v>7.6</v>
      </c>
      <c r="E22" s="538">
        <v>122.2227</v>
      </c>
      <c r="F22" s="539">
        <v>8.1</v>
      </c>
      <c r="G22" s="155"/>
      <c r="H22" s="520"/>
      <c r="J22" s="520"/>
    </row>
  </sheetData>
  <mergeCells count="1">
    <mergeCell ref="A1:F1"/>
  </mergeCells>
  <pageMargins left="0.75" right="0.75" top="1" bottom="1" header="0.5" footer="0.5"/>
  <pageSetup paperSize="9" orientation="portrait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15"/>
  <sheetViews>
    <sheetView workbookViewId="0">
      <selection activeCell="F14" sqref="F14"/>
    </sheetView>
  </sheetViews>
  <sheetFormatPr defaultColWidth="9" defaultRowHeight="14.25" outlineLevelCol="2"/>
  <cols>
    <col min="1" max="1" width="46.25" style="445" customWidth="1"/>
    <col min="2" max="3" width="14.5" style="446" customWidth="1"/>
    <col min="4" max="16384" width="9" style="445"/>
  </cols>
  <sheetData>
    <row r="1" ht="28.5" customHeight="1" spans="1:3">
      <c r="A1" s="504" t="s">
        <v>240</v>
      </c>
      <c r="B1" s="477"/>
      <c r="C1" s="477"/>
    </row>
    <row r="2" ht="24" customHeight="1" spans="1:3">
      <c r="A2" s="505"/>
      <c r="B2" s="220" t="s">
        <v>241</v>
      </c>
      <c r="C2" s="220"/>
    </row>
    <row r="3" ht="40.5" customHeight="1" spans="1:3">
      <c r="A3" s="506" t="s">
        <v>36</v>
      </c>
      <c r="B3" s="92" t="s">
        <v>3</v>
      </c>
      <c r="C3" s="507" t="s">
        <v>5</v>
      </c>
    </row>
    <row r="4" s="444" customFormat="1" ht="30" customHeight="1" spans="1:3">
      <c r="A4" s="508" t="s">
        <v>242</v>
      </c>
      <c r="B4" s="509">
        <v>1146.02</v>
      </c>
      <c r="C4" s="234">
        <v>1.1</v>
      </c>
    </row>
    <row r="5" s="444" customFormat="1" ht="30" customHeight="1" spans="1:3">
      <c r="A5" s="508" t="s">
        <v>243</v>
      </c>
      <c r="B5" s="509">
        <v>44.68</v>
      </c>
      <c r="C5" s="234">
        <v>-1.7</v>
      </c>
    </row>
    <row r="6" ht="30" customHeight="1" spans="1:3">
      <c r="A6" s="508" t="s">
        <v>244</v>
      </c>
      <c r="B6" s="509">
        <v>868.78</v>
      </c>
      <c r="C6" s="234">
        <v>-1.1</v>
      </c>
    </row>
    <row r="7" ht="30" customHeight="1" spans="1:3">
      <c r="A7" s="510" t="s">
        <v>245</v>
      </c>
      <c r="B7" s="509">
        <v>232.55</v>
      </c>
      <c r="C7" s="234">
        <v>11.1</v>
      </c>
    </row>
    <row r="8" ht="30" customHeight="1" spans="1:3">
      <c r="A8" s="510" t="s">
        <v>246</v>
      </c>
      <c r="B8" s="509">
        <v>954.9</v>
      </c>
      <c r="C8" s="234">
        <v>1.9</v>
      </c>
    </row>
    <row r="9" ht="30" customHeight="1" spans="1:3">
      <c r="A9" s="510" t="s">
        <v>247</v>
      </c>
      <c r="B9" s="509">
        <v>81.65</v>
      </c>
      <c r="C9" s="234">
        <v>-1.7</v>
      </c>
    </row>
    <row r="10" ht="30" customHeight="1" spans="1:3">
      <c r="A10" s="510" t="s">
        <v>248</v>
      </c>
      <c r="B10" s="509">
        <v>3.05</v>
      </c>
      <c r="C10" s="234">
        <v>-13.5</v>
      </c>
    </row>
    <row r="11" ht="30" customHeight="1" spans="1:3">
      <c r="A11" s="510" t="s">
        <v>249</v>
      </c>
      <c r="B11" s="509">
        <v>37.37</v>
      </c>
      <c r="C11" s="234">
        <v>-2.6</v>
      </c>
    </row>
    <row r="12" ht="30" customHeight="1" spans="1:3">
      <c r="A12" s="510" t="s">
        <v>250</v>
      </c>
      <c r="B12" s="509">
        <v>601.39</v>
      </c>
      <c r="C12" s="234">
        <v>-0.5</v>
      </c>
    </row>
    <row r="13" ht="30" customHeight="1" spans="1:3">
      <c r="A13" s="511" t="s">
        <v>251</v>
      </c>
      <c r="B13" s="509">
        <v>0.11</v>
      </c>
      <c r="C13" s="234">
        <v>24.9</v>
      </c>
    </row>
    <row r="14" ht="30" customHeight="1" spans="1:3">
      <c r="A14" s="511" t="s">
        <v>252</v>
      </c>
      <c r="B14" s="512">
        <v>231.32</v>
      </c>
      <c r="C14" s="328">
        <v>11.1</v>
      </c>
    </row>
    <row r="15" ht="25.5" customHeight="1" spans="1:3">
      <c r="A15" s="513" t="s">
        <v>253</v>
      </c>
      <c r="B15" s="513"/>
      <c r="C15" s="514"/>
    </row>
  </sheetData>
  <mergeCells count="3">
    <mergeCell ref="A1:C1"/>
    <mergeCell ref="B2:C2"/>
    <mergeCell ref="A15:C15"/>
  </mergeCells>
  <pageMargins left="0.75" right="0.75" top="1" bottom="1" header="0.5" footer="0.5"/>
  <pageSetup paperSize="9" orientation="portrait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H16"/>
  <sheetViews>
    <sheetView zoomScale="90" zoomScaleNormal="90" workbookViewId="0">
      <selection activeCell="C12" sqref="C12"/>
    </sheetView>
  </sheetViews>
  <sheetFormatPr defaultColWidth="9" defaultRowHeight="14.25" outlineLevelCol="7"/>
  <cols>
    <col min="1" max="1" width="29.75" style="196" customWidth="1"/>
    <col min="2" max="2" width="13.375" style="196" customWidth="1"/>
    <col min="3" max="3" width="12.875" style="196" customWidth="1"/>
    <col min="4" max="4" width="13.125" style="196" customWidth="1"/>
    <col min="5" max="16384" width="9" style="196"/>
  </cols>
  <sheetData>
    <row r="1" ht="28.5" customHeight="1" spans="1:8">
      <c r="A1" s="476" t="s">
        <v>254</v>
      </c>
      <c r="B1" s="476"/>
      <c r="C1" s="476"/>
      <c r="D1" s="477"/>
      <c r="E1" s="478"/>
      <c r="F1" s="479"/>
      <c r="G1" s="479"/>
      <c r="H1" s="479"/>
    </row>
    <row r="2" ht="32.25" customHeight="1" spans="1:8">
      <c r="A2" s="412" t="s">
        <v>36</v>
      </c>
      <c r="B2" s="387" t="s">
        <v>100</v>
      </c>
      <c r="C2" s="387" t="s">
        <v>255</v>
      </c>
      <c r="D2" s="412" t="s">
        <v>5</v>
      </c>
      <c r="E2" s="258"/>
    </row>
    <row r="3" ht="35.1" customHeight="1" spans="1:8">
      <c r="A3" s="480" t="s">
        <v>256</v>
      </c>
      <c r="B3" s="481"/>
      <c r="C3" s="482"/>
      <c r="D3" s="483"/>
      <c r="E3" s="258"/>
    </row>
    <row r="4" ht="35.1" customHeight="1" spans="1:8">
      <c r="A4" s="484" t="s">
        <v>257</v>
      </c>
      <c r="B4" s="485" t="s">
        <v>64</v>
      </c>
      <c r="C4" s="486">
        <v>2207</v>
      </c>
      <c r="D4" s="487">
        <v>-18.2</v>
      </c>
      <c r="E4" s="258"/>
    </row>
    <row r="5" ht="35.1" customHeight="1" spans="1:8">
      <c r="A5" s="484" t="s">
        <v>258</v>
      </c>
      <c r="B5" s="488" t="s">
        <v>259</v>
      </c>
      <c r="C5" s="489">
        <v>10.06</v>
      </c>
      <c r="D5" s="487">
        <v>24</v>
      </c>
      <c r="E5" s="258"/>
      <c r="F5" s="258"/>
    </row>
    <row r="6" s="258" customFormat="1" ht="35.1" customHeight="1" spans="1:8">
      <c r="A6" s="490" t="s">
        <v>260</v>
      </c>
      <c r="B6" s="491"/>
      <c r="C6" s="492"/>
      <c r="D6" s="487"/>
    </row>
    <row r="7" ht="35.1" customHeight="1" spans="1:8">
      <c r="A7" s="435" t="s">
        <v>261</v>
      </c>
      <c r="B7" s="485"/>
      <c r="C7" s="492"/>
      <c r="D7" s="487"/>
      <c r="E7" s="493"/>
      <c r="F7" s="493"/>
    </row>
    <row r="8" ht="35.1" customHeight="1" spans="1:8">
      <c r="A8" s="435" t="s">
        <v>262</v>
      </c>
      <c r="B8" s="485" t="s">
        <v>263</v>
      </c>
      <c r="C8" s="494">
        <v>0.1086</v>
      </c>
      <c r="D8" s="495">
        <v>12.1900826446281</v>
      </c>
      <c r="E8" s="496"/>
      <c r="F8" s="493"/>
    </row>
    <row r="9" ht="35.1" customHeight="1" spans="1:8">
      <c r="A9" s="435" t="s">
        <v>264</v>
      </c>
      <c r="B9" s="485" t="s">
        <v>265</v>
      </c>
      <c r="C9" s="494">
        <v>27.1045</v>
      </c>
      <c r="D9" s="495">
        <v>11.8034071690797</v>
      </c>
      <c r="E9" s="258"/>
      <c r="F9" s="493"/>
    </row>
    <row r="10" ht="35.1" customHeight="1" spans="1:8">
      <c r="A10" s="435" t="s">
        <v>266</v>
      </c>
      <c r="B10" s="485" t="s">
        <v>114</v>
      </c>
      <c r="C10" s="497">
        <v>648</v>
      </c>
      <c r="D10" s="495">
        <v>-2.9940119760479</v>
      </c>
      <c r="E10" s="496"/>
      <c r="F10" s="493"/>
    </row>
    <row r="11" ht="35.1" customHeight="1" spans="1:8">
      <c r="A11" s="435" t="s">
        <v>267</v>
      </c>
      <c r="B11" s="485" t="s">
        <v>268</v>
      </c>
      <c r="C11" s="494">
        <v>7.0845</v>
      </c>
      <c r="D11" s="495">
        <v>-4.06256347755434</v>
      </c>
      <c r="E11" s="498"/>
      <c r="F11" s="498"/>
    </row>
    <row r="12" ht="35.1" customHeight="1" spans="1:8">
      <c r="A12" s="435" t="s">
        <v>269</v>
      </c>
      <c r="B12" s="491"/>
      <c r="C12" s="499"/>
      <c r="D12" s="500"/>
      <c r="E12" s="493"/>
      <c r="F12" s="493"/>
    </row>
    <row r="13" ht="35.1" customHeight="1" spans="1:8">
      <c r="A13" s="435" t="s">
        <v>262</v>
      </c>
      <c r="B13" s="485" t="s">
        <v>64</v>
      </c>
      <c r="C13" s="492">
        <v>372</v>
      </c>
      <c r="D13" s="487">
        <v>4.02</v>
      </c>
      <c r="E13" s="496"/>
      <c r="F13" s="493"/>
    </row>
    <row r="14" ht="35.1" customHeight="1" spans="1:8">
      <c r="A14" s="435" t="s">
        <v>264</v>
      </c>
      <c r="B14" s="485" t="s">
        <v>265</v>
      </c>
      <c r="C14" s="489">
        <v>17.1732</v>
      </c>
      <c r="D14" s="487">
        <v>24.96</v>
      </c>
      <c r="E14" s="493"/>
      <c r="F14" s="493"/>
    </row>
    <row r="15" ht="35.1" customHeight="1" spans="1:8">
      <c r="A15" s="435" t="s">
        <v>266</v>
      </c>
      <c r="B15" s="485" t="s">
        <v>114</v>
      </c>
      <c r="C15" s="492">
        <v>56</v>
      </c>
      <c r="D15" s="487">
        <v>-1.62</v>
      </c>
      <c r="E15" s="496"/>
      <c r="F15" s="493"/>
    </row>
    <row r="16" ht="35.1" customHeight="1" spans="1:8">
      <c r="A16" s="403" t="s">
        <v>267</v>
      </c>
      <c r="B16" s="501" t="s">
        <v>268</v>
      </c>
      <c r="C16" s="502">
        <v>0.1486</v>
      </c>
      <c r="D16" s="503">
        <v>2.8</v>
      </c>
      <c r="E16" s="498"/>
      <c r="F16" s="498"/>
    </row>
  </sheetData>
  <mergeCells count="1">
    <mergeCell ref="A1:D1"/>
  </mergeCells>
  <printOptions horizontalCentered="1"/>
  <pageMargins left="0.75" right="0.75" top="0.979166666666667" bottom="0.979166666666667" header="0.509027777777778" footer="0.509027777777778"/>
  <pageSetup paperSize="9" orientation="portrait" blackAndWhite="1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24"/>
  <sheetViews>
    <sheetView zoomScale="90" zoomScaleNormal="90" workbookViewId="0">
      <selection activeCell="A1" sqref="A1:D25"/>
    </sheetView>
  </sheetViews>
  <sheetFormatPr defaultColWidth="9" defaultRowHeight="14.25"/>
  <cols>
    <col min="1" max="1" width="41.875" style="445" customWidth="1"/>
    <col min="2" max="2" width="11.875" style="445" customWidth="1"/>
    <col min="3" max="4" width="14.5" style="446" customWidth="1"/>
    <col min="5" max="5" width="12.625" style="445" customWidth="1"/>
    <col min="6" max="9" width="14.125" style="445" customWidth="1"/>
    <col min="10" max="16384" width="9" style="445"/>
  </cols>
  <sheetData>
    <row r="1" ht="28.5" customHeight="1" spans="1:9">
      <c r="A1" s="447" t="s">
        <v>270</v>
      </c>
      <c r="B1" s="448"/>
      <c r="C1" s="86"/>
      <c r="D1" s="86"/>
    </row>
    <row r="2" ht="35.25" customHeight="1" spans="1:9">
      <c r="A2" s="449" t="s">
        <v>36</v>
      </c>
      <c r="B2" s="450" t="s">
        <v>2</v>
      </c>
      <c r="C2" s="451" t="s">
        <v>3</v>
      </c>
      <c r="D2" s="449" t="s">
        <v>5</v>
      </c>
    </row>
    <row r="3" s="444" customFormat="1" ht="24.95" customHeight="1" spans="1:9">
      <c r="A3" s="452" t="s">
        <v>271</v>
      </c>
      <c r="B3" s="453" t="s">
        <v>7</v>
      </c>
      <c r="C3" s="454"/>
      <c r="D3" s="455">
        <v>12.8</v>
      </c>
      <c r="F3" s="456"/>
      <c r="G3" s="457"/>
    </row>
    <row r="4" ht="24.95" customHeight="1" spans="1:9">
      <c r="A4" s="452" t="s">
        <v>272</v>
      </c>
      <c r="B4" s="458" t="s">
        <v>7</v>
      </c>
      <c r="C4" s="459"/>
      <c r="D4" s="460">
        <v>4.8</v>
      </c>
      <c r="F4" s="461"/>
      <c r="G4" s="462"/>
      <c r="I4" s="463"/>
    </row>
    <row r="5" ht="24.95" customHeight="1" spans="1:9">
      <c r="A5" s="464" t="s">
        <v>273</v>
      </c>
      <c r="B5" s="458" t="s">
        <v>7</v>
      </c>
      <c r="C5" s="459"/>
      <c r="D5" s="460">
        <v>20.6</v>
      </c>
      <c r="F5" s="155"/>
      <c r="G5" s="462"/>
      <c r="I5" s="463"/>
    </row>
    <row r="6" ht="24.95" customHeight="1" spans="1:9">
      <c r="A6" s="464" t="s">
        <v>274</v>
      </c>
      <c r="B6" s="458" t="s">
        <v>7</v>
      </c>
      <c r="C6" s="459"/>
      <c r="D6" s="460">
        <v>8.93402748655028</v>
      </c>
      <c r="E6" s="465"/>
      <c r="F6" s="465"/>
      <c r="G6" s="462"/>
      <c r="I6" s="463"/>
    </row>
    <row r="7" s="444" customFormat="1" ht="24.95" customHeight="1" spans="1:9">
      <c r="A7" s="452" t="s">
        <v>275</v>
      </c>
      <c r="B7" s="458" t="s">
        <v>7</v>
      </c>
      <c r="C7" s="459"/>
      <c r="D7" s="460">
        <v>56.3</v>
      </c>
      <c r="F7" s="456"/>
      <c r="G7" s="466"/>
    </row>
    <row r="8" s="444" customFormat="1" ht="24.95" customHeight="1" spans="1:9">
      <c r="A8" s="467" t="s">
        <v>276</v>
      </c>
      <c r="B8" s="458" t="s">
        <v>7</v>
      </c>
      <c r="C8" s="459"/>
      <c r="D8" s="460">
        <v>-10.8</v>
      </c>
      <c r="F8" s="461"/>
    </row>
    <row r="9" s="444" customFormat="1" ht="24.95" customHeight="1" spans="1:9">
      <c r="A9" s="467" t="s">
        <v>277</v>
      </c>
      <c r="B9" s="458" t="s">
        <v>7</v>
      </c>
      <c r="C9" s="459"/>
      <c r="D9" s="460">
        <v>-43</v>
      </c>
      <c r="F9" s="461"/>
    </row>
    <row r="10" ht="24.95" customHeight="1" spans="1:9">
      <c r="A10" s="464" t="s">
        <v>278</v>
      </c>
      <c r="B10" s="458" t="s">
        <v>7</v>
      </c>
      <c r="C10" s="459"/>
      <c r="D10" s="460">
        <v>-6.5</v>
      </c>
      <c r="G10" s="463"/>
      <c r="I10" s="463"/>
    </row>
    <row r="11" ht="24.95" customHeight="1" spans="1:9">
      <c r="A11" s="464" t="s">
        <v>279</v>
      </c>
      <c r="B11" s="458" t="s">
        <v>7</v>
      </c>
      <c r="C11" s="459"/>
      <c r="D11" s="460">
        <v>7.6</v>
      </c>
      <c r="G11" s="463"/>
      <c r="I11" s="463"/>
    </row>
    <row r="12" ht="24.95" customHeight="1" spans="1:9">
      <c r="A12" s="464" t="s">
        <v>280</v>
      </c>
      <c r="B12" s="458" t="s">
        <v>7</v>
      </c>
      <c r="C12" s="459"/>
      <c r="D12" s="460">
        <v>27.4</v>
      </c>
      <c r="G12" s="463"/>
      <c r="I12" s="463"/>
    </row>
    <row r="13" ht="24.95" customHeight="1" spans="1:9">
      <c r="A13" s="464" t="s">
        <v>281</v>
      </c>
      <c r="B13" s="458" t="s">
        <v>7</v>
      </c>
      <c r="C13" s="459"/>
      <c r="D13" s="460">
        <v>-12.6</v>
      </c>
      <c r="G13" s="463"/>
      <c r="I13" s="463"/>
    </row>
    <row r="14" ht="24.95" customHeight="1" spans="1:9">
      <c r="A14" s="467" t="s">
        <v>282</v>
      </c>
      <c r="B14" s="458" t="s">
        <v>7</v>
      </c>
      <c r="C14" s="459"/>
      <c r="D14" s="460">
        <v>-10</v>
      </c>
      <c r="G14" s="463"/>
      <c r="I14" s="463"/>
    </row>
    <row r="15" ht="24.95" customHeight="1" spans="1:9">
      <c r="A15" s="467" t="s">
        <v>283</v>
      </c>
      <c r="B15" s="458" t="s">
        <v>7</v>
      </c>
      <c r="C15" s="459"/>
      <c r="D15" s="460">
        <v>28.7</v>
      </c>
      <c r="G15" s="463"/>
      <c r="I15" s="463"/>
    </row>
    <row r="16" ht="24.95" customHeight="1" spans="1:9">
      <c r="A16" s="467" t="s">
        <v>284</v>
      </c>
      <c r="B16" s="468" t="s">
        <v>102</v>
      </c>
      <c r="C16" s="469">
        <v>983</v>
      </c>
      <c r="D16" s="460">
        <v>-46</v>
      </c>
      <c r="F16" s="470"/>
      <c r="G16" s="463"/>
      <c r="I16" s="463"/>
    </row>
    <row r="17" ht="24.95" customHeight="1" spans="1:9">
      <c r="A17" s="467" t="s">
        <v>285</v>
      </c>
      <c r="B17" s="468" t="s">
        <v>102</v>
      </c>
      <c r="C17" s="469">
        <v>227</v>
      </c>
      <c r="D17" s="460">
        <v>-87.8</v>
      </c>
      <c r="G17" s="463"/>
      <c r="I17" s="463"/>
    </row>
    <row r="18" ht="24.95" customHeight="1" spans="1:9">
      <c r="A18" s="467" t="s">
        <v>286</v>
      </c>
      <c r="B18" s="468" t="s">
        <v>102</v>
      </c>
      <c r="C18" s="469">
        <v>197</v>
      </c>
      <c r="D18" s="460">
        <v>-48.3</v>
      </c>
      <c r="G18" s="463"/>
      <c r="I18" s="463"/>
    </row>
    <row r="19" ht="24.95" customHeight="1" spans="1:9">
      <c r="A19" s="467" t="s">
        <v>287</v>
      </c>
      <c r="B19" s="468" t="s">
        <v>14</v>
      </c>
      <c r="C19" s="471">
        <v>3137.6</v>
      </c>
      <c r="D19" s="460">
        <v>6.5</v>
      </c>
      <c r="G19" s="463"/>
      <c r="I19" s="463"/>
    </row>
    <row r="20" ht="24.95" customHeight="1" spans="1:9">
      <c r="A20" s="467" t="s">
        <v>288</v>
      </c>
      <c r="B20" s="468" t="s">
        <v>14</v>
      </c>
      <c r="C20" s="471">
        <v>2102.46</v>
      </c>
      <c r="D20" s="460">
        <v>11.9</v>
      </c>
      <c r="G20" s="463"/>
      <c r="I20" s="463"/>
    </row>
    <row r="21" ht="24.95" customHeight="1" spans="1:9">
      <c r="A21" s="467" t="s">
        <v>289</v>
      </c>
      <c r="B21" s="468" t="s">
        <v>14</v>
      </c>
      <c r="C21" s="471">
        <v>325.17</v>
      </c>
      <c r="D21" s="460">
        <v>29.8</v>
      </c>
    </row>
    <row r="22" ht="24.95" customHeight="1" spans="1:9">
      <c r="A22" s="467" t="s">
        <v>288</v>
      </c>
      <c r="B22" s="468" t="s">
        <v>14</v>
      </c>
      <c r="C22" s="471">
        <v>224.4</v>
      </c>
      <c r="D22" s="460">
        <v>226.3</v>
      </c>
    </row>
    <row r="23" ht="24.95" customHeight="1" spans="1:9">
      <c r="A23" s="467" t="s">
        <v>290</v>
      </c>
      <c r="B23" s="468" t="s">
        <v>14</v>
      </c>
      <c r="C23" s="471">
        <v>547.35</v>
      </c>
      <c r="D23" s="460">
        <v>-7.1</v>
      </c>
    </row>
    <row r="24" ht="24.95" customHeight="1" spans="1:9">
      <c r="A24" s="472" t="s">
        <v>291</v>
      </c>
      <c r="B24" s="473" t="s">
        <v>7</v>
      </c>
      <c r="C24" s="474">
        <v>442.0063</v>
      </c>
      <c r="D24" s="475">
        <v>3.8</v>
      </c>
    </row>
  </sheetData>
  <mergeCells count="1">
    <mergeCell ref="A1:D1"/>
  </mergeCells>
  <printOptions horizontalCentered="1"/>
  <pageMargins left="0.55" right="0.55" top="0.979166666666667" bottom="0.979166666666667" header="0.509027777777778" footer="0.509027777777778"/>
  <pageSetup paperSize="9" orientation="portrait" blackAndWhite="1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0"/>
  <sheetViews>
    <sheetView zoomScale="80" zoomScaleNormal="80" workbookViewId="0">
      <selection activeCell="G9" sqref="G9"/>
    </sheetView>
  </sheetViews>
  <sheetFormatPr defaultColWidth="9" defaultRowHeight="14.25" outlineLevelCol="2"/>
  <cols>
    <col min="1" max="1" width="43.5" style="196" customWidth="1"/>
    <col min="2" max="2" width="17.375" style="196" customWidth="1"/>
    <col min="3" max="3" width="17.125" style="196" customWidth="1"/>
    <col min="4" max="16384" width="9" style="196"/>
  </cols>
  <sheetData>
    <row r="1" ht="28.5" customHeight="1" spans="1:3">
      <c r="A1" s="333" t="s">
        <v>15</v>
      </c>
      <c r="B1" s="333"/>
      <c r="C1" s="333"/>
    </row>
    <row r="2" ht="22" customHeight="1" spans="1:3">
      <c r="A2" s="429"/>
      <c r="B2" s="409"/>
      <c r="C2" s="411" t="s">
        <v>35</v>
      </c>
    </row>
    <row r="3" ht="30.75" customHeight="1" spans="1:3">
      <c r="A3" s="430" t="s">
        <v>36</v>
      </c>
      <c r="B3" s="431" t="s">
        <v>3</v>
      </c>
      <c r="C3" s="431" t="s">
        <v>75</v>
      </c>
    </row>
    <row r="4" ht="21" customHeight="1" spans="1:3">
      <c r="A4" s="432" t="s">
        <v>292</v>
      </c>
      <c r="B4" s="433">
        <v>1697.3037</v>
      </c>
      <c r="C4" s="434">
        <v>10.3</v>
      </c>
    </row>
    <row r="5" ht="21" customHeight="1" spans="1:3">
      <c r="A5" s="435" t="s">
        <v>293</v>
      </c>
      <c r="B5" s="436"/>
      <c r="C5" s="437"/>
    </row>
    <row r="6" ht="21" customHeight="1" spans="1:3">
      <c r="A6" s="435" t="s">
        <v>294</v>
      </c>
      <c r="B6" s="436">
        <v>1379.843</v>
      </c>
      <c r="C6" s="437">
        <v>10.2</v>
      </c>
    </row>
    <row r="7" ht="21" customHeight="1" spans="1:3">
      <c r="A7" s="435" t="s">
        <v>295</v>
      </c>
      <c r="B7" s="436">
        <v>317.4608</v>
      </c>
      <c r="C7" s="437">
        <v>11</v>
      </c>
    </row>
    <row r="8" ht="21" customHeight="1" spans="1:3">
      <c r="A8" s="435" t="s">
        <v>296</v>
      </c>
      <c r="B8" s="436"/>
      <c r="C8" s="437"/>
    </row>
    <row r="9" ht="21" customHeight="1" spans="1:3">
      <c r="A9" s="435" t="s">
        <v>297</v>
      </c>
      <c r="B9" s="436">
        <v>1503.9654</v>
      </c>
      <c r="C9" s="437">
        <v>10.6</v>
      </c>
    </row>
    <row r="10" ht="21" customHeight="1" spans="1:3">
      <c r="A10" s="435" t="s">
        <v>298</v>
      </c>
      <c r="B10" s="436">
        <v>193.3383</v>
      </c>
      <c r="C10" s="437">
        <v>8.6</v>
      </c>
    </row>
    <row r="11" ht="21" customHeight="1" spans="1:3">
      <c r="A11" s="438" t="s">
        <v>299</v>
      </c>
      <c r="B11" s="436">
        <v>229.4884</v>
      </c>
      <c r="C11" s="437">
        <v>11.6</v>
      </c>
    </row>
    <row r="12" ht="21" customHeight="1" spans="1:3">
      <c r="A12" s="435" t="s">
        <v>300</v>
      </c>
      <c r="B12" s="436">
        <v>38.2704</v>
      </c>
      <c r="C12" s="437">
        <v>10.7</v>
      </c>
    </row>
    <row r="13" ht="21" customHeight="1" spans="1:3">
      <c r="A13" s="435" t="s">
        <v>301</v>
      </c>
      <c r="B13" s="436">
        <v>3.1474</v>
      </c>
      <c r="C13" s="437">
        <v>4.4</v>
      </c>
    </row>
    <row r="14" ht="21" customHeight="1" spans="1:3">
      <c r="A14" s="435" t="s">
        <v>302</v>
      </c>
      <c r="B14" s="436">
        <v>1.4514</v>
      </c>
      <c r="C14" s="437">
        <v>1.3</v>
      </c>
    </row>
    <row r="15" ht="21" customHeight="1" spans="1:3">
      <c r="A15" s="435" t="s">
        <v>303</v>
      </c>
      <c r="B15" s="436">
        <v>2.2667</v>
      </c>
      <c r="C15" s="437">
        <v>3</v>
      </c>
    </row>
    <row r="16" ht="21" customHeight="1" spans="1:3">
      <c r="A16" s="439" t="s">
        <v>304</v>
      </c>
      <c r="B16" s="436">
        <v>8.6142</v>
      </c>
      <c r="C16" s="437">
        <v>7.6</v>
      </c>
    </row>
    <row r="17" ht="21" customHeight="1" spans="1:3">
      <c r="A17" s="440" t="s">
        <v>305</v>
      </c>
      <c r="B17" s="436">
        <v>2.3931</v>
      </c>
      <c r="C17" s="437">
        <v>9.4</v>
      </c>
    </row>
    <row r="18" ht="21" customHeight="1" spans="1:3">
      <c r="A18" s="440" t="s">
        <v>306</v>
      </c>
      <c r="B18" s="436">
        <v>0.1026</v>
      </c>
      <c r="C18" s="437">
        <v>1.3</v>
      </c>
    </row>
    <row r="19" ht="21" customHeight="1" spans="1:3">
      <c r="A19" s="440" t="s">
        <v>307</v>
      </c>
      <c r="B19" s="436">
        <v>2.2373</v>
      </c>
      <c r="C19" s="437">
        <v>1.7</v>
      </c>
    </row>
    <row r="20" ht="21" customHeight="1" spans="1:3">
      <c r="A20" s="440" t="s">
        <v>308</v>
      </c>
      <c r="B20" s="436">
        <v>0.0714</v>
      </c>
      <c r="C20" s="437">
        <v>-5.6</v>
      </c>
    </row>
    <row r="21" ht="21" customHeight="1" spans="1:3">
      <c r="A21" s="440" t="s">
        <v>309</v>
      </c>
      <c r="B21" s="436">
        <v>11.8762</v>
      </c>
      <c r="C21" s="437">
        <v>4.5</v>
      </c>
    </row>
    <row r="22" ht="21" customHeight="1" spans="1:3">
      <c r="A22" s="440" t="s">
        <v>310</v>
      </c>
      <c r="B22" s="436">
        <v>9.6644</v>
      </c>
      <c r="C22" s="437">
        <v>21</v>
      </c>
    </row>
    <row r="23" ht="21" customHeight="1" spans="1:3">
      <c r="A23" s="440" t="s">
        <v>311</v>
      </c>
      <c r="B23" s="436">
        <v>1.5944</v>
      </c>
      <c r="C23" s="437">
        <v>5</v>
      </c>
    </row>
    <row r="24" ht="21" customHeight="1" spans="1:3">
      <c r="A24" s="440" t="s">
        <v>312</v>
      </c>
      <c r="B24" s="436">
        <v>2.8166</v>
      </c>
      <c r="C24" s="437">
        <v>8.4</v>
      </c>
    </row>
    <row r="25" ht="21" customHeight="1" spans="1:3">
      <c r="A25" s="440" t="s">
        <v>313</v>
      </c>
      <c r="B25" s="436">
        <v>2.4442</v>
      </c>
      <c r="C25" s="437">
        <v>-4.4</v>
      </c>
    </row>
    <row r="26" ht="21" customHeight="1" spans="1:3">
      <c r="A26" s="440" t="s">
        <v>314</v>
      </c>
      <c r="B26" s="436">
        <v>63.9916</v>
      </c>
      <c r="C26" s="437">
        <v>14.1</v>
      </c>
    </row>
    <row r="27" ht="21" customHeight="1" spans="1:3">
      <c r="A27" s="440" t="s">
        <v>315</v>
      </c>
      <c r="B27" s="436">
        <v>2.3802</v>
      </c>
      <c r="C27" s="437">
        <v>3</v>
      </c>
    </row>
    <row r="28" ht="21" customHeight="1" spans="1:3">
      <c r="A28" s="440" t="s">
        <v>316</v>
      </c>
      <c r="B28" s="436">
        <v>2.3033</v>
      </c>
      <c r="C28" s="437">
        <v>3</v>
      </c>
    </row>
    <row r="29" ht="21" customHeight="1" spans="1:3">
      <c r="A29" s="440" t="s">
        <v>317</v>
      </c>
      <c r="B29" s="436">
        <v>71.0874</v>
      </c>
      <c r="C29" s="437">
        <v>12.3</v>
      </c>
    </row>
    <row r="30" ht="21" customHeight="1" spans="1:3">
      <c r="A30" s="441" t="s">
        <v>318</v>
      </c>
      <c r="B30" s="442">
        <v>2.7757</v>
      </c>
      <c r="C30" s="443">
        <v>47.4</v>
      </c>
    </row>
  </sheetData>
  <mergeCells count="1">
    <mergeCell ref="A1:C1"/>
  </mergeCells>
  <pageMargins left="0.75" right="0.55" top="0.588888888888889" bottom="0.788888888888889" header="0.509027777777778" footer="0.509027777777778"/>
  <pageSetup paperSize="9" scale="111" orientation="portrait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28"/>
  <sheetViews>
    <sheetView workbookViewId="0">
      <selection activeCell="A1" sqref="A1:C24"/>
    </sheetView>
  </sheetViews>
  <sheetFormatPr defaultColWidth="9" defaultRowHeight="14.25" outlineLevelCol="2"/>
  <cols>
    <col min="1" max="1" width="43.5" style="196" customWidth="1"/>
    <col min="2" max="2" width="13.5" style="202" customWidth="1"/>
    <col min="3" max="3" width="13.875" style="196" customWidth="1"/>
    <col min="4" max="16384" width="9" style="196"/>
  </cols>
  <sheetData>
    <row r="1" ht="28.5" customHeight="1" spans="1:3">
      <c r="A1" s="333" t="s">
        <v>319</v>
      </c>
      <c r="B1" s="333"/>
      <c r="C1" s="333"/>
    </row>
    <row r="2" ht="21" customHeight="1" spans="1:3">
      <c r="A2" s="409"/>
      <c r="B2" s="410"/>
      <c r="C2" s="411" t="s">
        <v>320</v>
      </c>
    </row>
    <row r="3" ht="32.1" customHeight="1" spans="1:3">
      <c r="A3" s="412" t="s">
        <v>36</v>
      </c>
      <c r="B3" s="387" t="s">
        <v>255</v>
      </c>
      <c r="C3" s="412" t="s">
        <v>321</v>
      </c>
    </row>
    <row r="4" ht="21.95" customHeight="1" spans="1:3">
      <c r="A4" s="423" t="s">
        <v>322</v>
      </c>
      <c r="B4" s="424">
        <v>17.3787</v>
      </c>
      <c r="C4" s="425">
        <v>32.2</v>
      </c>
    </row>
    <row r="5" ht="21.95" customHeight="1" spans="1:3">
      <c r="A5" s="393" t="s">
        <v>323</v>
      </c>
      <c r="B5" s="424">
        <v>14.2206</v>
      </c>
      <c r="C5" s="425">
        <v>34</v>
      </c>
    </row>
    <row r="6" ht="21.95" customHeight="1" spans="1:3">
      <c r="A6" s="393" t="s">
        <v>324</v>
      </c>
      <c r="B6" s="424">
        <v>4.6563</v>
      </c>
      <c r="C6" s="426">
        <v>49.5</v>
      </c>
    </row>
    <row r="7" ht="21.95" customHeight="1" spans="1:3">
      <c r="A7" s="393" t="s">
        <v>325</v>
      </c>
      <c r="B7" s="424">
        <v>2.8117</v>
      </c>
      <c r="C7" s="425">
        <v>53.3</v>
      </c>
    </row>
    <row r="8" ht="21.95" customHeight="1" spans="1:3">
      <c r="A8" s="393" t="s">
        <v>326</v>
      </c>
      <c r="B8" s="424">
        <v>0.5221</v>
      </c>
      <c r="C8" s="425">
        <v>-2.5</v>
      </c>
    </row>
    <row r="9" ht="21.95" customHeight="1" spans="1:3">
      <c r="A9" s="423" t="s">
        <v>327</v>
      </c>
      <c r="B9" s="424">
        <v>3.1581</v>
      </c>
      <c r="C9" s="425">
        <v>24.6</v>
      </c>
    </row>
    <row r="10" ht="21.95" customHeight="1" spans="1:3">
      <c r="A10" s="423" t="s">
        <v>328</v>
      </c>
      <c r="B10" s="424">
        <v>35.6922</v>
      </c>
      <c r="C10" s="425">
        <v>68.8</v>
      </c>
    </row>
    <row r="11" ht="21.95" customHeight="1" spans="1:3">
      <c r="A11" s="423" t="s">
        <v>329</v>
      </c>
      <c r="B11" s="424">
        <v>4.3447</v>
      </c>
      <c r="C11" s="425">
        <v>61.2</v>
      </c>
    </row>
    <row r="12" ht="21.95" customHeight="1" spans="1:3">
      <c r="A12" s="423" t="s">
        <v>330</v>
      </c>
      <c r="B12" s="424">
        <v>0.476</v>
      </c>
      <c r="C12" s="425">
        <v>762.3</v>
      </c>
    </row>
    <row r="13" ht="21.95" customHeight="1" spans="1:3">
      <c r="A13" s="423" t="s">
        <v>331</v>
      </c>
      <c r="B13" s="424">
        <v>28.3547</v>
      </c>
      <c r="C13" s="425">
        <v>73.6</v>
      </c>
    </row>
    <row r="14" ht="21.95" customHeight="1" spans="1:3">
      <c r="A14" s="427" t="s">
        <v>332</v>
      </c>
      <c r="B14" s="424">
        <v>10.0215</v>
      </c>
      <c r="C14" s="425">
        <v>59.5</v>
      </c>
    </row>
    <row r="15" ht="21.95" customHeight="1" spans="1:3">
      <c r="A15" s="423" t="s">
        <v>333</v>
      </c>
      <c r="B15" s="424">
        <v>0.7068</v>
      </c>
      <c r="C15" s="426">
        <v>50.3</v>
      </c>
    </row>
    <row r="16" ht="21.95" customHeight="1" spans="1:3">
      <c r="A16" s="423" t="s">
        <v>334</v>
      </c>
      <c r="B16" s="424">
        <v>5.9774</v>
      </c>
      <c r="C16" s="426">
        <v>50.9</v>
      </c>
    </row>
    <row r="17" ht="21.95" customHeight="1" spans="1:3">
      <c r="A17" s="423" t="s">
        <v>335</v>
      </c>
      <c r="B17" s="424">
        <v>2.5182</v>
      </c>
      <c r="C17" s="426">
        <v>181.9</v>
      </c>
    </row>
    <row r="18" ht="21.95" customHeight="1" spans="1:3">
      <c r="A18" s="423" t="s">
        <v>336</v>
      </c>
      <c r="B18" s="424">
        <v>0.9232</v>
      </c>
      <c r="C18" s="426">
        <v>770.9</v>
      </c>
    </row>
    <row r="19" ht="21.95" customHeight="1" spans="1:3">
      <c r="A19" s="423" t="s">
        <v>337</v>
      </c>
      <c r="B19" s="424">
        <v>1.9984</v>
      </c>
      <c r="C19" s="426">
        <v>111.5</v>
      </c>
    </row>
    <row r="20" ht="21.95" customHeight="1" spans="1:3">
      <c r="A20" s="423" t="s">
        <v>338</v>
      </c>
      <c r="B20" s="424">
        <v>3.6439</v>
      </c>
      <c r="C20" s="426">
        <v>41.1</v>
      </c>
    </row>
    <row r="21" ht="21.95" customHeight="1" spans="1:3">
      <c r="A21" s="423" t="s">
        <v>339</v>
      </c>
      <c r="B21" s="424">
        <v>1.5988</v>
      </c>
      <c r="C21" s="426">
        <v>368</v>
      </c>
    </row>
    <row r="22" ht="21.95" customHeight="1" spans="1:3">
      <c r="A22" s="423" t="s">
        <v>340</v>
      </c>
      <c r="B22" s="424">
        <v>0.9508</v>
      </c>
      <c r="C22" s="426">
        <v>35.2</v>
      </c>
    </row>
    <row r="23" ht="21.95" customHeight="1" spans="1:3">
      <c r="A23" s="423" t="s">
        <v>341</v>
      </c>
      <c r="B23" s="424">
        <v>0.0157</v>
      </c>
      <c r="C23" s="428">
        <v>-66.2</v>
      </c>
    </row>
    <row r="24" ht="18" customHeight="1" spans="1:3">
      <c r="A24" s="407" t="s">
        <v>342</v>
      </c>
      <c r="B24" s="407"/>
      <c r="C24" s="407"/>
    </row>
    <row r="28" spans="1:3">
      <c r="A28" s="258"/>
    </row>
  </sheetData>
  <mergeCells count="2">
    <mergeCell ref="A1:C1"/>
    <mergeCell ref="A24:C24"/>
  </mergeCells>
  <printOptions horizontalCentered="1"/>
  <pageMargins left="0.75" right="0.75" top="0.979166666666667" bottom="0.979166666666667" header="0.509027777777778" footer="0.509027777777778"/>
  <pageSetup paperSize="9" orientation="portrait" blackAndWhite="1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38"/>
  <sheetViews>
    <sheetView zoomScale="80" zoomScaleNormal="80" workbookViewId="0">
      <selection activeCell="G27" sqref="G27"/>
    </sheetView>
  </sheetViews>
  <sheetFormatPr defaultColWidth="9" defaultRowHeight="14.25" outlineLevelCol="3"/>
  <cols>
    <col min="1" max="1" width="42.875" style="196" customWidth="1"/>
    <col min="2" max="2" width="17.125" style="202" customWidth="1"/>
    <col min="3" max="3" width="13.875" style="196" customWidth="1"/>
    <col min="4" max="6" width="12.625" style="196" customWidth="1"/>
    <col min="7" max="16384" width="9" style="196"/>
  </cols>
  <sheetData>
    <row r="1" ht="28.5" customHeight="1" spans="1:4">
      <c r="A1" s="333" t="s">
        <v>343</v>
      </c>
      <c r="B1" s="333"/>
      <c r="C1" s="333"/>
    </row>
    <row r="2" ht="20.25" customHeight="1" spans="1:4">
      <c r="A2" s="409"/>
      <c r="B2" s="410"/>
      <c r="C2" s="411" t="s">
        <v>35</v>
      </c>
    </row>
    <row r="3" ht="32.1" customHeight="1" spans="1:4">
      <c r="A3" s="412" t="s">
        <v>36</v>
      </c>
      <c r="B3" s="413" t="s">
        <v>344</v>
      </c>
      <c r="C3" s="412" t="s">
        <v>5</v>
      </c>
      <c r="D3" s="408"/>
    </row>
    <row r="4" ht="21.95" customHeight="1" spans="1:4">
      <c r="A4" s="414" t="s">
        <v>345</v>
      </c>
      <c r="B4" s="415">
        <v>3333.6681</v>
      </c>
      <c r="C4" s="416">
        <v>7.6</v>
      </c>
    </row>
    <row r="5" ht="21.95" customHeight="1" spans="1:4">
      <c r="A5" s="417" t="s">
        <v>346</v>
      </c>
      <c r="B5" s="418">
        <v>3329.2902</v>
      </c>
      <c r="C5" s="419">
        <v>7.6</v>
      </c>
    </row>
    <row r="6" ht="21.95" customHeight="1" spans="1:4">
      <c r="A6" s="420" t="s">
        <v>347</v>
      </c>
      <c r="B6" s="418">
        <v>2191.2213</v>
      </c>
      <c r="C6" s="419">
        <v>12</v>
      </c>
    </row>
    <row r="7" ht="21.95" customHeight="1" spans="1:4">
      <c r="A7" s="417" t="s">
        <v>348</v>
      </c>
      <c r="B7" s="418">
        <v>561.4749</v>
      </c>
      <c r="C7" s="419">
        <v>-5.2</v>
      </c>
    </row>
    <row r="8" ht="21.95" customHeight="1" spans="1:4">
      <c r="A8" s="417" t="s">
        <v>349</v>
      </c>
      <c r="B8" s="418">
        <v>576.0639</v>
      </c>
      <c r="C8" s="419">
        <v>8.1</v>
      </c>
    </row>
    <row r="9" ht="21.95" customHeight="1" spans="1:4">
      <c r="A9" s="417" t="s">
        <v>350</v>
      </c>
      <c r="B9" s="418">
        <v>0.5301</v>
      </c>
      <c r="C9" s="419">
        <v>-95.1</v>
      </c>
    </row>
    <row r="10" ht="21.95" customHeight="1" spans="1:4">
      <c r="A10" s="417" t="s">
        <v>351</v>
      </c>
      <c r="B10" s="418">
        <v>4.3779</v>
      </c>
      <c r="C10" s="419">
        <v>14.4</v>
      </c>
    </row>
    <row r="11" ht="21.95" customHeight="1" spans="1:4">
      <c r="A11" s="421" t="s">
        <v>352</v>
      </c>
      <c r="B11" s="415">
        <v>2269.7778</v>
      </c>
      <c r="C11" s="416">
        <v>19.6</v>
      </c>
    </row>
    <row r="12" ht="21.95" customHeight="1" spans="1:4">
      <c r="A12" s="417" t="s">
        <v>353</v>
      </c>
      <c r="B12" s="418">
        <v>2268.3988</v>
      </c>
      <c r="C12" s="419">
        <v>19.5</v>
      </c>
    </row>
    <row r="13" ht="21.95" customHeight="1" spans="1:4">
      <c r="A13" s="420" t="s">
        <v>354</v>
      </c>
      <c r="B13" s="418">
        <v>854.4217</v>
      </c>
      <c r="C13" s="419">
        <v>28.3</v>
      </c>
    </row>
    <row r="14" ht="21.95" customHeight="1" spans="1:4">
      <c r="A14" s="420" t="s">
        <v>355</v>
      </c>
      <c r="B14" s="418">
        <v>1413.9771</v>
      </c>
      <c r="C14" s="419">
        <v>14.8</v>
      </c>
    </row>
    <row r="15" ht="21.95" customHeight="1" spans="1:4">
      <c r="A15" s="420" t="s">
        <v>356</v>
      </c>
      <c r="B15" s="418">
        <v>0</v>
      </c>
      <c r="C15" s="419">
        <v>-100</v>
      </c>
    </row>
    <row r="16" ht="21.95" customHeight="1" spans="1:4">
      <c r="A16" s="417" t="s">
        <v>357</v>
      </c>
      <c r="B16" s="418">
        <v>1.379</v>
      </c>
      <c r="C16" s="419">
        <v>50.1</v>
      </c>
    </row>
    <row r="17" s="408" customFormat="1" ht="21.95" customHeight="1" spans="1:3">
      <c r="A17" s="421" t="s">
        <v>358</v>
      </c>
      <c r="B17" s="415">
        <v>3317.5359</v>
      </c>
      <c r="C17" s="416">
        <v>7.6</v>
      </c>
    </row>
    <row r="18" ht="21.95" customHeight="1" spans="1:3">
      <c r="A18" s="417" t="s">
        <v>346</v>
      </c>
      <c r="B18" s="418">
        <v>3313.2926</v>
      </c>
      <c r="C18" s="419">
        <v>7.6</v>
      </c>
    </row>
    <row r="19" ht="21.95" customHeight="1" spans="1:3">
      <c r="A19" s="420" t="s">
        <v>347</v>
      </c>
      <c r="B19" s="418">
        <v>2182.1846</v>
      </c>
      <c r="C19" s="419">
        <v>12</v>
      </c>
    </row>
    <row r="20" ht="21.95" customHeight="1" spans="1:3">
      <c r="A20" s="417" t="s">
        <v>359</v>
      </c>
      <c r="B20" s="418">
        <v>1189.4647</v>
      </c>
      <c r="C20" s="419">
        <v>14.6</v>
      </c>
    </row>
    <row r="21" ht="21.95" customHeight="1" spans="1:3">
      <c r="A21" s="417" t="s">
        <v>348</v>
      </c>
      <c r="B21" s="418">
        <v>554.6176</v>
      </c>
      <c r="C21" s="419">
        <v>-5.6</v>
      </c>
    </row>
    <row r="22" ht="21.95" customHeight="1" spans="1:3">
      <c r="A22" s="417" t="s">
        <v>349</v>
      </c>
      <c r="B22" s="418">
        <v>575.9946</v>
      </c>
      <c r="C22" s="419">
        <v>8.1</v>
      </c>
    </row>
    <row r="23" ht="21.95" customHeight="1" spans="1:3">
      <c r="A23" s="417" t="s">
        <v>360</v>
      </c>
      <c r="B23" s="418">
        <v>518.2186</v>
      </c>
      <c r="C23" s="419">
        <v>8.8</v>
      </c>
    </row>
    <row r="24" ht="21.95" customHeight="1" spans="1:3">
      <c r="A24" s="417" t="s">
        <v>350</v>
      </c>
      <c r="B24" s="418">
        <v>0.4958</v>
      </c>
      <c r="C24" s="419">
        <v>-95.4</v>
      </c>
    </row>
    <row r="25" ht="21.95" customHeight="1" spans="1:3">
      <c r="A25" s="417" t="s">
        <v>351</v>
      </c>
      <c r="B25" s="418">
        <v>4.2433</v>
      </c>
      <c r="C25" s="419">
        <v>15.2</v>
      </c>
    </row>
    <row r="26" ht="21.95" customHeight="1" spans="1:3">
      <c r="A26" s="421" t="s">
        <v>361</v>
      </c>
      <c r="B26" s="415">
        <v>2255.212</v>
      </c>
      <c r="C26" s="416">
        <v>19.3</v>
      </c>
    </row>
    <row r="27" ht="21.95" customHeight="1" spans="1:3">
      <c r="A27" s="417" t="s">
        <v>353</v>
      </c>
      <c r="B27" s="418">
        <v>2253.8334</v>
      </c>
      <c r="C27" s="419">
        <v>19.2</v>
      </c>
    </row>
    <row r="28" ht="21.95" customHeight="1" spans="1:3">
      <c r="A28" s="420" t="s">
        <v>354</v>
      </c>
      <c r="B28" s="418">
        <v>854.3822</v>
      </c>
      <c r="C28" s="419">
        <v>28.3</v>
      </c>
    </row>
    <row r="29" ht="21.95" customHeight="1" spans="1:3">
      <c r="A29" s="420" t="s">
        <v>362</v>
      </c>
      <c r="B29" s="418">
        <v>742.4124</v>
      </c>
      <c r="C29" s="419">
        <v>30.8</v>
      </c>
    </row>
    <row r="30" ht="21.95" customHeight="1" spans="1:3">
      <c r="A30" s="420" t="s">
        <v>355</v>
      </c>
      <c r="B30" s="418">
        <v>1399.4513</v>
      </c>
      <c r="C30" s="419">
        <v>14.3</v>
      </c>
    </row>
    <row r="31" ht="21.95" customHeight="1" spans="1:3">
      <c r="A31" s="420" t="s">
        <v>363</v>
      </c>
      <c r="B31" s="418">
        <v>523.8684</v>
      </c>
      <c r="C31" s="419">
        <v>10</v>
      </c>
    </row>
    <row r="32" ht="21.95" customHeight="1" spans="1:3">
      <c r="A32" s="420" t="s">
        <v>364</v>
      </c>
      <c r="B32" s="418">
        <v>762.048</v>
      </c>
      <c r="C32" s="419">
        <v>14.4</v>
      </c>
    </row>
    <row r="33" ht="21.95" customHeight="1" spans="1:3">
      <c r="A33" s="420" t="s">
        <v>356</v>
      </c>
      <c r="B33" s="418">
        <v>0</v>
      </c>
      <c r="C33" s="419">
        <v>-100</v>
      </c>
    </row>
    <row r="34" ht="22.5" customHeight="1" spans="1:3">
      <c r="A34" s="422" t="s">
        <v>357</v>
      </c>
      <c r="B34" s="418">
        <v>1.3786</v>
      </c>
      <c r="C34" s="419">
        <v>50</v>
      </c>
    </row>
    <row r="35" ht="19.5" customHeight="1" spans="1:3">
      <c r="A35" s="407" t="s">
        <v>365</v>
      </c>
      <c r="B35" s="407"/>
      <c r="C35" s="407"/>
    </row>
    <row r="38" spans="1:3">
      <c r="A38" s="258"/>
    </row>
  </sheetData>
  <mergeCells count="2">
    <mergeCell ref="A1:C1"/>
    <mergeCell ref="A35:C35"/>
  </mergeCells>
  <pageMargins left="0.75" right="0.75" top="0.588888888888889" bottom="0.588888888888889" header="0.509027777777778" footer="0.509027777777778"/>
  <pageSetup paperSize="9" scale="93" orientation="portrait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35"/>
  <sheetViews>
    <sheetView zoomScale="80" zoomScaleNormal="80" workbookViewId="0">
      <selection activeCell="A1" sqref="A1:D1"/>
    </sheetView>
  </sheetViews>
  <sheetFormatPr defaultColWidth="9" defaultRowHeight="14.25" outlineLevelCol="3"/>
  <cols>
    <col min="1" max="1" width="34.25" style="196" customWidth="1"/>
    <col min="2" max="2" width="10" style="196" customWidth="1"/>
    <col min="3" max="3" width="15.25" style="196" customWidth="1"/>
    <col min="4" max="4" width="15.25" style="258" customWidth="1"/>
    <col min="5" max="16384" width="9" style="196"/>
  </cols>
  <sheetData>
    <row r="1" ht="28.5" customHeight="1" spans="1:4">
      <c r="A1" s="197" t="s">
        <v>366</v>
      </c>
      <c r="B1" s="197"/>
      <c r="C1" s="197"/>
      <c r="D1" s="197"/>
    </row>
    <row r="2" ht="31.5" customHeight="1" spans="1:4">
      <c r="A2" s="386" t="s">
        <v>36</v>
      </c>
      <c r="B2" s="387" t="s">
        <v>2</v>
      </c>
      <c r="C2" s="387" t="s">
        <v>3</v>
      </c>
      <c r="D2" s="388" t="s">
        <v>5</v>
      </c>
    </row>
    <row r="3" ht="23.1" customHeight="1" spans="1:4">
      <c r="A3" s="389" t="s">
        <v>367</v>
      </c>
      <c r="B3" s="390" t="s">
        <v>7</v>
      </c>
      <c r="C3" s="391">
        <v>377.0311</v>
      </c>
      <c r="D3" s="392">
        <v>9</v>
      </c>
    </row>
    <row r="4" ht="23.1" customHeight="1" spans="1:4">
      <c r="A4" s="393" t="s">
        <v>368</v>
      </c>
      <c r="B4" s="390" t="s">
        <v>7</v>
      </c>
      <c r="C4" s="391">
        <v>205.0345</v>
      </c>
      <c r="D4" s="394">
        <v>-5.5</v>
      </c>
    </row>
    <row r="5" ht="23.1" customHeight="1" spans="1:4">
      <c r="A5" s="393" t="s">
        <v>369</v>
      </c>
      <c r="B5" s="390"/>
      <c r="C5" s="391"/>
      <c r="D5" s="394"/>
    </row>
    <row r="6" ht="23.1" customHeight="1" spans="1:4">
      <c r="A6" s="393" t="s">
        <v>370</v>
      </c>
      <c r="B6" s="390" t="s">
        <v>7</v>
      </c>
      <c r="C6" s="391">
        <v>171.1854</v>
      </c>
      <c r="D6" s="394">
        <v>-14.9</v>
      </c>
    </row>
    <row r="7" ht="23.1" customHeight="1" spans="1:4">
      <c r="A7" s="393" t="s">
        <v>371</v>
      </c>
      <c r="B7" s="390" t="s">
        <v>7</v>
      </c>
      <c r="C7" s="391">
        <v>2.9052</v>
      </c>
      <c r="D7" s="394">
        <v>-33.4</v>
      </c>
    </row>
    <row r="8" ht="23.1" customHeight="1" spans="1:4">
      <c r="A8" s="393" t="s">
        <v>372</v>
      </c>
      <c r="B8" s="390" t="s">
        <v>7</v>
      </c>
      <c r="C8" s="391">
        <v>9.9441</v>
      </c>
      <c r="D8" s="394">
        <v>21.4</v>
      </c>
    </row>
    <row r="9" ht="23.1" customHeight="1" spans="1:4">
      <c r="A9" s="393" t="s">
        <v>373</v>
      </c>
      <c r="B9" s="390" t="s">
        <v>7</v>
      </c>
      <c r="C9" s="391">
        <v>0.0586</v>
      </c>
      <c r="D9" s="394">
        <v>-98.2</v>
      </c>
    </row>
    <row r="10" ht="23.1" customHeight="1" spans="1:4">
      <c r="A10" s="393" t="s">
        <v>374</v>
      </c>
      <c r="B10" s="390"/>
      <c r="C10" s="391"/>
      <c r="D10" s="395"/>
    </row>
    <row r="11" ht="23.1" customHeight="1" spans="1:4">
      <c r="A11" s="393" t="s">
        <v>375</v>
      </c>
      <c r="B11" s="390" t="s">
        <v>7</v>
      </c>
      <c r="C11" s="391">
        <v>31.1908</v>
      </c>
      <c r="D11" s="394">
        <v>-16.8</v>
      </c>
    </row>
    <row r="12" ht="23.1" customHeight="1" spans="1:4">
      <c r="A12" s="393" t="s">
        <v>376</v>
      </c>
      <c r="B12" s="390" t="s">
        <v>7</v>
      </c>
      <c r="C12" s="391">
        <v>51.1798</v>
      </c>
      <c r="D12" s="394">
        <v>-23.3</v>
      </c>
    </row>
    <row r="13" ht="23.1" customHeight="1" spans="1:4">
      <c r="A13" s="393" t="s">
        <v>377</v>
      </c>
      <c r="B13" s="390" t="s">
        <v>7</v>
      </c>
      <c r="C13" s="391">
        <v>0.9627</v>
      </c>
      <c r="D13" s="394">
        <v>41.4</v>
      </c>
    </row>
    <row r="14" ht="23.1" customHeight="1" spans="1:4">
      <c r="A14" s="393" t="s">
        <v>378</v>
      </c>
      <c r="B14" s="390" t="s">
        <v>7</v>
      </c>
      <c r="C14" s="391">
        <v>121.3395</v>
      </c>
      <c r="D14" s="394">
        <v>8.8</v>
      </c>
    </row>
    <row r="15" ht="23.1" customHeight="1" spans="1:4">
      <c r="A15" s="396" t="s">
        <v>379</v>
      </c>
      <c r="B15" s="390"/>
      <c r="C15" s="391"/>
      <c r="D15" s="395"/>
    </row>
    <row r="16" ht="23.1" customHeight="1" spans="1:4">
      <c r="A16" s="397" t="s">
        <v>380</v>
      </c>
      <c r="B16" s="390" t="s">
        <v>7</v>
      </c>
      <c r="C16" s="391">
        <v>36.9452</v>
      </c>
      <c r="D16" s="394">
        <v>-19.4</v>
      </c>
    </row>
    <row r="17" ht="23.1" customHeight="1" spans="1:4">
      <c r="A17" s="398" t="s">
        <v>381</v>
      </c>
      <c r="B17" s="390" t="s">
        <v>7</v>
      </c>
      <c r="C17" s="391">
        <v>30.6561</v>
      </c>
      <c r="D17" s="394">
        <v>-22.1</v>
      </c>
    </row>
    <row r="18" ht="23.1" customHeight="1" spans="1:4">
      <c r="A18" s="398" t="s">
        <v>382</v>
      </c>
      <c r="B18" s="390" t="s">
        <v>7</v>
      </c>
      <c r="C18" s="391">
        <v>22.6845</v>
      </c>
      <c r="D18" s="394">
        <v>15.6</v>
      </c>
    </row>
    <row r="19" ht="23.1" customHeight="1" spans="1:4">
      <c r="A19" s="398" t="s">
        <v>383</v>
      </c>
      <c r="B19" s="390" t="s">
        <v>7</v>
      </c>
      <c r="C19" s="391">
        <v>9.922</v>
      </c>
      <c r="D19" s="394">
        <v>-34.2</v>
      </c>
    </row>
    <row r="20" ht="23.1" customHeight="1" spans="1:4">
      <c r="A20" s="399" t="s">
        <v>384</v>
      </c>
      <c r="B20" s="390" t="s">
        <v>7</v>
      </c>
      <c r="C20" s="391">
        <v>9.2797</v>
      </c>
      <c r="D20" s="394">
        <v>30.1</v>
      </c>
    </row>
    <row r="21" ht="23.1" customHeight="1" spans="1:4">
      <c r="A21" s="400" t="s">
        <v>385</v>
      </c>
      <c r="B21" s="390" t="s">
        <v>7</v>
      </c>
      <c r="C21" s="391">
        <v>171.9966</v>
      </c>
      <c r="D21" s="394">
        <v>33.5</v>
      </c>
    </row>
    <row r="22" ht="23.1" customHeight="1" spans="1:4">
      <c r="A22" s="400" t="s">
        <v>386</v>
      </c>
      <c r="B22" s="390"/>
      <c r="C22" s="391"/>
      <c r="D22" s="394"/>
    </row>
    <row r="23" ht="23.1" customHeight="1" spans="1:4">
      <c r="A23" s="400" t="s">
        <v>387</v>
      </c>
      <c r="B23" s="390" t="s">
        <v>7</v>
      </c>
      <c r="C23" s="391">
        <v>133.9276</v>
      </c>
      <c r="D23" s="394">
        <v>34.3</v>
      </c>
    </row>
    <row r="24" ht="23.1" customHeight="1" spans="1:4">
      <c r="A24" s="400" t="s">
        <v>388</v>
      </c>
      <c r="B24" s="390" t="s">
        <v>7</v>
      </c>
      <c r="C24" s="391">
        <v>2.9258</v>
      </c>
      <c r="D24" s="394">
        <v>-20.6</v>
      </c>
    </row>
    <row r="25" ht="23.1" customHeight="1" spans="1:4">
      <c r="A25" s="400" t="s">
        <v>389</v>
      </c>
      <c r="B25" s="390" t="s">
        <v>7</v>
      </c>
      <c r="C25" s="391">
        <v>6.1096</v>
      </c>
      <c r="D25" s="394">
        <v>14.1</v>
      </c>
    </row>
    <row r="26" ht="23.1" customHeight="1" spans="1:4">
      <c r="A26" s="400" t="s">
        <v>390</v>
      </c>
      <c r="B26" s="390" t="s">
        <v>7</v>
      </c>
      <c r="C26" s="391">
        <v>28.9432</v>
      </c>
      <c r="D26" s="394">
        <v>45.4</v>
      </c>
    </row>
    <row r="27" ht="23.1" customHeight="1" spans="1:4">
      <c r="A27" s="393" t="s">
        <v>391</v>
      </c>
      <c r="B27" s="390"/>
      <c r="C27" s="401"/>
      <c r="D27" s="395"/>
    </row>
    <row r="28" ht="23.1" customHeight="1" spans="1:4">
      <c r="A28" s="393" t="s">
        <v>392</v>
      </c>
      <c r="B28" s="390" t="s">
        <v>102</v>
      </c>
      <c r="C28" s="402">
        <v>148</v>
      </c>
      <c r="D28" s="395">
        <v>208.3</v>
      </c>
    </row>
    <row r="29" ht="23.1" customHeight="1" spans="1:4">
      <c r="A29" s="393" t="s">
        <v>393</v>
      </c>
      <c r="B29" s="390" t="s">
        <v>23</v>
      </c>
      <c r="C29" s="401">
        <v>83283</v>
      </c>
      <c r="D29" s="395">
        <v>418.4</v>
      </c>
    </row>
    <row r="30" ht="23.1" customHeight="1" spans="1:4">
      <c r="A30" s="403" t="s">
        <v>394</v>
      </c>
      <c r="B30" s="404" t="s">
        <v>23</v>
      </c>
      <c r="C30" s="405">
        <v>8529</v>
      </c>
      <c r="D30" s="406">
        <v>5.4</v>
      </c>
    </row>
    <row r="31" ht="16.5" customHeight="1" spans="1:4">
      <c r="A31" s="407" t="s">
        <v>395</v>
      </c>
      <c r="B31" s="407"/>
      <c r="C31" s="407"/>
      <c r="D31" s="407"/>
    </row>
    <row r="35" spans="1:2">
      <c r="A35" s="258"/>
      <c r="B35" s="258"/>
    </row>
  </sheetData>
  <mergeCells count="2">
    <mergeCell ref="A1:D1"/>
    <mergeCell ref="A31:D31"/>
  </mergeCells>
  <printOptions horizontalCentered="1"/>
  <pageMargins left="0.75" right="0.75" top="0.788888888888889" bottom="0.788888888888889" header="0.509027777777778" footer="0.509027777777778"/>
  <pageSetup paperSize="9" orientation="portrait" blackAndWhite="1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zoomScale="80" zoomScaleNormal="80" workbookViewId="0">
      <selection activeCell="L14" sqref="L13:L14"/>
    </sheetView>
  </sheetViews>
  <sheetFormatPr defaultColWidth="9" defaultRowHeight="14.25" outlineLevelCol="5"/>
  <cols>
    <col min="1" max="1" width="28" style="127" customWidth="1"/>
    <col min="2" max="6" width="9.125" style="127" customWidth="1"/>
    <col min="7" max="16384" width="9" style="127"/>
  </cols>
  <sheetData>
    <row r="1" ht="28.5" customHeight="1" spans="1:6">
      <c r="A1" s="694" t="s">
        <v>0</v>
      </c>
      <c r="B1" s="694"/>
      <c r="C1" s="694"/>
      <c r="D1" s="694"/>
      <c r="E1" s="694"/>
      <c r="F1" s="694"/>
    </row>
    <row r="2" ht="21" customHeight="1" spans="1:6">
      <c r="A2" s="695" t="s">
        <v>1</v>
      </c>
      <c r="B2" s="696" t="s">
        <v>2</v>
      </c>
      <c r="C2" s="697">
        <v>43466</v>
      </c>
      <c r="D2" s="698"/>
      <c r="E2" s="699" t="s">
        <v>3</v>
      </c>
      <c r="F2" s="700"/>
    </row>
    <row r="3" ht="21" customHeight="1" spans="1:6">
      <c r="A3" s="701"/>
      <c r="B3" s="699"/>
      <c r="C3" s="701" t="s">
        <v>4</v>
      </c>
      <c r="D3" s="701" t="s">
        <v>5</v>
      </c>
      <c r="E3" s="701" t="s">
        <v>4</v>
      </c>
      <c r="F3" s="702" t="s">
        <v>5</v>
      </c>
    </row>
    <row r="4" ht="27.95" customHeight="1" spans="1:6">
      <c r="A4" s="703" t="s">
        <v>6</v>
      </c>
      <c r="B4" s="485" t="s">
        <v>7</v>
      </c>
      <c r="C4" s="704" t="s">
        <v>8</v>
      </c>
      <c r="D4" s="705" t="s">
        <v>8</v>
      </c>
      <c r="E4" s="706">
        <v>3008.39</v>
      </c>
      <c r="F4" s="394">
        <v>6</v>
      </c>
    </row>
    <row r="5" ht="27.95" customHeight="1" spans="1:6">
      <c r="A5" s="703" t="s">
        <v>9</v>
      </c>
      <c r="B5" s="485" t="s">
        <v>7</v>
      </c>
      <c r="C5" s="707" t="s">
        <v>8</v>
      </c>
      <c r="D5" s="708" t="s">
        <v>8</v>
      </c>
      <c r="E5" s="706">
        <v>2372.85</v>
      </c>
      <c r="F5" s="394">
        <v>5.1</v>
      </c>
    </row>
    <row r="6" ht="27.95" customHeight="1" spans="1:6">
      <c r="A6" s="703" t="s">
        <v>10</v>
      </c>
      <c r="B6" s="485" t="s">
        <v>7</v>
      </c>
      <c r="C6" s="707" t="s">
        <v>8</v>
      </c>
      <c r="D6" s="708" t="s">
        <v>8</v>
      </c>
      <c r="E6" s="706">
        <v>769.97</v>
      </c>
      <c r="F6" s="394">
        <v>5</v>
      </c>
    </row>
    <row r="7" ht="27.95" customHeight="1" spans="1:6">
      <c r="A7" s="703" t="s">
        <v>11</v>
      </c>
      <c r="B7" s="485" t="s">
        <v>7</v>
      </c>
      <c r="C7" s="707" t="s">
        <v>8</v>
      </c>
      <c r="D7" s="708" t="s">
        <v>8</v>
      </c>
      <c r="E7" s="706">
        <v>1260.12</v>
      </c>
      <c r="F7" s="394">
        <v>12.8</v>
      </c>
    </row>
    <row r="8" ht="27.95" customHeight="1" spans="1:6">
      <c r="A8" s="703" t="s">
        <v>12</v>
      </c>
      <c r="B8" s="485" t="s">
        <v>7</v>
      </c>
      <c r="C8" s="707" t="s">
        <v>8</v>
      </c>
      <c r="D8" s="708" t="s">
        <v>8</v>
      </c>
      <c r="E8" s="706">
        <v>496.41</v>
      </c>
      <c r="F8" s="394">
        <v>56.3</v>
      </c>
    </row>
    <row r="9" ht="27.95" customHeight="1" spans="1:6">
      <c r="A9" s="709" t="s">
        <v>13</v>
      </c>
      <c r="B9" s="488" t="s">
        <v>14</v>
      </c>
      <c r="C9" s="704" t="s">
        <v>8</v>
      </c>
      <c r="D9" s="705" t="s">
        <v>8</v>
      </c>
      <c r="E9" s="710">
        <v>547.35</v>
      </c>
      <c r="F9" s="460">
        <v>-7.1</v>
      </c>
    </row>
    <row r="10" ht="27.95" customHeight="1" spans="1:6">
      <c r="A10" s="709" t="s">
        <v>15</v>
      </c>
      <c r="B10" s="488" t="s">
        <v>7</v>
      </c>
      <c r="C10" s="704" t="s">
        <v>8</v>
      </c>
      <c r="D10" s="705" t="s">
        <v>8</v>
      </c>
      <c r="E10" s="711">
        <v>1697.3</v>
      </c>
      <c r="F10" s="460">
        <v>10.3</v>
      </c>
    </row>
    <row r="11" ht="27.95" customHeight="1" spans="1:6">
      <c r="A11" s="709" t="s">
        <v>16</v>
      </c>
      <c r="B11" s="488" t="s">
        <v>7</v>
      </c>
      <c r="C11" s="711">
        <v>17.38</v>
      </c>
      <c r="D11" s="460">
        <v>32.2</v>
      </c>
      <c r="E11" s="710">
        <v>121.83</v>
      </c>
      <c r="F11" s="460">
        <v>15.4</v>
      </c>
    </row>
    <row r="12" ht="27.95" customHeight="1" spans="1:6">
      <c r="A12" s="709" t="s">
        <v>17</v>
      </c>
      <c r="B12" s="488" t="s">
        <v>7</v>
      </c>
      <c r="C12" s="711">
        <v>35.69</v>
      </c>
      <c r="D12" s="460">
        <v>68.8</v>
      </c>
      <c r="E12" s="710">
        <v>477.17</v>
      </c>
      <c r="F12" s="460">
        <v>11.9</v>
      </c>
    </row>
    <row r="13" ht="27.95" customHeight="1" spans="1:6">
      <c r="A13" s="709" t="s">
        <v>18</v>
      </c>
      <c r="B13" s="488" t="s">
        <v>7</v>
      </c>
      <c r="C13" s="711">
        <v>68.61</v>
      </c>
      <c r="D13" s="460">
        <v>28.2</v>
      </c>
      <c r="E13" s="710">
        <v>509.85</v>
      </c>
      <c r="F13" s="460">
        <v>8.2</v>
      </c>
    </row>
    <row r="14" ht="27.95" customHeight="1" spans="1:6">
      <c r="A14" s="709" t="s">
        <v>19</v>
      </c>
      <c r="B14" s="488" t="s">
        <v>7</v>
      </c>
      <c r="C14" s="712">
        <v>377.03</v>
      </c>
      <c r="D14" s="460">
        <v>9</v>
      </c>
      <c r="E14" s="710">
        <v>377.03</v>
      </c>
      <c r="F14" s="460">
        <v>9</v>
      </c>
    </row>
    <row r="15" ht="27.95" customHeight="1" spans="1:6">
      <c r="A15" s="709" t="s">
        <v>20</v>
      </c>
      <c r="B15" s="488" t="s">
        <v>7</v>
      </c>
      <c r="C15" s="712">
        <v>205.03</v>
      </c>
      <c r="D15" s="460">
        <v>-5.5</v>
      </c>
      <c r="E15" s="710">
        <v>205.03</v>
      </c>
      <c r="F15" s="460">
        <v>-5.5</v>
      </c>
    </row>
    <row r="16" ht="27.95" customHeight="1" spans="1:6">
      <c r="A16" s="709" t="s">
        <v>21</v>
      </c>
      <c r="B16" s="488" t="s">
        <v>7</v>
      </c>
      <c r="C16" s="713">
        <v>172</v>
      </c>
      <c r="D16" s="460">
        <v>33.5</v>
      </c>
      <c r="E16" s="710">
        <v>172</v>
      </c>
      <c r="F16" s="460">
        <v>33.5</v>
      </c>
    </row>
    <row r="17" ht="27.95" customHeight="1" spans="1:6">
      <c r="A17" s="709" t="s">
        <v>22</v>
      </c>
      <c r="B17" s="488" t="s">
        <v>23</v>
      </c>
      <c r="C17" s="714">
        <v>8529</v>
      </c>
      <c r="D17" s="460">
        <v>5.4</v>
      </c>
      <c r="E17" s="710">
        <v>8529</v>
      </c>
      <c r="F17" s="460">
        <v>5.4</v>
      </c>
    </row>
    <row r="18" ht="27.95" customHeight="1" spans="1:6">
      <c r="A18" s="709" t="s">
        <v>24</v>
      </c>
      <c r="B18" s="488" t="s">
        <v>7</v>
      </c>
      <c r="C18" s="711">
        <v>3333.67</v>
      </c>
      <c r="D18" s="460">
        <v>7.6</v>
      </c>
      <c r="E18" s="710">
        <v>3343.59</v>
      </c>
      <c r="F18" s="460">
        <v>9.2</v>
      </c>
    </row>
    <row r="19" ht="27.95" customHeight="1" spans="1:6">
      <c r="A19" s="709" t="s">
        <v>25</v>
      </c>
      <c r="B19" s="485" t="s">
        <v>7</v>
      </c>
      <c r="C19" s="711">
        <v>2191.22</v>
      </c>
      <c r="D19" s="460">
        <v>12</v>
      </c>
      <c r="E19" s="706">
        <v>2127.66</v>
      </c>
      <c r="F19" s="394">
        <v>8.4</v>
      </c>
    </row>
    <row r="20" ht="27.95" customHeight="1" spans="1:6">
      <c r="A20" s="703" t="s">
        <v>26</v>
      </c>
      <c r="B20" s="485" t="s">
        <v>7</v>
      </c>
      <c r="C20" s="711">
        <v>2269.78</v>
      </c>
      <c r="D20" s="460">
        <v>19.6</v>
      </c>
      <c r="E20" s="706">
        <v>2164.16</v>
      </c>
      <c r="F20" s="394">
        <v>15.8</v>
      </c>
    </row>
    <row r="21" ht="27.95" customHeight="1" spans="1:6">
      <c r="A21" s="703" t="s">
        <v>27</v>
      </c>
      <c r="B21" s="485" t="s">
        <v>28</v>
      </c>
      <c r="C21" s="460">
        <v>101.9</v>
      </c>
      <c r="D21" s="460">
        <v>1.9</v>
      </c>
      <c r="E21" s="706">
        <v>101.6</v>
      </c>
      <c r="F21" s="394">
        <v>1.6</v>
      </c>
    </row>
    <row r="22" ht="27.95" customHeight="1" spans="1:6">
      <c r="A22" s="703" t="s">
        <v>29</v>
      </c>
      <c r="B22" s="485" t="s">
        <v>28</v>
      </c>
      <c r="C22" s="460">
        <v>100.1</v>
      </c>
      <c r="D22" s="460">
        <v>0.1</v>
      </c>
      <c r="E22" s="706">
        <v>103.4</v>
      </c>
      <c r="F22" s="394">
        <v>3.4</v>
      </c>
    </row>
    <row r="23" ht="27.95" customHeight="1" spans="1:6">
      <c r="A23" s="703" t="s">
        <v>30</v>
      </c>
      <c r="B23" s="485" t="s">
        <v>31</v>
      </c>
      <c r="C23" s="715">
        <v>15.6251</v>
      </c>
      <c r="D23" s="460">
        <v>9.03</v>
      </c>
      <c r="E23" s="706">
        <v>196.43</v>
      </c>
      <c r="F23" s="394">
        <v>8.3</v>
      </c>
    </row>
    <row r="24" ht="27.95" customHeight="1" spans="1:6">
      <c r="A24" s="703" t="s">
        <v>32</v>
      </c>
      <c r="B24" s="485" t="s">
        <v>31</v>
      </c>
      <c r="C24" s="716">
        <v>9.5556</v>
      </c>
      <c r="D24" s="717">
        <v>4.79</v>
      </c>
      <c r="E24" s="706">
        <v>119.75</v>
      </c>
      <c r="F24" s="394">
        <v>6</v>
      </c>
    </row>
    <row r="25" ht="28" customHeight="1" spans="1:6">
      <c r="A25" s="407" t="s">
        <v>33</v>
      </c>
      <c r="B25" s="407"/>
      <c r="C25" s="407"/>
      <c r="D25" s="407"/>
      <c r="E25" s="407"/>
      <c r="F25" s="407"/>
    </row>
  </sheetData>
  <mergeCells count="6">
    <mergeCell ref="A1:F1"/>
    <mergeCell ref="C2:D2"/>
    <mergeCell ref="E2:F2"/>
    <mergeCell ref="A25:F25"/>
    <mergeCell ref="A2:A3"/>
    <mergeCell ref="B2:B3"/>
  </mergeCells>
  <pageMargins left="0.75" right="0.75" top="1" bottom="1" header="0.5" footer="0.5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C22"/>
  <sheetViews>
    <sheetView workbookViewId="0">
      <selection activeCell="F7" sqref="F7"/>
    </sheetView>
  </sheetViews>
  <sheetFormatPr defaultColWidth="9" defaultRowHeight="14.25" outlineLevelCol="2"/>
  <cols>
    <col min="1" max="1" width="36.375" style="196" customWidth="1"/>
    <col min="2" max="3" width="16.625" style="196" customWidth="1"/>
    <col min="4" max="4" width="9.5" style="196" customWidth="1"/>
    <col min="5" max="16384" width="9" style="196"/>
  </cols>
  <sheetData>
    <row r="1" ht="28.5" customHeight="1" spans="1:3">
      <c r="A1" s="197" t="s">
        <v>396</v>
      </c>
      <c r="B1" s="197"/>
      <c r="C1" s="197"/>
    </row>
    <row r="2" ht="22.5" customHeight="1" spans="1:3">
      <c r="A2" s="368"/>
      <c r="B2" s="88"/>
      <c r="C2" s="90" t="s">
        <v>397</v>
      </c>
    </row>
    <row r="3" s="367" customFormat="1" ht="30" customHeight="1" spans="1:3">
      <c r="A3" s="369" t="s">
        <v>36</v>
      </c>
      <c r="B3" s="370" t="s">
        <v>3</v>
      </c>
      <c r="C3" s="371" t="s">
        <v>5</v>
      </c>
    </row>
    <row r="4" ht="24.95" customHeight="1" spans="1:3">
      <c r="A4" s="372" t="s">
        <v>398</v>
      </c>
      <c r="B4" s="373">
        <v>21426.9</v>
      </c>
      <c r="C4" s="374">
        <v>9.1</v>
      </c>
    </row>
    <row r="5" ht="24.95" customHeight="1" spans="1:3">
      <c r="A5" s="375" t="s">
        <v>399</v>
      </c>
      <c r="B5" s="376"/>
      <c r="C5" s="377"/>
    </row>
    <row r="6" ht="24.95" customHeight="1" spans="1:3">
      <c r="A6" s="375" t="s">
        <v>400</v>
      </c>
      <c r="B6" s="376"/>
      <c r="C6" s="378"/>
    </row>
    <row r="7" ht="24.95" customHeight="1" spans="1:3">
      <c r="A7" s="375" t="s">
        <v>401</v>
      </c>
      <c r="B7" s="376"/>
      <c r="C7" s="378"/>
    </row>
    <row r="8" ht="24.95" customHeight="1" spans="1:3">
      <c r="A8" s="375" t="s">
        <v>402</v>
      </c>
      <c r="B8" s="376"/>
      <c r="C8" s="377"/>
    </row>
    <row r="9" ht="24.95" customHeight="1" spans="1:3">
      <c r="A9" s="375" t="s">
        <v>403</v>
      </c>
      <c r="B9" s="376">
        <v>29046.3</v>
      </c>
      <c r="C9" s="377">
        <v>7.1</v>
      </c>
    </row>
    <row r="10" ht="24.95" customHeight="1" spans="1:3">
      <c r="A10" s="375" t="s">
        <v>404</v>
      </c>
      <c r="B10" s="376">
        <v>15888.9</v>
      </c>
      <c r="C10" s="377">
        <v>9.7</v>
      </c>
    </row>
    <row r="11" ht="24.95" customHeight="1" spans="1:3">
      <c r="A11" s="372" t="s">
        <v>405</v>
      </c>
      <c r="B11" s="379"/>
      <c r="C11" s="377"/>
    </row>
    <row r="12" ht="24.95" customHeight="1" spans="1:3">
      <c r="A12" s="375" t="s">
        <v>406</v>
      </c>
      <c r="B12" s="379"/>
      <c r="C12" s="377"/>
    </row>
    <row r="13" ht="24.95" customHeight="1" spans="1:3">
      <c r="A13" s="375" t="s">
        <v>407</v>
      </c>
      <c r="B13" s="380"/>
      <c r="C13" s="381"/>
    </row>
    <row r="14" ht="24.95" customHeight="1" spans="1:3">
      <c r="A14" s="375" t="s">
        <v>408</v>
      </c>
      <c r="B14" s="380"/>
      <c r="C14" s="381"/>
    </row>
    <row r="15" ht="24.95" customHeight="1" spans="1:3">
      <c r="A15" s="375" t="s">
        <v>409</v>
      </c>
      <c r="B15" s="380"/>
      <c r="C15" s="381"/>
    </row>
    <row r="16" ht="24.95" customHeight="1" spans="1:3">
      <c r="A16" s="375" t="s">
        <v>410</v>
      </c>
      <c r="B16" s="380"/>
      <c r="C16" s="381"/>
    </row>
    <row r="17" ht="24.95" customHeight="1" spans="1:3">
      <c r="A17" s="375" t="s">
        <v>411</v>
      </c>
      <c r="B17" s="380"/>
      <c r="C17" s="381"/>
    </row>
    <row r="18" ht="24.95" customHeight="1" spans="1:3">
      <c r="A18" s="375" t="s">
        <v>412</v>
      </c>
      <c r="B18" s="380"/>
      <c r="C18" s="381"/>
    </row>
    <row r="19" ht="24.95" customHeight="1" spans="1:3">
      <c r="A19" s="375" t="s">
        <v>413</v>
      </c>
      <c r="B19" s="380"/>
      <c r="C19" s="381"/>
    </row>
    <row r="20" ht="24.95" customHeight="1" spans="1:3">
      <c r="A20" s="375" t="s">
        <v>414</v>
      </c>
      <c r="B20" s="382"/>
      <c r="C20" s="381"/>
    </row>
    <row r="21" ht="24.95" customHeight="1" spans="1:3">
      <c r="A21" s="383" t="s">
        <v>415</v>
      </c>
      <c r="B21" s="384"/>
      <c r="C21" s="385"/>
    </row>
    <row r="22" ht="20.25" customHeight="1" spans="1:3">
      <c r="A22" s="218" t="s">
        <v>416</v>
      </c>
      <c r="B22" s="218"/>
      <c r="C22" s="218"/>
    </row>
  </sheetData>
  <mergeCells count="2">
    <mergeCell ref="A1:C1"/>
    <mergeCell ref="A22:C22"/>
  </mergeCells>
  <printOptions horizontalCentered="1"/>
  <pageMargins left="0.75" right="0.75" top="0.979166666666667" bottom="0.979166666666667" header="0.509027777777778" footer="0.509027777777778"/>
  <pageSetup paperSize="9" orientation="portrait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22"/>
  <sheetViews>
    <sheetView zoomScale="90" zoomScaleNormal="90" workbookViewId="0">
      <selection activeCell="F16" sqref="F16"/>
    </sheetView>
  </sheetViews>
  <sheetFormatPr defaultColWidth="9" defaultRowHeight="14.25" outlineLevelCol="3"/>
  <cols>
    <col min="1" max="1" width="35.5" style="196" customWidth="1"/>
    <col min="2" max="3" width="16.125" style="196" customWidth="1"/>
    <col min="4" max="16384" width="9" style="196"/>
  </cols>
  <sheetData>
    <row r="1" ht="28.5" customHeight="1" spans="1:4">
      <c r="A1" s="333" t="s">
        <v>27</v>
      </c>
      <c r="B1" s="333"/>
      <c r="C1" s="333"/>
    </row>
    <row r="2" ht="21.75" customHeight="1" spans="1:4">
      <c r="A2" s="219"/>
      <c r="B2" s="219"/>
      <c r="C2" s="238" t="s">
        <v>417</v>
      </c>
    </row>
    <row r="3" ht="30" customHeight="1" spans="1:4">
      <c r="A3" s="355" t="s">
        <v>36</v>
      </c>
      <c r="B3" s="356" t="s">
        <v>418</v>
      </c>
      <c r="C3" s="357" t="s">
        <v>419</v>
      </c>
    </row>
    <row r="4" ht="30" customHeight="1" spans="1:4">
      <c r="A4" s="358" t="s">
        <v>420</v>
      </c>
      <c r="B4" s="359">
        <v>101.94670843</v>
      </c>
      <c r="C4" s="359">
        <v>101.94670843</v>
      </c>
    </row>
    <row r="5" s="196" customFormat="1" ht="30" customHeight="1" spans="1:4">
      <c r="A5" s="360" t="s">
        <v>421</v>
      </c>
      <c r="B5" s="361">
        <v>101.83804833</v>
      </c>
      <c r="C5" s="361">
        <v>101.83804833</v>
      </c>
      <c r="D5" s="258"/>
    </row>
    <row r="6" s="196" customFormat="1" ht="30" customHeight="1" spans="1:4">
      <c r="A6" s="360" t="s">
        <v>422</v>
      </c>
      <c r="B6" s="361">
        <v>98.67615447</v>
      </c>
      <c r="C6" s="361">
        <v>98.67615447</v>
      </c>
      <c r="D6" s="258"/>
    </row>
    <row r="7" s="196" customFormat="1" ht="30" customHeight="1" spans="1:4">
      <c r="A7" s="360" t="s">
        <v>423</v>
      </c>
      <c r="B7" s="361">
        <v>106.36459104</v>
      </c>
      <c r="C7" s="361">
        <v>106.36459104</v>
      </c>
      <c r="D7" s="258"/>
    </row>
    <row r="8" s="196" customFormat="1" ht="30" customHeight="1" spans="1:4">
      <c r="A8" s="360" t="s">
        <v>424</v>
      </c>
      <c r="B8" s="361">
        <v>96.12203529</v>
      </c>
      <c r="C8" s="361">
        <v>96.12203529</v>
      </c>
      <c r="D8" s="362"/>
    </row>
    <row r="9" s="196" customFormat="1" ht="30" customHeight="1" spans="1:4">
      <c r="A9" s="360" t="s">
        <v>425</v>
      </c>
      <c r="B9" s="361">
        <v>103.01406382</v>
      </c>
      <c r="C9" s="361">
        <v>103.01406382</v>
      </c>
    </row>
    <row r="10" s="196" customFormat="1" ht="30" customHeight="1" spans="1:4">
      <c r="A10" s="360" t="s">
        <v>426</v>
      </c>
      <c r="B10" s="361">
        <v>104.46387176</v>
      </c>
      <c r="C10" s="361">
        <v>104.46387176</v>
      </c>
    </row>
    <row r="11" s="196" customFormat="1" ht="30" customHeight="1" spans="1:4">
      <c r="A11" s="360" t="s">
        <v>427</v>
      </c>
      <c r="B11" s="361">
        <v>104.15530468</v>
      </c>
      <c r="C11" s="361">
        <v>104.15530468</v>
      </c>
    </row>
    <row r="12" s="196" customFormat="1" ht="30" customHeight="1" spans="1:4">
      <c r="A12" s="360" t="s">
        <v>428</v>
      </c>
      <c r="B12" s="361">
        <v>105.83739899</v>
      </c>
      <c r="C12" s="361">
        <v>105.83739899</v>
      </c>
    </row>
    <row r="13" s="196" customFormat="1" ht="30" customHeight="1" spans="1:4">
      <c r="A13" s="360" t="s">
        <v>429</v>
      </c>
      <c r="B13" s="361">
        <v>103.63001526</v>
      </c>
      <c r="C13" s="361">
        <v>103.63001526</v>
      </c>
    </row>
    <row r="14" s="196" customFormat="1" ht="30" customHeight="1" spans="1:4">
      <c r="A14" s="360" t="s">
        <v>430</v>
      </c>
      <c r="B14" s="361">
        <v>101.54644845</v>
      </c>
      <c r="C14" s="361">
        <v>101.54644845</v>
      </c>
    </row>
    <row r="15" s="196" customFormat="1" ht="30" customHeight="1" spans="1:4">
      <c r="A15" s="360" t="s">
        <v>431</v>
      </c>
      <c r="B15" s="361">
        <v>98.47506865</v>
      </c>
      <c r="C15" s="361">
        <v>98.47506865</v>
      </c>
    </row>
    <row r="16" s="196" customFormat="1" ht="30" customHeight="1" spans="1:4">
      <c r="A16" s="360" t="s">
        <v>432</v>
      </c>
      <c r="B16" s="361">
        <v>101.7292456</v>
      </c>
      <c r="C16" s="361">
        <v>101.7292456</v>
      </c>
    </row>
    <row r="17" s="196" customFormat="1" ht="30" customHeight="1" spans="1:3">
      <c r="A17" s="360" t="s">
        <v>433</v>
      </c>
      <c r="B17" s="361">
        <v>104.25652587</v>
      </c>
      <c r="C17" s="361">
        <v>104.25652587</v>
      </c>
    </row>
    <row r="18" s="196" customFormat="1" ht="30" customHeight="1" spans="1:3">
      <c r="A18" s="360" t="s">
        <v>434</v>
      </c>
      <c r="B18" s="361">
        <v>101.19808879</v>
      </c>
      <c r="C18" s="361">
        <v>101.19808879</v>
      </c>
    </row>
    <row r="19" s="196" customFormat="1" ht="30" customHeight="1" spans="1:3">
      <c r="A19" s="360" t="s">
        <v>435</v>
      </c>
      <c r="B19" s="361">
        <v>101.20361256</v>
      </c>
      <c r="C19" s="361">
        <v>101.20361256</v>
      </c>
    </row>
    <row r="20" s="196" customFormat="1" ht="30" customHeight="1" spans="1:3">
      <c r="A20" s="360" t="s">
        <v>436</v>
      </c>
      <c r="B20" s="361">
        <v>103.57167657</v>
      </c>
      <c r="C20" s="361">
        <v>103.57167657</v>
      </c>
    </row>
    <row r="21" s="196" customFormat="1" ht="30" customHeight="1" spans="1:3">
      <c r="A21" s="363" t="s">
        <v>437</v>
      </c>
      <c r="B21" s="364">
        <v>100.05663001</v>
      </c>
      <c r="C21" s="365">
        <v>100.05663001</v>
      </c>
    </row>
    <row r="22" ht="28.5" customHeight="1" spans="1:3">
      <c r="A22" s="366" t="s">
        <v>438</v>
      </c>
      <c r="B22" s="366"/>
      <c r="C22" s="366"/>
    </row>
  </sheetData>
  <mergeCells count="2">
    <mergeCell ref="A1:C1"/>
    <mergeCell ref="A22:C22"/>
  </mergeCells>
  <printOptions horizontalCentered="1"/>
  <pageMargins left="0.55" right="0.55" top="0.979166666666667" bottom="0.979166666666667" header="0.509027777777778" footer="0.509027777777778"/>
  <pageSetup paperSize="9" orientation="portrait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E28"/>
  <sheetViews>
    <sheetView workbookViewId="0">
      <selection activeCell="F6" sqref="F6"/>
    </sheetView>
  </sheetViews>
  <sheetFormatPr defaultColWidth="9" defaultRowHeight="14.25" outlineLevelCol="4"/>
  <cols>
    <col min="1" max="1" width="33.375" style="195" customWidth="1"/>
    <col min="2" max="2" width="13.125" style="196" customWidth="1"/>
    <col min="3" max="3" width="13.125" style="350" customWidth="1"/>
    <col min="4" max="4" width="13.125" style="196" customWidth="1"/>
    <col min="5" max="16384" width="9" style="196"/>
  </cols>
  <sheetData>
    <row r="1" ht="28.5" customHeight="1" spans="1:5">
      <c r="A1" s="333" t="s">
        <v>439</v>
      </c>
      <c r="B1" s="333"/>
      <c r="C1" s="333"/>
      <c r="D1" s="334"/>
    </row>
    <row r="2" ht="20.25" customHeight="1" spans="1:5">
      <c r="A2" s="219"/>
      <c r="B2" s="219"/>
      <c r="C2" s="351"/>
      <c r="D2" s="238" t="s">
        <v>35</v>
      </c>
    </row>
    <row r="3" ht="31.5" customHeight="1" spans="1:5">
      <c r="A3" s="91" t="s">
        <v>440</v>
      </c>
      <c r="B3" s="140" t="s">
        <v>3</v>
      </c>
      <c r="C3" s="93" t="s">
        <v>5</v>
      </c>
      <c r="D3" s="140" t="s">
        <v>441</v>
      </c>
    </row>
    <row r="4" ht="18" customHeight="1" spans="1:5">
      <c r="A4" s="259" t="s">
        <v>442</v>
      </c>
      <c r="B4" s="294"/>
      <c r="C4" s="131"/>
      <c r="D4" s="233"/>
    </row>
    <row r="5" ht="18" customHeight="1" spans="1:5">
      <c r="A5" s="203" t="s">
        <v>443</v>
      </c>
      <c r="B5" s="107">
        <v>3008.3928</v>
      </c>
      <c r="C5" s="130">
        <v>6</v>
      </c>
      <c r="D5" s="224" t="s">
        <v>8</v>
      </c>
    </row>
    <row r="6" ht="18" customHeight="1" spans="1:5">
      <c r="A6" s="203" t="s">
        <v>444</v>
      </c>
      <c r="B6" s="107">
        <v>343.2265</v>
      </c>
      <c r="C6" s="130">
        <v>8</v>
      </c>
      <c r="D6" s="224">
        <v>3</v>
      </c>
    </row>
    <row r="7" ht="18" customHeight="1" spans="1:5">
      <c r="A7" s="208" t="s">
        <v>445</v>
      </c>
      <c r="B7" s="107">
        <v>468.2617</v>
      </c>
      <c r="C7" s="130">
        <v>6</v>
      </c>
      <c r="D7" s="224">
        <v>8</v>
      </c>
    </row>
    <row r="8" ht="18" customHeight="1" spans="1:5">
      <c r="A8" s="209" t="s">
        <v>446</v>
      </c>
      <c r="B8" s="107">
        <v>307.9784</v>
      </c>
      <c r="C8" s="130">
        <v>5.9</v>
      </c>
      <c r="D8" s="224">
        <v>9</v>
      </c>
    </row>
    <row r="9" ht="18" customHeight="1" spans="1:5">
      <c r="A9" s="208" t="s">
        <v>447</v>
      </c>
      <c r="B9" s="107">
        <v>166.5684</v>
      </c>
      <c r="C9" s="130">
        <v>7.5</v>
      </c>
      <c r="D9" s="224">
        <v>4</v>
      </c>
    </row>
    <row r="10" ht="18" customHeight="1" spans="1:5">
      <c r="A10" s="208" t="s">
        <v>448</v>
      </c>
      <c r="B10" s="107">
        <v>402.0383</v>
      </c>
      <c r="C10" s="130">
        <v>9.5</v>
      </c>
      <c r="D10" s="224">
        <v>1</v>
      </c>
    </row>
    <row r="11" ht="18" customHeight="1" spans="1:5">
      <c r="A11" s="208" t="s">
        <v>449</v>
      </c>
      <c r="B11" s="107">
        <v>282.0022</v>
      </c>
      <c r="C11" s="130">
        <v>7</v>
      </c>
      <c r="D11" s="224">
        <v>6</v>
      </c>
    </row>
    <row r="12" ht="18" customHeight="1" spans="1:5">
      <c r="A12" s="210" t="s">
        <v>450</v>
      </c>
      <c r="B12" s="107">
        <v>190.5968</v>
      </c>
      <c r="C12" s="130">
        <v>8.2</v>
      </c>
      <c r="D12" s="224">
        <v>2</v>
      </c>
    </row>
    <row r="13" ht="18" customHeight="1" spans="1:5">
      <c r="A13" s="210" t="s">
        <v>451</v>
      </c>
      <c r="B13" s="107">
        <v>309.6724</v>
      </c>
      <c r="C13" s="130">
        <v>4.2</v>
      </c>
      <c r="D13" s="224">
        <v>10</v>
      </c>
    </row>
    <row r="14" ht="18" customHeight="1" spans="1:5">
      <c r="A14" s="210" t="s">
        <v>452</v>
      </c>
      <c r="B14" s="107">
        <v>325.3024</v>
      </c>
      <c r="C14" s="130">
        <v>7.5</v>
      </c>
      <c r="D14" s="224">
        <v>4</v>
      </c>
    </row>
    <row r="15" ht="18" customHeight="1" spans="1:5">
      <c r="A15" s="210" t="s">
        <v>453</v>
      </c>
      <c r="B15" s="107">
        <v>562.5401</v>
      </c>
      <c r="C15" s="130">
        <v>7</v>
      </c>
      <c r="D15" s="224">
        <v>6</v>
      </c>
    </row>
    <row r="16" ht="18" customHeight="1" spans="1:5">
      <c r="A16" s="198" t="s">
        <v>454</v>
      </c>
      <c r="B16" s="107"/>
      <c r="C16" s="130"/>
      <c r="D16" s="224"/>
      <c r="E16" s="202"/>
    </row>
    <row r="17" ht="18" customHeight="1" spans="1:4">
      <c r="A17" s="203" t="s">
        <v>443</v>
      </c>
      <c r="B17" s="107">
        <v>533.6147</v>
      </c>
      <c r="C17" s="130">
        <v>4.5</v>
      </c>
      <c r="D17" s="224" t="s">
        <v>8</v>
      </c>
    </row>
    <row r="18" ht="18" customHeight="1" spans="1:4">
      <c r="A18" s="203" t="s">
        <v>444</v>
      </c>
      <c r="B18" s="107">
        <v>1.5219</v>
      </c>
      <c r="C18" s="130">
        <v>-1.2</v>
      </c>
      <c r="D18" s="224">
        <v>10</v>
      </c>
    </row>
    <row r="19" ht="18" customHeight="1" spans="1:4">
      <c r="A19" s="208" t="s">
        <v>445</v>
      </c>
      <c r="B19" s="107">
        <v>2.3045</v>
      </c>
      <c r="C19" s="130">
        <v>-1.1</v>
      </c>
      <c r="D19" s="224">
        <v>9</v>
      </c>
    </row>
    <row r="20" ht="18" customHeight="1" spans="1:4">
      <c r="A20" s="209" t="s">
        <v>446</v>
      </c>
      <c r="B20" s="107">
        <v>17.4407</v>
      </c>
      <c r="C20" s="130">
        <v>5.2</v>
      </c>
      <c r="D20" s="224">
        <v>5</v>
      </c>
    </row>
    <row r="21" ht="18" customHeight="1" spans="1:4">
      <c r="A21" s="208" t="s">
        <v>447</v>
      </c>
      <c r="B21" s="107">
        <v>23.8763</v>
      </c>
      <c r="C21" s="130">
        <v>4.8</v>
      </c>
      <c r="D21" s="224">
        <v>6</v>
      </c>
    </row>
    <row r="22" ht="18" customHeight="1" spans="1:4">
      <c r="A22" s="208" t="s">
        <v>448</v>
      </c>
      <c r="B22" s="107">
        <v>23.4106</v>
      </c>
      <c r="C22" s="130">
        <v>2.8</v>
      </c>
      <c r="D22" s="224">
        <v>8</v>
      </c>
    </row>
    <row r="23" ht="18" customHeight="1" spans="1:4">
      <c r="A23" s="208" t="s">
        <v>449</v>
      </c>
      <c r="B23" s="107">
        <v>31.0462</v>
      </c>
      <c r="C23" s="130">
        <v>4.5</v>
      </c>
      <c r="D23" s="224">
        <v>7</v>
      </c>
    </row>
    <row r="24" ht="18" customHeight="1" spans="1:4">
      <c r="A24" s="210" t="s">
        <v>450</v>
      </c>
      <c r="B24" s="107">
        <v>83.5573</v>
      </c>
      <c r="C24" s="130">
        <v>5.4</v>
      </c>
      <c r="D24" s="224">
        <v>3</v>
      </c>
    </row>
    <row r="25" ht="18" customHeight="1" spans="1:4">
      <c r="A25" s="210" t="s">
        <v>451</v>
      </c>
      <c r="B25" s="107">
        <v>121.6685</v>
      </c>
      <c r="C25" s="130">
        <v>5.7</v>
      </c>
      <c r="D25" s="224">
        <v>1</v>
      </c>
    </row>
    <row r="26" ht="18" customHeight="1" spans="1:4">
      <c r="A26" s="210" t="s">
        <v>452</v>
      </c>
      <c r="B26" s="107">
        <v>118.7126</v>
      </c>
      <c r="C26" s="130">
        <v>5.5</v>
      </c>
      <c r="D26" s="224">
        <v>2</v>
      </c>
    </row>
    <row r="27" ht="18" customHeight="1" spans="1:4">
      <c r="A27" s="352" t="s">
        <v>453</v>
      </c>
      <c r="B27" s="253">
        <v>109.5806</v>
      </c>
      <c r="C27" s="130">
        <v>5.3</v>
      </c>
      <c r="D27" s="224">
        <v>4</v>
      </c>
    </row>
    <row r="28" ht="18" customHeight="1" spans="1:4">
      <c r="A28" s="353" t="s">
        <v>455</v>
      </c>
      <c r="B28" s="354"/>
      <c r="C28" s="353"/>
      <c r="D28" s="353"/>
    </row>
  </sheetData>
  <mergeCells count="2">
    <mergeCell ref="A1:D1"/>
    <mergeCell ref="A28:D28"/>
  </mergeCells>
  <printOptions horizontalCentered="1"/>
  <pageMargins left="0.75" right="0.75" top="0.388888888888889" bottom="0.388888888888889" header="0.509027777777778" footer="0.509027777777778"/>
  <pageSetup paperSize="9" orientation="portrait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D42"/>
  <sheetViews>
    <sheetView workbookViewId="0">
      <selection activeCell="E17" sqref="E17"/>
    </sheetView>
  </sheetViews>
  <sheetFormatPr defaultColWidth="9" defaultRowHeight="14.25" outlineLevelCol="3"/>
  <cols>
    <col min="1" max="1" width="32.375" style="297" customWidth="1"/>
    <col min="2" max="2" width="13.125" style="298" customWidth="1"/>
    <col min="3" max="3" width="13.125" style="299" customWidth="1"/>
    <col min="4" max="4" width="13.125" style="298" customWidth="1"/>
    <col min="5" max="16384" width="9" style="298"/>
  </cols>
  <sheetData>
    <row r="1" ht="28.5" customHeight="1" spans="1:4">
      <c r="A1" s="333" t="s">
        <v>456</v>
      </c>
      <c r="B1" s="333"/>
      <c r="C1" s="333"/>
      <c r="D1" s="334"/>
    </row>
    <row r="2" ht="20.25" customHeight="1" spans="1:4">
      <c r="A2" s="244"/>
      <c r="B2" s="244"/>
      <c r="C2" s="244"/>
      <c r="D2" s="238" t="s">
        <v>35</v>
      </c>
    </row>
    <row r="3" ht="28.5" customHeight="1" spans="1:4">
      <c r="A3" s="284" t="s">
        <v>440</v>
      </c>
      <c r="B3" s="240" t="s">
        <v>3</v>
      </c>
      <c r="C3" s="239" t="s">
        <v>5</v>
      </c>
      <c r="D3" s="240" t="s">
        <v>441</v>
      </c>
    </row>
    <row r="4" ht="18" customHeight="1" spans="1:4">
      <c r="A4" s="247" t="s">
        <v>457</v>
      </c>
      <c r="B4" s="342"/>
      <c r="C4" s="343"/>
      <c r="D4" s="250"/>
    </row>
    <row r="5" ht="18" customHeight="1" spans="1:4">
      <c r="A5" s="243" t="s">
        <v>443</v>
      </c>
      <c r="B5" s="336">
        <v>1086.6144</v>
      </c>
      <c r="C5" s="344">
        <v>5.2</v>
      </c>
      <c r="D5" s="250" t="s">
        <v>8</v>
      </c>
    </row>
    <row r="6" ht="18" customHeight="1" spans="1:4">
      <c r="A6" s="243" t="s">
        <v>444</v>
      </c>
      <c r="B6" s="336">
        <v>55.6066</v>
      </c>
      <c r="C6" s="344">
        <v>4.3</v>
      </c>
      <c r="D6" s="250">
        <v>8</v>
      </c>
    </row>
    <row r="7" ht="18" customHeight="1" spans="1:4">
      <c r="A7" s="245" t="s">
        <v>445</v>
      </c>
      <c r="B7" s="336">
        <v>191.1999</v>
      </c>
      <c r="C7" s="344">
        <v>1.3</v>
      </c>
      <c r="D7" s="250">
        <v>10</v>
      </c>
    </row>
    <row r="8" ht="18" customHeight="1" spans="1:4">
      <c r="A8" s="246" t="s">
        <v>446</v>
      </c>
      <c r="B8" s="336">
        <v>221.97</v>
      </c>
      <c r="C8" s="344">
        <v>7.2</v>
      </c>
      <c r="D8" s="250">
        <v>6</v>
      </c>
    </row>
    <row r="9" ht="18" customHeight="1" spans="1:4">
      <c r="A9" s="245" t="s">
        <v>447</v>
      </c>
      <c r="B9" s="336">
        <v>104.4192</v>
      </c>
      <c r="C9" s="344">
        <v>8.3</v>
      </c>
      <c r="D9" s="250">
        <v>5</v>
      </c>
    </row>
    <row r="10" ht="18" customHeight="1" spans="1:4">
      <c r="A10" s="245" t="s">
        <v>448</v>
      </c>
      <c r="B10" s="336">
        <v>215.3992</v>
      </c>
      <c r="C10" s="344">
        <v>9.9</v>
      </c>
      <c r="D10" s="250">
        <v>2</v>
      </c>
    </row>
    <row r="11" ht="18" customHeight="1" spans="1:4">
      <c r="A11" s="245" t="s">
        <v>449</v>
      </c>
      <c r="B11" s="336">
        <v>119.0053</v>
      </c>
      <c r="C11" s="344">
        <v>6.5</v>
      </c>
      <c r="D11" s="250">
        <v>7</v>
      </c>
    </row>
    <row r="12" ht="18" customHeight="1" spans="1:4">
      <c r="A12" s="245" t="s">
        <v>450</v>
      </c>
      <c r="B12" s="336">
        <v>17.0428</v>
      </c>
      <c r="C12" s="344">
        <v>26.5</v>
      </c>
      <c r="D12" s="250">
        <v>1</v>
      </c>
    </row>
    <row r="13" ht="18" customHeight="1" spans="1:4">
      <c r="A13" s="245" t="s">
        <v>451</v>
      </c>
      <c r="B13" s="336">
        <v>29.9046</v>
      </c>
      <c r="C13" s="344">
        <v>1.7</v>
      </c>
      <c r="D13" s="250">
        <v>9</v>
      </c>
    </row>
    <row r="14" ht="18" customHeight="1" spans="1:4">
      <c r="A14" s="245" t="s">
        <v>452</v>
      </c>
      <c r="B14" s="336">
        <v>84.1112</v>
      </c>
      <c r="C14" s="344">
        <v>9</v>
      </c>
      <c r="D14" s="250">
        <v>3</v>
      </c>
    </row>
    <row r="15" ht="18" customHeight="1" spans="1:4">
      <c r="A15" s="245" t="s">
        <v>453</v>
      </c>
      <c r="B15" s="336">
        <v>268.2292</v>
      </c>
      <c r="C15" s="344">
        <v>8.7</v>
      </c>
      <c r="D15" s="250">
        <v>4</v>
      </c>
    </row>
    <row r="16" ht="18" customHeight="1" spans="1:4">
      <c r="A16" s="221" t="s">
        <v>458</v>
      </c>
      <c r="B16" s="345"/>
      <c r="C16" s="346"/>
      <c r="D16" s="224"/>
    </row>
    <row r="17" ht="18" customHeight="1" spans="1:4">
      <c r="A17" s="243" t="s">
        <v>443</v>
      </c>
      <c r="B17" s="325">
        <v>1388.1637</v>
      </c>
      <c r="C17" s="205">
        <v>7.2</v>
      </c>
      <c r="D17" s="338" t="s">
        <v>8</v>
      </c>
    </row>
    <row r="18" ht="18" customHeight="1" spans="1:4">
      <c r="A18" s="243" t="s">
        <v>444</v>
      </c>
      <c r="B18" s="325">
        <v>286.098</v>
      </c>
      <c r="C18" s="205">
        <v>8.8</v>
      </c>
      <c r="D18" s="339">
        <v>3</v>
      </c>
    </row>
    <row r="19" ht="18" customHeight="1" spans="1:4">
      <c r="A19" s="245" t="s">
        <v>445</v>
      </c>
      <c r="B19" s="325">
        <v>274.7573</v>
      </c>
      <c r="C19" s="205">
        <v>9.6</v>
      </c>
      <c r="D19" s="339">
        <v>2</v>
      </c>
    </row>
    <row r="20" ht="18" customHeight="1" spans="1:4">
      <c r="A20" s="246" t="s">
        <v>446</v>
      </c>
      <c r="B20" s="325">
        <v>68.5677</v>
      </c>
      <c r="C20" s="205">
        <v>2</v>
      </c>
      <c r="D20" s="339">
        <v>10</v>
      </c>
    </row>
    <row r="21" ht="18" customHeight="1" spans="1:4">
      <c r="A21" s="245" t="s">
        <v>447</v>
      </c>
      <c r="B21" s="325">
        <v>38.2729</v>
      </c>
      <c r="C21" s="205">
        <v>7.3</v>
      </c>
      <c r="D21" s="339">
        <v>7</v>
      </c>
    </row>
    <row r="22" ht="18" customHeight="1" spans="1:4">
      <c r="A22" s="245" t="s">
        <v>448</v>
      </c>
      <c r="B22" s="325">
        <v>163.2285</v>
      </c>
      <c r="C22" s="205">
        <v>10</v>
      </c>
      <c r="D22" s="339">
        <v>1</v>
      </c>
    </row>
    <row r="23" ht="18" customHeight="1" spans="1:4">
      <c r="A23" s="245" t="s">
        <v>449</v>
      </c>
      <c r="B23" s="325">
        <v>131.9507</v>
      </c>
      <c r="C23" s="205">
        <v>8.2</v>
      </c>
      <c r="D23" s="339">
        <v>4</v>
      </c>
    </row>
    <row r="24" ht="18" customHeight="1" spans="1:4">
      <c r="A24" s="245" t="s">
        <v>450</v>
      </c>
      <c r="B24" s="325">
        <v>89.9967</v>
      </c>
      <c r="C24" s="205">
        <v>7.5</v>
      </c>
      <c r="D24" s="339">
        <v>6</v>
      </c>
    </row>
    <row r="25" ht="18" customHeight="1" spans="1:4">
      <c r="A25" s="245" t="s">
        <v>451</v>
      </c>
      <c r="B25" s="325">
        <v>158.0993</v>
      </c>
      <c r="C25" s="205">
        <v>3.7</v>
      </c>
      <c r="D25" s="339">
        <v>9</v>
      </c>
    </row>
    <row r="26" ht="18" customHeight="1" spans="1:4">
      <c r="A26" s="245" t="s">
        <v>452</v>
      </c>
      <c r="B26" s="325">
        <v>122.4786</v>
      </c>
      <c r="C26" s="205">
        <v>8.2</v>
      </c>
      <c r="D26" s="339">
        <v>4</v>
      </c>
    </row>
    <row r="27" ht="18" customHeight="1" spans="1:4">
      <c r="A27" s="217" t="s">
        <v>453</v>
      </c>
      <c r="B27" s="347">
        <v>184.7303</v>
      </c>
      <c r="C27" s="348">
        <v>5.6</v>
      </c>
      <c r="D27" s="349">
        <v>8</v>
      </c>
    </row>
    <row r="28" spans="1:4">
      <c r="A28" s="298"/>
      <c r="C28" s="298"/>
    </row>
    <row r="32" spans="1:4">
      <c r="A32" s="304"/>
    </row>
    <row r="33" spans="1:1">
      <c r="A33" s="304"/>
    </row>
    <row r="34" spans="1:1">
      <c r="A34" s="304"/>
    </row>
    <row r="35" spans="1:1">
      <c r="A35" s="305"/>
    </row>
    <row r="36" spans="1:1">
      <c r="A36" s="266"/>
    </row>
    <row r="37" spans="1:1">
      <c r="A37" s="266"/>
    </row>
    <row r="38" spans="1:1">
      <c r="A38" s="266"/>
    </row>
    <row r="39" spans="1:1">
      <c r="A39" s="266"/>
    </row>
    <row r="40" spans="1:1">
      <c r="A40" s="266"/>
    </row>
    <row r="41" spans="1:1">
      <c r="A41" s="306"/>
    </row>
    <row r="42" spans="1:1">
      <c r="A42" s="304"/>
    </row>
  </sheetData>
  <mergeCells count="1">
    <mergeCell ref="A1:D1"/>
  </mergeCells>
  <pageMargins left="0.75" right="0.75" top="0.588888888888889" bottom="0.588888888888889" header="0.509027777777778" footer="0.509027777777778"/>
  <pageSetup paperSize="9" scale="98" orientation="portrait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D43"/>
  <sheetViews>
    <sheetView workbookViewId="0">
      <selection activeCell="F13" sqref="F13"/>
    </sheetView>
  </sheetViews>
  <sheetFormatPr defaultColWidth="9" defaultRowHeight="14.25" outlineLevelCol="3"/>
  <cols>
    <col min="1" max="1" width="43.875" style="195" customWidth="1"/>
    <col min="2" max="2" width="11.5" style="127" customWidth="1"/>
    <col min="3" max="3" width="9.375" style="295" customWidth="1"/>
    <col min="4" max="4" width="12.25" style="127" customWidth="1"/>
    <col min="5" max="16384" width="9" style="127"/>
  </cols>
  <sheetData>
    <row r="1" ht="28.5" customHeight="1" spans="1:4">
      <c r="A1" s="333" t="s">
        <v>459</v>
      </c>
      <c r="B1" s="333"/>
      <c r="C1" s="333"/>
      <c r="D1" s="334"/>
    </row>
    <row r="2" ht="20.25" customHeight="1" spans="1:4">
      <c r="A2" s="244"/>
      <c r="B2" s="244"/>
      <c r="C2" s="244"/>
      <c r="D2" s="335" t="s">
        <v>35</v>
      </c>
    </row>
    <row r="3" ht="28.5" customHeight="1" spans="1:4">
      <c r="A3" s="284" t="s">
        <v>440</v>
      </c>
      <c r="B3" s="240" t="s">
        <v>3</v>
      </c>
      <c r="C3" s="239" t="s">
        <v>5</v>
      </c>
      <c r="D3" s="240" t="s">
        <v>441</v>
      </c>
    </row>
    <row r="4" ht="18" customHeight="1" spans="1:4">
      <c r="A4" s="324" t="s">
        <v>460</v>
      </c>
      <c r="B4" s="336"/>
      <c r="C4" s="210"/>
      <c r="D4" s="242"/>
    </row>
    <row r="5" ht="18" customHeight="1" spans="1:4">
      <c r="A5" s="243" t="s">
        <v>443</v>
      </c>
      <c r="B5" s="336">
        <v>937.2468</v>
      </c>
      <c r="C5" s="337">
        <v>4.8</v>
      </c>
      <c r="D5" s="338" t="s">
        <v>8</v>
      </c>
    </row>
    <row r="6" ht="18" customHeight="1" spans="1:4">
      <c r="A6" s="243" t="s">
        <v>444</v>
      </c>
      <c r="B6" s="336">
        <v>50.1723</v>
      </c>
      <c r="C6" s="337">
        <v>4</v>
      </c>
      <c r="D6" s="339">
        <v>8</v>
      </c>
    </row>
    <row r="7" ht="18" customHeight="1" spans="1:4">
      <c r="A7" s="245" t="s">
        <v>445</v>
      </c>
      <c r="B7" s="336">
        <v>169.5395</v>
      </c>
      <c r="C7" s="337">
        <v>1.3</v>
      </c>
      <c r="D7" s="339">
        <v>9</v>
      </c>
    </row>
    <row r="8" ht="18" customHeight="1" spans="1:4">
      <c r="A8" s="246" t="s">
        <v>446</v>
      </c>
      <c r="B8" s="336">
        <v>211.2977</v>
      </c>
      <c r="C8" s="337">
        <v>6</v>
      </c>
      <c r="D8" s="339">
        <v>7</v>
      </c>
    </row>
    <row r="9" ht="18" customHeight="1" spans="1:4">
      <c r="A9" s="245" t="s">
        <v>447</v>
      </c>
      <c r="B9" s="336">
        <v>99.7927</v>
      </c>
      <c r="C9" s="337">
        <v>8</v>
      </c>
      <c r="D9" s="339">
        <v>5</v>
      </c>
    </row>
    <row r="10" ht="18" customHeight="1" spans="1:4">
      <c r="A10" s="245" t="s">
        <v>448</v>
      </c>
      <c r="B10" s="336">
        <v>197.6676</v>
      </c>
      <c r="C10" s="337">
        <v>9.2</v>
      </c>
      <c r="D10" s="339">
        <v>3</v>
      </c>
    </row>
    <row r="11" ht="18" customHeight="1" spans="1:4">
      <c r="A11" s="245" t="s">
        <v>449</v>
      </c>
      <c r="B11" s="336">
        <v>84.8439</v>
      </c>
      <c r="C11" s="337">
        <v>6.9</v>
      </c>
      <c r="D11" s="339">
        <v>6</v>
      </c>
    </row>
    <row r="12" ht="18" customHeight="1" spans="1:4">
      <c r="A12" s="245" t="s">
        <v>450</v>
      </c>
      <c r="B12" s="336">
        <v>11.599</v>
      </c>
      <c r="C12" s="337">
        <v>13.6</v>
      </c>
      <c r="D12" s="339">
        <v>1</v>
      </c>
    </row>
    <row r="13" ht="18" customHeight="1" spans="1:4">
      <c r="A13" s="245" t="s">
        <v>451</v>
      </c>
      <c r="B13" s="336">
        <v>25.6961</v>
      </c>
      <c r="C13" s="337">
        <v>1</v>
      </c>
      <c r="D13" s="339">
        <v>10</v>
      </c>
    </row>
    <row r="14" ht="18" customHeight="1" spans="1:4">
      <c r="A14" s="245" t="s">
        <v>452</v>
      </c>
      <c r="B14" s="336">
        <v>74.6003</v>
      </c>
      <c r="C14" s="337">
        <v>9.7</v>
      </c>
      <c r="D14" s="339">
        <v>2</v>
      </c>
    </row>
    <row r="15" ht="18" customHeight="1" spans="1:4">
      <c r="A15" s="245" t="s">
        <v>453</v>
      </c>
      <c r="B15" s="336">
        <v>225.5779</v>
      </c>
      <c r="C15" s="337">
        <v>9.1</v>
      </c>
      <c r="D15" s="339">
        <v>4</v>
      </c>
    </row>
    <row r="16" ht="18" customHeight="1" spans="1:4">
      <c r="A16" s="247" t="s">
        <v>461</v>
      </c>
      <c r="B16" s="325"/>
      <c r="C16" s="301"/>
      <c r="D16" s="224"/>
    </row>
    <row r="17" ht="18" customHeight="1" spans="1:4">
      <c r="A17" s="243" t="s">
        <v>443</v>
      </c>
      <c r="B17" s="325">
        <v>2339.1361</v>
      </c>
      <c r="C17" s="201" t="s">
        <v>8</v>
      </c>
      <c r="D17" s="250" t="s">
        <v>8</v>
      </c>
    </row>
    <row r="18" ht="18" customHeight="1" spans="1:4">
      <c r="A18" s="243" t="s">
        <v>444</v>
      </c>
      <c r="B18" s="325">
        <v>98.9393</v>
      </c>
      <c r="C18" s="201" t="s">
        <v>8</v>
      </c>
      <c r="D18" s="250" t="s">
        <v>8</v>
      </c>
    </row>
    <row r="19" ht="18" customHeight="1" spans="1:4">
      <c r="A19" s="245" t="s">
        <v>445</v>
      </c>
      <c r="B19" s="325">
        <v>604.701</v>
      </c>
      <c r="C19" s="201" t="s">
        <v>8</v>
      </c>
      <c r="D19" s="250" t="s">
        <v>8</v>
      </c>
    </row>
    <row r="20" ht="18" customHeight="1" spans="1:4">
      <c r="A20" s="246" t="s">
        <v>446</v>
      </c>
      <c r="B20" s="325">
        <v>279.5557</v>
      </c>
      <c r="C20" s="201" t="s">
        <v>8</v>
      </c>
      <c r="D20" s="250" t="s">
        <v>8</v>
      </c>
    </row>
    <row r="21" ht="18" customHeight="1" spans="1:4">
      <c r="A21" s="245" t="s">
        <v>447</v>
      </c>
      <c r="B21" s="325">
        <v>182.1053</v>
      </c>
      <c r="C21" s="201" t="s">
        <v>8</v>
      </c>
      <c r="D21" s="250" t="s">
        <v>8</v>
      </c>
    </row>
    <row r="22" ht="18" customHeight="1" spans="1:4">
      <c r="A22" s="245" t="s">
        <v>449</v>
      </c>
      <c r="B22" s="325">
        <v>160.4892</v>
      </c>
      <c r="C22" s="201" t="s">
        <v>8</v>
      </c>
      <c r="D22" s="250" t="s">
        <v>8</v>
      </c>
    </row>
    <row r="23" ht="18" customHeight="1" spans="1:4">
      <c r="A23" s="245" t="s">
        <v>450</v>
      </c>
      <c r="B23" s="325">
        <v>21.262</v>
      </c>
      <c r="C23" s="201" t="s">
        <v>8</v>
      </c>
      <c r="D23" s="250" t="s">
        <v>8</v>
      </c>
    </row>
    <row r="24" ht="18" customHeight="1" spans="1:4">
      <c r="A24" s="245" t="s">
        <v>451</v>
      </c>
      <c r="B24" s="325">
        <v>43.8739</v>
      </c>
      <c r="C24" s="201" t="s">
        <v>8</v>
      </c>
      <c r="D24" s="250" t="s">
        <v>8</v>
      </c>
    </row>
    <row r="25" ht="18" customHeight="1" spans="1:4">
      <c r="A25" s="245" t="s">
        <v>462</v>
      </c>
      <c r="B25" s="325">
        <v>1.3042</v>
      </c>
      <c r="C25" s="201" t="s">
        <v>8</v>
      </c>
      <c r="D25" s="250" t="s">
        <v>8</v>
      </c>
    </row>
    <row r="26" ht="18" customHeight="1" spans="1:4">
      <c r="A26" s="245" t="s">
        <v>452</v>
      </c>
      <c r="B26" s="325">
        <v>140.0297</v>
      </c>
      <c r="C26" s="201" t="s">
        <v>8</v>
      </c>
      <c r="D26" s="250" t="s">
        <v>8</v>
      </c>
    </row>
    <row r="27" ht="18" customHeight="1" spans="1:4">
      <c r="A27" s="245" t="s">
        <v>453</v>
      </c>
      <c r="B27" s="325">
        <v>362.697</v>
      </c>
      <c r="C27" s="201" t="s">
        <v>8</v>
      </c>
      <c r="D27" s="250" t="s">
        <v>8</v>
      </c>
    </row>
    <row r="28" ht="18" customHeight="1" spans="1:4">
      <c r="A28" s="252" t="s">
        <v>463</v>
      </c>
      <c r="B28" s="327">
        <v>672.1758</v>
      </c>
      <c r="C28" s="340" t="s">
        <v>8</v>
      </c>
      <c r="D28" s="341" t="s">
        <v>8</v>
      </c>
    </row>
    <row r="33" spans="1:1">
      <c r="A33" s="263"/>
    </row>
    <row r="34" spans="1:1">
      <c r="A34" s="263"/>
    </row>
    <row r="35" spans="1:1">
      <c r="A35" s="263"/>
    </row>
    <row r="36" spans="1:1">
      <c r="A36" s="264"/>
    </row>
    <row r="37" spans="1:1">
      <c r="A37" s="265"/>
    </row>
    <row r="38" spans="1:1">
      <c r="A38" s="265"/>
    </row>
    <row r="39" spans="1:1">
      <c r="A39" s="265"/>
    </row>
    <row r="40" spans="1:1">
      <c r="A40" s="265"/>
    </row>
    <row r="41" spans="1:1">
      <c r="A41" s="266"/>
    </row>
    <row r="42" spans="1:1">
      <c r="A42" s="258"/>
    </row>
    <row r="43" spans="1:1">
      <c r="A43" s="263"/>
    </row>
  </sheetData>
  <mergeCells count="1">
    <mergeCell ref="A1:D1"/>
  </mergeCells>
  <pageMargins left="0.75" right="0.75" top="0.588888888888889" bottom="0.588888888888889" header="0.509027777777778" footer="0.509027777777778"/>
  <pageSetup paperSize="9" scale="98" orientation="portrait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38"/>
  <sheetViews>
    <sheetView workbookViewId="0">
      <selection activeCell="E9" sqref="E9"/>
    </sheetView>
  </sheetViews>
  <sheetFormatPr defaultColWidth="9" defaultRowHeight="14.25" outlineLevelCol="4"/>
  <cols>
    <col min="1" max="1" width="33.875" style="195" customWidth="1"/>
    <col min="2" max="3" width="13.0083333333333" style="195" customWidth="1"/>
    <col min="4" max="4" width="13.125" style="127" customWidth="1"/>
    <col min="5" max="5" width="13.125" style="295" customWidth="1"/>
    <col min="6" max="16384" width="9" style="127"/>
  </cols>
  <sheetData>
    <row r="1" ht="28.5" customHeight="1" spans="1:5">
      <c r="A1" s="329" t="s">
        <v>464</v>
      </c>
      <c r="B1" s="329"/>
      <c r="C1" s="329"/>
      <c r="D1" s="329"/>
      <c r="E1" s="329"/>
    </row>
    <row r="2" ht="20.25" customHeight="1" spans="1:5">
      <c r="A2" s="244"/>
      <c r="B2" s="244"/>
      <c r="C2" s="244"/>
      <c r="D2" s="244"/>
      <c r="E2" s="320" t="s">
        <v>35</v>
      </c>
    </row>
    <row r="3" ht="28.5" customHeight="1" spans="1:5">
      <c r="A3" s="321" t="s">
        <v>440</v>
      </c>
      <c r="B3" s="322">
        <v>43435</v>
      </c>
      <c r="C3" s="323" t="s">
        <v>75</v>
      </c>
      <c r="D3" s="240" t="s">
        <v>3</v>
      </c>
      <c r="E3" s="240" t="s">
        <v>5</v>
      </c>
    </row>
    <row r="4" ht="18" customHeight="1" spans="1:5">
      <c r="A4" s="247" t="s">
        <v>465</v>
      </c>
      <c r="B4" s="330"/>
      <c r="C4" s="331"/>
      <c r="D4" s="330"/>
      <c r="E4" s="242"/>
    </row>
    <row r="5" ht="18" customHeight="1" spans="1:5">
      <c r="A5" s="243" t="s">
        <v>443</v>
      </c>
      <c r="B5" s="325">
        <v>74.3532</v>
      </c>
      <c r="C5" s="234">
        <v>6.2</v>
      </c>
      <c r="D5" s="325">
        <v>769.9671</v>
      </c>
      <c r="E5" s="234">
        <v>5</v>
      </c>
    </row>
    <row r="6" ht="18" customHeight="1" spans="1:5">
      <c r="A6" s="243" t="s">
        <v>444</v>
      </c>
      <c r="B6" s="325">
        <v>3.1586</v>
      </c>
      <c r="C6" s="234">
        <v>27.5</v>
      </c>
      <c r="D6" s="325">
        <v>36.509</v>
      </c>
      <c r="E6" s="234">
        <v>4.2</v>
      </c>
    </row>
    <row r="7" ht="18" customHeight="1" spans="1:5">
      <c r="A7" s="245" t="s">
        <v>445</v>
      </c>
      <c r="B7" s="325">
        <v>15.5549</v>
      </c>
      <c r="C7" s="234">
        <v>-3.4</v>
      </c>
      <c r="D7" s="325">
        <v>194.7234</v>
      </c>
      <c r="E7" s="234">
        <v>1.2</v>
      </c>
    </row>
    <row r="8" ht="18" customHeight="1" spans="1:5">
      <c r="A8" s="246" t="s">
        <v>446</v>
      </c>
      <c r="B8" s="325">
        <v>19.6586</v>
      </c>
      <c r="C8" s="234">
        <v>30.9</v>
      </c>
      <c r="D8" s="325">
        <v>211.5976</v>
      </c>
      <c r="E8" s="234">
        <v>6</v>
      </c>
    </row>
    <row r="9" ht="18" customHeight="1" spans="1:5">
      <c r="A9" s="245" t="s">
        <v>447</v>
      </c>
      <c r="B9" s="325">
        <v>5.1611</v>
      </c>
      <c r="C9" s="234">
        <v>6.7</v>
      </c>
      <c r="D9" s="325">
        <v>55.0794</v>
      </c>
      <c r="E9" s="234">
        <v>8.5</v>
      </c>
    </row>
    <row r="10" ht="18" customHeight="1" spans="1:5">
      <c r="A10" s="245" t="s">
        <v>449</v>
      </c>
      <c r="B10" s="325">
        <v>8.1811</v>
      </c>
      <c r="C10" s="234">
        <v>12.8</v>
      </c>
      <c r="D10" s="325">
        <v>38.1177</v>
      </c>
      <c r="E10" s="234">
        <v>8</v>
      </c>
    </row>
    <row r="11" ht="18" customHeight="1" spans="1:5">
      <c r="A11" s="245" t="s">
        <v>450</v>
      </c>
      <c r="B11" s="325">
        <v>1.0878</v>
      </c>
      <c r="C11" s="234">
        <v>12.7</v>
      </c>
      <c r="D11" s="325">
        <v>9.8051</v>
      </c>
      <c r="E11" s="234">
        <v>19.1</v>
      </c>
    </row>
    <row r="12" ht="18" customHeight="1" spans="1:5">
      <c r="A12" s="245" t="s">
        <v>451</v>
      </c>
      <c r="B12" s="325">
        <v>0.7402</v>
      </c>
      <c r="C12" s="234">
        <v>1</v>
      </c>
      <c r="D12" s="325">
        <v>7.0682</v>
      </c>
      <c r="E12" s="234">
        <v>0.3</v>
      </c>
    </row>
    <row r="13" ht="18" customHeight="1" spans="1:5">
      <c r="A13" s="245" t="s">
        <v>462</v>
      </c>
      <c r="B13" s="325">
        <v>0.034</v>
      </c>
      <c r="C13" s="234">
        <v>9.6</v>
      </c>
      <c r="D13" s="325">
        <v>0.3476</v>
      </c>
      <c r="E13" s="234">
        <v>36.7</v>
      </c>
    </row>
    <row r="14" ht="18" customHeight="1" spans="1:5">
      <c r="A14" s="245" t="s">
        <v>452</v>
      </c>
      <c r="B14" s="325">
        <v>3.1862</v>
      </c>
      <c r="C14" s="234">
        <v>-7.8</v>
      </c>
      <c r="D14" s="325">
        <v>30.5964</v>
      </c>
      <c r="E14" s="234">
        <v>10.5</v>
      </c>
    </row>
    <row r="15" ht="18" customHeight="1" spans="1:5">
      <c r="A15" s="245" t="s">
        <v>453</v>
      </c>
      <c r="B15" s="325">
        <v>11.0176</v>
      </c>
      <c r="C15" s="234">
        <v>-18.1</v>
      </c>
      <c r="D15" s="325">
        <v>103.6037</v>
      </c>
      <c r="E15" s="234">
        <v>10.5</v>
      </c>
    </row>
    <row r="16" ht="18" customHeight="1" spans="1:5">
      <c r="A16" s="245" t="s">
        <v>463</v>
      </c>
      <c r="B16" s="325">
        <v>14.1787</v>
      </c>
      <c r="C16" s="234">
        <v>11.3</v>
      </c>
      <c r="D16" s="325">
        <v>159.1825</v>
      </c>
      <c r="E16" s="234">
        <v>10</v>
      </c>
    </row>
    <row r="17" ht="18" customHeight="1" spans="1:5">
      <c r="A17" s="324" t="s">
        <v>466</v>
      </c>
      <c r="B17" s="325"/>
      <c r="C17" s="332"/>
      <c r="D17" s="325"/>
      <c r="E17" s="234"/>
    </row>
    <row r="18" ht="18" customHeight="1" spans="1:5">
      <c r="A18" s="243" t="s">
        <v>444</v>
      </c>
      <c r="B18" s="325">
        <v>0.6681</v>
      </c>
      <c r="C18" s="234">
        <v>14.8</v>
      </c>
      <c r="D18" s="325">
        <v>7.2806</v>
      </c>
      <c r="E18" s="234">
        <v>1.3</v>
      </c>
    </row>
    <row r="19" ht="18" customHeight="1" spans="1:5">
      <c r="A19" s="245" t="s">
        <v>445</v>
      </c>
      <c r="B19" s="325">
        <v>1.0679</v>
      </c>
      <c r="C19" s="234">
        <v>7.4</v>
      </c>
      <c r="D19" s="325">
        <v>10.6835</v>
      </c>
      <c r="E19" s="234">
        <v>0.1</v>
      </c>
    </row>
    <row r="20" ht="18" customHeight="1" spans="1:5">
      <c r="A20" s="246" t="s">
        <v>446</v>
      </c>
      <c r="B20" s="325">
        <v>0.8861</v>
      </c>
      <c r="C20" s="234">
        <v>36.8</v>
      </c>
      <c r="D20" s="325">
        <v>8.4609</v>
      </c>
      <c r="E20" s="234">
        <v>4</v>
      </c>
    </row>
    <row r="21" ht="18" customHeight="1" spans="1:5">
      <c r="A21" s="245" t="s">
        <v>447</v>
      </c>
      <c r="B21" s="325">
        <v>5.055</v>
      </c>
      <c r="C21" s="234">
        <v>6.8</v>
      </c>
      <c r="D21" s="325">
        <v>54.0185</v>
      </c>
      <c r="E21" s="234">
        <v>8.9</v>
      </c>
    </row>
    <row r="22" ht="18" customHeight="1" spans="1:5">
      <c r="A22" s="326" t="s">
        <v>448</v>
      </c>
      <c r="B22" s="327">
        <v>9.0786</v>
      </c>
      <c r="C22" s="328">
        <v>8.7</v>
      </c>
      <c r="D22" s="327">
        <v>106.4925</v>
      </c>
      <c r="E22" s="328">
        <v>9.6</v>
      </c>
    </row>
    <row r="28" spans="1:5">
      <c r="A28" s="263"/>
      <c r="B28" s="263"/>
      <c r="C28" s="263"/>
    </row>
    <row r="29" spans="1:5">
      <c r="A29" s="263"/>
      <c r="B29" s="263"/>
      <c r="C29" s="263"/>
    </row>
    <row r="30" spans="1:5">
      <c r="A30" s="263"/>
      <c r="B30" s="263"/>
      <c r="C30" s="263"/>
    </row>
    <row r="31" spans="1:5">
      <c r="A31" s="264"/>
      <c r="B31" s="264"/>
      <c r="C31" s="264"/>
    </row>
    <row r="32" spans="1:5">
      <c r="A32" s="265"/>
      <c r="B32" s="265"/>
      <c r="C32" s="265"/>
    </row>
    <row r="33" spans="1:3">
      <c r="A33" s="265"/>
      <c r="B33" s="265"/>
      <c r="C33" s="265"/>
    </row>
    <row r="34" spans="1:3">
      <c r="A34" s="265"/>
      <c r="B34" s="265"/>
      <c r="C34" s="265"/>
    </row>
    <row r="35" spans="1:3">
      <c r="A35" s="265"/>
      <c r="B35" s="265"/>
      <c r="C35" s="265"/>
    </row>
    <row r="36" spans="1:3">
      <c r="A36" s="266"/>
      <c r="B36" s="266"/>
      <c r="C36" s="266"/>
    </row>
    <row r="37" spans="1:3">
      <c r="A37" s="258"/>
      <c r="B37" s="258"/>
      <c r="C37" s="258"/>
    </row>
    <row r="38" spans="1:3">
      <c r="A38" s="263"/>
      <c r="B38" s="263"/>
      <c r="C38" s="263"/>
    </row>
  </sheetData>
  <mergeCells count="1">
    <mergeCell ref="A1:E1"/>
  </mergeCells>
  <pageMargins left="0.75" right="0.75" top="0.588888888888889" bottom="0.588888888888889" header="0.509027777777778" footer="0.509027777777778"/>
  <pageSetup paperSize="9" scale="95" orientation="portrait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38"/>
  <sheetViews>
    <sheetView workbookViewId="0">
      <selection activeCell="F12" sqref="F12"/>
    </sheetView>
  </sheetViews>
  <sheetFormatPr defaultColWidth="9" defaultRowHeight="14.25" outlineLevelCol="4"/>
  <cols>
    <col min="1" max="1" width="33.875" style="297" customWidth="1"/>
    <col min="2" max="2" width="13" style="297" customWidth="1"/>
    <col min="3" max="3" width="13.0083333333333" style="297" customWidth="1"/>
    <col min="4" max="4" width="13.125" style="298" customWidth="1"/>
    <col min="5" max="5" width="13.125" style="299" customWidth="1"/>
    <col min="6" max="16384" width="9" style="298"/>
  </cols>
  <sheetData>
    <row r="1" ht="28.5" customHeight="1" spans="1:5">
      <c r="A1" s="197" t="s">
        <v>467</v>
      </c>
      <c r="B1" s="197"/>
      <c r="C1" s="197"/>
      <c r="D1" s="197"/>
      <c r="E1" s="197"/>
    </row>
    <row r="2" ht="20.25" customHeight="1" spans="1:5">
      <c r="A2" s="244"/>
      <c r="B2" s="244"/>
      <c r="C2" s="244"/>
      <c r="D2" s="244"/>
      <c r="E2" s="320" t="s">
        <v>35</v>
      </c>
    </row>
    <row r="3" ht="28.5" customHeight="1" spans="1:5">
      <c r="A3" s="321" t="s">
        <v>440</v>
      </c>
      <c r="B3" s="322">
        <v>43435</v>
      </c>
      <c r="C3" s="323" t="s">
        <v>75</v>
      </c>
      <c r="D3" s="240" t="s">
        <v>3</v>
      </c>
      <c r="E3" s="240" t="s">
        <v>5</v>
      </c>
    </row>
    <row r="4" ht="18" customHeight="1" spans="1:5">
      <c r="A4" s="324" t="s">
        <v>468</v>
      </c>
      <c r="B4" s="241"/>
      <c r="C4" s="241"/>
      <c r="D4" s="241"/>
      <c r="E4" s="216"/>
    </row>
    <row r="5" ht="18" customHeight="1" spans="1:5">
      <c r="A5" s="243" t="s">
        <v>443</v>
      </c>
      <c r="B5" s="325">
        <v>236.9853</v>
      </c>
      <c r="C5" s="234">
        <v>0.7</v>
      </c>
      <c r="D5" s="325">
        <v>2372.8477</v>
      </c>
      <c r="E5" s="234">
        <v>5.1</v>
      </c>
    </row>
    <row r="6" ht="18" customHeight="1" spans="1:5">
      <c r="A6" s="243" t="s">
        <v>444</v>
      </c>
      <c r="B6" s="325">
        <v>8.6675</v>
      </c>
      <c r="C6" s="234">
        <v>11.2</v>
      </c>
      <c r="D6" s="325">
        <v>96.6237</v>
      </c>
      <c r="E6" s="234">
        <v>3.4</v>
      </c>
    </row>
    <row r="7" ht="18" customHeight="1" spans="1:5">
      <c r="A7" s="245" t="s">
        <v>445</v>
      </c>
      <c r="B7" s="325">
        <v>49.5238</v>
      </c>
      <c r="C7" s="234">
        <v>0.8</v>
      </c>
      <c r="D7" s="325">
        <v>587.6037</v>
      </c>
      <c r="E7" s="234">
        <v>0.8</v>
      </c>
    </row>
    <row r="8" ht="18" customHeight="1" spans="1:5">
      <c r="A8" s="246" t="s">
        <v>446</v>
      </c>
      <c r="B8" s="325">
        <v>27.5695</v>
      </c>
      <c r="C8" s="234">
        <v>33.3</v>
      </c>
      <c r="D8" s="325">
        <v>284.6814</v>
      </c>
      <c r="E8" s="234">
        <v>6.1</v>
      </c>
    </row>
    <row r="9" ht="18" customHeight="1" spans="1:5">
      <c r="A9" s="245" t="s">
        <v>447</v>
      </c>
      <c r="B9" s="325">
        <v>18.5029</v>
      </c>
      <c r="C9" s="234">
        <v>0.1</v>
      </c>
      <c r="D9" s="325">
        <v>202.1378</v>
      </c>
      <c r="E9" s="234">
        <v>5.1</v>
      </c>
    </row>
    <row r="10" ht="18" customHeight="1" spans="1:5">
      <c r="A10" s="245" t="s">
        <v>449</v>
      </c>
      <c r="B10" s="325">
        <v>34.6968</v>
      </c>
      <c r="C10" s="234">
        <v>13.3</v>
      </c>
      <c r="D10" s="325">
        <v>165.3466</v>
      </c>
      <c r="E10" s="234">
        <v>9.1</v>
      </c>
    </row>
    <row r="11" ht="18" customHeight="1" spans="1:5">
      <c r="A11" s="245" t="s">
        <v>450</v>
      </c>
      <c r="B11" s="325">
        <v>2.5305</v>
      </c>
      <c r="C11" s="234">
        <v>18.9</v>
      </c>
      <c r="D11" s="325">
        <v>22.1515</v>
      </c>
      <c r="E11" s="234">
        <v>20.4</v>
      </c>
    </row>
    <row r="12" ht="18" customHeight="1" spans="1:5">
      <c r="A12" s="245" t="s">
        <v>451</v>
      </c>
      <c r="B12" s="325">
        <v>5.4904</v>
      </c>
      <c r="C12" s="234">
        <v>5.2</v>
      </c>
      <c r="D12" s="325">
        <v>48.8534</v>
      </c>
      <c r="E12" s="234">
        <v>1</v>
      </c>
    </row>
    <row r="13" ht="18" customHeight="1" spans="1:5">
      <c r="A13" s="245" t="s">
        <v>462</v>
      </c>
      <c r="B13" s="325">
        <v>0.1473</v>
      </c>
      <c r="C13" s="234">
        <v>21.1</v>
      </c>
      <c r="D13" s="325">
        <v>1.5009</v>
      </c>
      <c r="E13" s="234">
        <v>38.6</v>
      </c>
    </row>
    <row r="14" ht="18" customHeight="1" spans="1:5">
      <c r="A14" s="245" t="s">
        <v>452</v>
      </c>
      <c r="B14" s="325">
        <v>14.4775</v>
      </c>
      <c r="C14" s="234">
        <v>-11.2</v>
      </c>
      <c r="D14" s="325">
        <v>139.9224</v>
      </c>
      <c r="E14" s="234">
        <v>10.6</v>
      </c>
    </row>
    <row r="15" ht="18" customHeight="1" spans="1:5">
      <c r="A15" s="245" t="s">
        <v>453</v>
      </c>
      <c r="B15" s="325">
        <v>39.989</v>
      </c>
      <c r="C15" s="234">
        <v>-17.7</v>
      </c>
      <c r="D15" s="325">
        <v>375.4439</v>
      </c>
      <c r="E15" s="234">
        <v>10.7</v>
      </c>
    </row>
    <row r="16" ht="18" customHeight="1" spans="1:5">
      <c r="A16" s="245" t="s">
        <v>463</v>
      </c>
      <c r="B16" s="325">
        <v>59.8652</v>
      </c>
      <c r="C16" s="234">
        <v>4.6</v>
      </c>
      <c r="D16" s="325">
        <v>696.8025</v>
      </c>
      <c r="E16" s="234">
        <v>6.5</v>
      </c>
    </row>
    <row r="17" ht="18" customHeight="1" spans="1:5">
      <c r="A17" s="324" t="s">
        <v>469</v>
      </c>
      <c r="B17" s="325"/>
      <c r="C17" s="234"/>
      <c r="D17" s="325"/>
      <c r="E17" s="234"/>
    </row>
    <row r="18" ht="18" customHeight="1" spans="1:5">
      <c r="A18" s="243" t="s">
        <v>444</v>
      </c>
      <c r="B18" s="325">
        <v>1.9383</v>
      </c>
      <c r="C18" s="234">
        <v>-10.9</v>
      </c>
      <c r="D18" s="325">
        <v>23.541</v>
      </c>
      <c r="E18" s="234">
        <v>-0.9</v>
      </c>
    </row>
    <row r="19" ht="18" customHeight="1" spans="1:5">
      <c r="A19" s="245" t="s">
        <v>445</v>
      </c>
      <c r="B19" s="325">
        <v>11.8506</v>
      </c>
      <c r="C19" s="234">
        <v>10.4</v>
      </c>
      <c r="D19" s="325">
        <v>120.3598</v>
      </c>
      <c r="E19" s="234">
        <v>-4.5</v>
      </c>
    </row>
    <row r="20" ht="18" customHeight="1" spans="1:5">
      <c r="A20" s="246" t="s">
        <v>446</v>
      </c>
      <c r="B20" s="325">
        <v>4.479</v>
      </c>
      <c r="C20" s="234">
        <v>25.6</v>
      </c>
      <c r="D20" s="325">
        <v>49.4402</v>
      </c>
      <c r="E20" s="234">
        <v>8.5</v>
      </c>
    </row>
    <row r="21" ht="18" customHeight="1" spans="1:5">
      <c r="A21" s="312" t="s">
        <v>447</v>
      </c>
      <c r="B21" s="325">
        <v>17.9837</v>
      </c>
      <c r="C21" s="234">
        <v>0.1</v>
      </c>
      <c r="D21" s="325">
        <v>196.8777</v>
      </c>
      <c r="E21" s="234">
        <v>5</v>
      </c>
    </row>
    <row r="22" ht="18" customHeight="1" spans="1:5">
      <c r="A22" s="326" t="s">
        <v>448</v>
      </c>
      <c r="B22" s="327">
        <v>42.9544</v>
      </c>
      <c r="C22" s="328">
        <v>1.2</v>
      </c>
      <c r="D22" s="327">
        <v>520.7253</v>
      </c>
      <c r="E22" s="328">
        <v>7.2</v>
      </c>
    </row>
    <row r="28" spans="1:5">
      <c r="A28" s="304"/>
      <c r="B28" s="304"/>
      <c r="C28" s="304"/>
    </row>
    <row r="29" spans="1:5">
      <c r="A29" s="304"/>
      <c r="B29" s="304"/>
      <c r="C29" s="304"/>
    </row>
    <row r="30" spans="1:5">
      <c r="A30" s="304"/>
      <c r="B30" s="304"/>
      <c r="C30" s="304"/>
    </row>
    <row r="31" spans="1:5">
      <c r="A31" s="305"/>
      <c r="B31" s="305"/>
      <c r="C31" s="305"/>
    </row>
    <row r="32" spans="1:5">
      <c r="A32" s="266"/>
      <c r="B32" s="266"/>
      <c r="C32" s="266"/>
    </row>
    <row r="33" spans="1:3">
      <c r="A33" s="266"/>
      <c r="B33" s="266"/>
      <c r="C33" s="266"/>
    </row>
    <row r="34" spans="1:3">
      <c r="A34" s="266"/>
      <c r="B34" s="266"/>
      <c r="C34" s="266"/>
    </row>
    <row r="35" spans="1:3">
      <c r="A35" s="266"/>
      <c r="B35" s="266"/>
      <c r="C35" s="266"/>
    </row>
    <row r="36" spans="1:3">
      <c r="A36" s="266"/>
      <c r="B36" s="266"/>
      <c r="C36" s="266"/>
    </row>
    <row r="37" spans="1:3">
      <c r="A37" s="306"/>
      <c r="B37" s="306"/>
      <c r="C37" s="306"/>
    </row>
    <row r="38" spans="1:3">
      <c r="A38" s="304"/>
      <c r="B38" s="304"/>
      <c r="C38" s="304"/>
    </row>
  </sheetData>
  <mergeCells count="1">
    <mergeCell ref="A1:E1"/>
  </mergeCells>
  <pageMargins left="0.75" right="0.75" top="0.588888888888889" bottom="0.588888888888889" header="0.509027777777778" footer="0.509027777777778"/>
  <pageSetup paperSize="9" scale="95" orientation="portrait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42"/>
  <sheetViews>
    <sheetView workbookViewId="0">
      <selection activeCell="E9" sqref="E9"/>
    </sheetView>
  </sheetViews>
  <sheetFormatPr defaultColWidth="9" defaultRowHeight="14.25" outlineLevelCol="3"/>
  <cols>
    <col min="1" max="1" width="42.125" style="45" customWidth="1"/>
    <col min="2" max="2" width="10.875" customWidth="1"/>
    <col min="3" max="3" width="13.125" style="316" customWidth="1"/>
    <col min="4" max="4" width="13.125" customWidth="1"/>
  </cols>
  <sheetData>
    <row r="1" ht="28.5" customHeight="1" spans="1:4">
      <c r="A1" s="197" t="s">
        <v>470</v>
      </c>
      <c r="B1" s="197"/>
      <c r="C1" s="197"/>
      <c r="D1" s="197"/>
    </row>
    <row r="2" ht="28.5" customHeight="1" spans="1:4">
      <c r="A2" s="284" t="s">
        <v>440</v>
      </c>
      <c r="B2" s="240" t="s">
        <v>3</v>
      </c>
      <c r="C2" s="239" t="s">
        <v>5</v>
      </c>
      <c r="D2" s="240" t="s">
        <v>441</v>
      </c>
    </row>
    <row r="3" ht="18" customHeight="1" spans="1:4">
      <c r="A3" s="232" t="s">
        <v>471</v>
      </c>
      <c r="B3" s="242"/>
      <c r="C3" s="317"/>
      <c r="D3" s="242"/>
    </row>
    <row r="4" ht="18" customHeight="1" spans="1:4">
      <c r="A4" s="225" t="s">
        <v>443</v>
      </c>
      <c r="B4" s="301">
        <v>98.6</v>
      </c>
      <c r="C4" s="231">
        <v>0.2</v>
      </c>
      <c r="D4" s="250" t="s">
        <v>8</v>
      </c>
    </row>
    <row r="5" ht="18" customHeight="1" spans="1:4">
      <c r="A5" s="225" t="s">
        <v>444</v>
      </c>
      <c r="B5" s="301">
        <v>102.4</v>
      </c>
      <c r="C5" s="231">
        <v>0.4</v>
      </c>
      <c r="D5" s="224">
        <v>4</v>
      </c>
    </row>
    <row r="6" ht="18" customHeight="1" spans="1:4">
      <c r="A6" s="210" t="s">
        <v>445</v>
      </c>
      <c r="B6" s="301">
        <v>102.9</v>
      </c>
      <c r="C6" s="231">
        <v>1.9</v>
      </c>
      <c r="D6" s="224">
        <v>3</v>
      </c>
    </row>
    <row r="7" ht="18" customHeight="1" spans="1:4">
      <c r="A7" s="229" t="s">
        <v>446</v>
      </c>
      <c r="B7" s="301">
        <v>98.2</v>
      </c>
      <c r="C7" s="231">
        <v>-2</v>
      </c>
      <c r="D7" s="224">
        <v>9</v>
      </c>
    </row>
    <row r="8" ht="18" customHeight="1" spans="1:4">
      <c r="A8" s="210" t="s">
        <v>447</v>
      </c>
      <c r="B8" s="301">
        <v>90.1</v>
      </c>
      <c r="C8" s="231">
        <v>3.7</v>
      </c>
      <c r="D8" s="224">
        <v>1</v>
      </c>
    </row>
    <row r="9" ht="18" customHeight="1" spans="1:4">
      <c r="A9" s="210" t="s">
        <v>449</v>
      </c>
      <c r="B9" s="301">
        <v>97.1</v>
      </c>
      <c r="C9" s="231">
        <v>-1.1</v>
      </c>
      <c r="D9" s="224">
        <v>8</v>
      </c>
    </row>
    <row r="10" ht="18" customHeight="1" spans="1:4">
      <c r="A10" s="210" t="s">
        <v>450</v>
      </c>
      <c r="B10" s="301">
        <v>96</v>
      </c>
      <c r="C10" s="231">
        <v>-1.1</v>
      </c>
      <c r="D10" s="224">
        <v>7</v>
      </c>
    </row>
    <row r="11" ht="18" customHeight="1" spans="1:4">
      <c r="A11" s="210" t="s">
        <v>451</v>
      </c>
      <c r="B11" s="301">
        <v>89.8</v>
      </c>
      <c r="C11" s="231">
        <v>-2.6</v>
      </c>
      <c r="D11" s="224">
        <v>10</v>
      </c>
    </row>
    <row r="12" ht="18" customHeight="1" spans="1:4">
      <c r="A12" s="210" t="s">
        <v>452</v>
      </c>
      <c r="B12" s="301">
        <v>100.1</v>
      </c>
      <c r="C12" s="231">
        <v>2.3</v>
      </c>
      <c r="D12" s="224">
        <v>2</v>
      </c>
    </row>
    <row r="13" ht="18" customHeight="1" spans="1:4">
      <c r="A13" s="210" t="s">
        <v>453</v>
      </c>
      <c r="B13" s="301">
        <v>96.6</v>
      </c>
      <c r="C13" s="231">
        <v>-0.9</v>
      </c>
      <c r="D13" s="224">
        <v>6</v>
      </c>
    </row>
    <row r="14" ht="18" customHeight="1" spans="1:4">
      <c r="A14" s="210" t="s">
        <v>463</v>
      </c>
      <c r="B14" s="301">
        <v>96.5</v>
      </c>
      <c r="C14" s="231">
        <v>0.3</v>
      </c>
      <c r="D14" s="224">
        <v>5</v>
      </c>
    </row>
    <row r="15" ht="18" customHeight="1" spans="1:4">
      <c r="A15" s="221" t="s">
        <v>472</v>
      </c>
      <c r="B15" s="300"/>
      <c r="C15" s="231"/>
      <c r="D15" s="224"/>
    </row>
    <row r="16" ht="18" customHeight="1" spans="1:4">
      <c r="A16" s="225" t="s">
        <v>443</v>
      </c>
      <c r="B16" s="302">
        <v>202.7958</v>
      </c>
      <c r="C16" s="231">
        <v>-20.4</v>
      </c>
      <c r="D16" s="250" t="s">
        <v>8</v>
      </c>
    </row>
    <row r="17" ht="18" customHeight="1" spans="1:4">
      <c r="A17" s="225" t="s">
        <v>444</v>
      </c>
      <c r="B17" s="302">
        <v>6.4311</v>
      </c>
      <c r="C17" s="231">
        <v>-1.6</v>
      </c>
      <c r="D17" s="224">
        <v>4</v>
      </c>
    </row>
    <row r="18" ht="18" customHeight="1" spans="1:4">
      <c r="A18" s="210" t="s">
        <v>445</v>
      </c>
      <c r="B18" s="302">
        <v>37.8328</v>
      </c>
      <c r="C18" s="231">
        <v>-8</v>
      </c>
      <c r="D18" s="224">
        <v>5</v>
      </c>
    </row>
    <row r="19" ht="18" customHeight="1" spans="1:4">
      <c r="A19" s="229" t="s">
        <v>446</v>
      </c>
      <c r="B19" s="302">
        <v>19.2199</v>
      </c>
      <c r="C19" s="231">
        <v>26.3</v>
      </c>
      <c r="D19" s="224">
        <v>2</v>
      </c>
    </row>
    <row r="20" ht="18" customHeight="1" spans="1:4">
      <c r="A20" s="210" t="s">
        <v>447</v>
      </c>
      <c r="B20" s="302">
        <v>12.8951</v>
      </c>
      <c r="C20" s="231">
        <v>-13.3</v>
      </c>
      <c r="D20" s="224">
        <v>6</v>
      </c>
    </row>
    <row r="21" ht="18" customHeight="1" spans="1:4">
      <c r="A21" s="210" t="s">
        <v>449</v>
      </c>
      <c r="B21" s="302">
        <v>5.688</v>
      </c>
      <c r="C21" s="231">
        <v>-26.4</v>
      </c>
      <c r="D21" s="224">
        <v>9</v>
      </c>
    </row>
    <row r="22" ht="18" customHeight="1" spans="1:4">
      <c r="A22" s="210" t="s">
        <v>450</v>
      </c>
      <c r="B22" s="302">
        <v>0.7358</v>
      </c>
      <c r="C22" s="231">
        <v>100.9</v>
      </c>
      <c r="D22" s="224">
        <v>1</v>
      </c>
    </row>
    <row r="23" ht="18" customHeight="1" spans="1:4">
      <c r="A23" s="210" t="s">
        <v>451</v>
      </c>
      <c r="B23" s="302">
        <v>6.0787</v>
      </c>
      <c r="C23" s="231">
        <v>-18.7</v>
      </c>
      <c r="D23" s="224">
        <v>8</v>
      </c>
    </row>
    <row r="24" ht="18" customHeight="1" spans="1:4">
      <c r="A24" s="210" t="s">
        <v>452</v>
      </c>
      <c r="B24" s="302">
        <v>17.2194</v>
      </c>
      <c r="C24" s="231">
        <v>11.9</v>
      </c>
      <c r="D24" s="224">
        <v>3</v>
      </c>
    </row>
    <row r="25" ht="18" customHeight="1" spans="1:4">
      <c r="A25" s="210" t="s">
        <v>453</v>
      </c>
      <c r="B25" s="302">
        <v>80.3551</v>
      </c>
      <c r="C25" s="231">
        <v>-36.3</v>
      </c>
      <c r="D25" s="224">
        <v>10</v>
      </c>
    </row>
    <row r="26" ht="18" customHeight="1" spans="1:4">
      <c r="A26" s="217" t="s">
        <v>463</v>
      </c>
      <c r="B26" s="318">
        <v>40.2698</v>
      </c>
      <c r="C26" s="236">
        <v>-13.6</v>
      </c>
      <c r="D26" s="237">
        <v>7</v>
      </c>
    </row>
    <row r="32" spans="1:4">
      <c r="A32" s="319"/>
    </row>
    <row r="33" spans="1:1">
      <c r="A33" s="319"/>
    </row>
    <row r="34" spans="1:1">
      <c r="A34" s="319"/>
    </row>
    <row r="35" spans="1:1">
      <c r="A35" s="264"/>
    </row>
    <row r="36" spans="1:1">
      <c r="A36" s="265"/>
    </row>
    <row r="37" spans="1:1">
      <c r="A37" s="265"/>
    </row>
    <row r="38" spans="1:1">
      <c r="A38" s="265"/>
    </row>
    <row r="39" spans="1:1">
      <c r="A39" s="265"/>
    </row>
    <row r="40" spans="1:1">
      <c r="A40" s="266"/>
    </row>
    <row r="41" spans="1:1">
      <c r="A41" s="52"/>
    </row>
    <row r="42" spans="1:1">
      <c r="A42" s="319"/>
    </row>
  </sheetData>
  <mergeCells count="1">
    <mergeCell ref="A1:D1"/>
  </mergeCells>
  <printOptions horizontalCentered="1"/>
  <pageMargins left="0.75" right="0.75" top="0.388888888888889" bottom="0.388888888888889" header="0.509027777777778" footer="0.509027777777778"/>
  <pageSetup paperSize="9" orientation="portrait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43"/>
  <sheetViews>
    <sheetView workbookViewId="0">
      <selection activeCell="E19" sqref="E19"/>
    </sheetView>
  </sheetViews>
  <sheetFormatPr defaultColWidth="9" defaultRowHeight="14.25" outlineLevelCol="3"/>
  <cols>
    <col min="1" max="1" width="44.375" style="307" customWidth="1"/>
    <col min="2" max="2" width="11.25" style="308" customWidth="1"/>
    <col min="3" max="3" width="13.125" style="309" customWidth="1"/>
    <col min="4" max="4" width="13.125" style="308" customWidth="1"/>
    <col min="5" max="16384" width="9" style="308"/>
  </cols>
  <sheetData>
    <row r="1" ht="28.5" customHeight="1" spans="1:4">
      <c r="A1" s="197" t="s">
        <v>473</v>
      </c>
      <c r="B1" s="197"/>
      <c r="C1" s="197"/>
      <c r="D1" s="197"/>
    </row>
    <row r="2" ht="28.5" customHeight="1" spans="1:4">
      <c r="A2" s="284" t="s">
        <v>440</v>
      </c>
      <c r="B2" s="240" t="s">
        <v>3</v>
      </c>
      <c r="C2" s="239" t="s">
        <v>5</v>
      </c>
      <c r="D2" s="240" t="s">
        <v>441</v>
      </c>
    </row>
    <row r="3" ht="18" customHeight="1" spans="1:4">
      <c r="A3" s="221" t="s">
        <v>474</v>
      </c>
      <c r="B3" s="300"/>
      <c r="C3" s="310"/>
      <c r="D3" s="311"/>
    </row>
    <row r="4" ht="18" customHeight="1" spans="1:4">
      <c r="A4" s="225" t="s">
        <v>443</v>
      </c>
      <c r="B4" s="300">
        <v>514.77</v>
      </c>
      <c r="C4" s="231">
        <v>89.2</v>
      </c>
      <c r="D4" s="250" t="s">
        <v>8</v>
      </c>
    </row>
    <row r="5" ht="18" customHeight="1" spans="1:4">
      <c r="A5" s="225" t="s">
        <v>444</v>
      </c>
      <c r="B5" s="300">
        <v>500.09</v>
      </c>
      <c r="C5" s="231">
        <v>88.9</v>
      </c>
      <c r="D5" s="224">
        <v>3</v>
      </c>
    </row>
    <row r="6" ht="18" customHeight="1" spans="1:4">
      <c r="A6" s="210" t="s">
        <v>445</v>
      </c>
      <c r="B6" s="300">
        <v>881.57</v>
      </c>
      <c r="C6" s="231">
        <v>68.9</v>
      </c>
      <c r="D6" s="224">
        <v>4</v>
      </c>
    </row>
    <row r="7" ht="18" customHeight="1" spans="1:4">
      <c r="A7" s="229" t="s">
        <v>446</v>
      </c>
      <c r="B7" s="300">
        <v>1785.98</v>
      </c>
      <c r="C7" s="231">
        <v>496.6</v>
      </c>
      <c r="D7" s="224">
        <v>1</v>
      </c>
    </row>
    <row r="8" ht="18" customHeight="1" spans="1:4">
      <c r="A8" s="210" t="s">
        <v>447</v>
      </c>
      <c r="B8" s="300">
        <v>316.44</v>
      </c>
      <c r="C8" s="231">
        <v>64.5</v>
      </c>
      <c r="D8" s="224">
        <v>5</v>
      </c>
    </row>
    <row r="9" ht="18" customHeight="1" spans="1:4">
      <c r="A9" s="210" t="s">
        <v>449</v>
      </c>
      <c r="B9" s="300">
        <v>300.44</v>
      </c>
      <c r="C9" s="231">
        <v>0.5</v>
      </c>
      <c r="D9" s="224">
        <v>9</v>
      </c>
    </row>
    <row r="10" ht="18" customHeight="1" spans="1:4">
      <c r="A10" s="210" t="s">
        <v>450</v>
      </c>
      <c r="B10" s="300">
        <v>328.45</v>
      </c>
      <c r="C10" s="231">
        <v>49.4</v>
      </c>
      <c r="D10" s="224">
        <v>6</v>
      </c>
    </row>
    <row r="11" ht="18" customHeight="1" spans="1:4">
      <c r="A11" s="210" t="s">
        <v>451</v>
      </c>
      <c r="B11" s="300">
        <v>57.15</v>
      </c>
      <c r="C11" s="231">
        <v>-27.8</v>
      </c>
      <c r="D11" s="224">
        <v>10</v>
      </c>
    </row>
    <row r="12" ht="18" customHeight="1" spans="1:4">
      <c r="A12" s="210" t="s">
        <v>452</v>
      </c>
      <c r="B12" s="300">
        <v>195.14</v>
      </c>
      <c r="C12" s="231">
        <v>31.4</v>
      </c>
      <c r="D12" s="224">
        <v>7</v>
      </c>
    </row>
    <row r="13" ht="18" customHeight="1" spans="1:4">
      <c r="A13" s="210" t="s">
        <v>453</v>
      </c>
      <c r="B13" s="300">
        <v>306.04</v>
      </c>
      <c r="C13" s="231">
        <v>1.5</v>
      </c>
      <c r="D13" s="224">
        <v>8</v>
      </c>
    </row>
    <row r="14" ht="18" customHeight="1" spans="1:4">
      <c r="A14" s="312" t="s">
        <v>463</v>
      </c>
      <c r="B14" s="300">
        <v>608.35</v>
      </c>
      <c r="C14" s="231">
        <v>105.5</v>
      </c>
      <c r="D14" s="224">
        <v>2</v>
      </c>
    </row>
    <row r="15" ht="18" customHeight="1" spans="1:4">
      <c r="A15" s="232" t="s">
        <v>475</v>
      </c>
      <c r="B15" s="288"/>
      <c r="C15" s="289"/>
      <c r="D15" s="290"/>
    </row>
    <row r="16" ht="18" customHeight="1" spans="1:4">
      <c r="A16" s="225" t="s">
        <v>443</v>
      </c>
      <c r="B16" s="213">
        <v>891</v>
      </c>
      <c r="C16" s="231">
        <v>1.82857142857142</v>
      </c>
      <c r="D16" s="250" t="s">
        <v>8</v>
      </c>
    </row>
    <row r="17" ht="18" customHeight="1" spans="1:4">
      <c r="A17" s="225" t="s">
        <v>444</v>
      </c>
      <c r="B17" s="213">
        <v>32</v>
      </c>
      <c r="C17" s="231">
        <v>-13.5135135135135</v>
      </c>
      <c r="D17" s="250" t="s">
        <v>8</v>
      </c>
    </row>
    <row r="18" ht="18" customHeight="1" spans="1:4">
      <c r="A18" s="210" t="s">
        <v>445</v>
      </c>
      <c r="B18" s="213">
        <v>59</v>
      </c>
      <c r="C18" s="231">
        <v>-1.66666666666667</v>
      </c>
      <c r="D18" s="250" t="s">
        <v>8</v>
      </c>
    </row>
    <row r="19" ht="18" customHeight="1" spans="1:4">
      <c r="A19" s="229" t="s">
        <v>446</v>
      </c>
      <c r="B19" s="213">
        <v>64</v>
      </c>
      <c r="C19" s="231">
        <v>4.91803278688525</v>
      </c>
      <c r="D19" s="250" t="s">
        <v>8</v>
      </c>
    </row>
    <row r="20" ht="18" customHeight="1" spans="1:4">
      <c r="A20" s="210" t="s">
        <v>447</v>
      </c>
      <c r="B20" s="213">
        <v>69</v>
      </c>
      <c r="C20" s="231">
        <v>1.47058823529411</v>
      </c>
      <c r="D20" s="250" t="s">
        <v>8</v>
      </c>
    </row>
    <row r="21" ht="18" customHeight="1" spans="1:4">
      <c r="A21" s="210" t="s">
        <v>449</v>
      </c>
      <c r="B21" s="213">
        <v>137</v>
      </c>
      <c r="C21" s="231">
        <v>-5.51724137931035</v>
      </c>
      <c r="D21" s="250" t="s">
        <v>8</v>
      </c>
    </row>
    <row r="22" ht="18" customHeight="1" spans="1:4">
      <c r="A22" s="210" t="s">
        <v>450</v>
      </c>
      <c r="B22" s="213">
        <v>29</v>
      </c>
      <c r="C22" s="231">
        <v>-12.1212121212121</v>
      </c>
      <c r="D22" s="250" t="s">
        <v>8</v>
      </c>
    </row>
    <row r="23" ht="18" customHeight="1" spans="1:4">
      <c r="A23" s="210" t="s">
        <v>451</v>
      </c>
      <c r="B23" s="213">
        <v>64</v>
      </c>
      <c r="C23" s="231">
        <v>1.58730158730158</v>
      </c>
      <c r="D23" s="250" t="s">
        <v>8</v>
      </c>
    </row>
    <row r="24" ht="18" customHeight="1" spans="1:4">
      <c r="A24" s="210" t="s">
        <v>452</v>
      </c>
      <c r="B24" s="213">
        <v>130</v>
      </c>
      <c r="C24" s="231">
        <v>8.33333333333333</v>
      </c>
      <c r="D24" s="250" t="s">
        <v>8</v>
      </c>
    </row>
    <row r="25" ht="18" customHeight="1" spans="1:4">
      <c r="A25" s="210" t="s">
        <v>453</v>
      </c>
      <c r="B25" s="213">
        <v>272</v>
      </c>
      <c r="C25" s="231">
        <v>0.369003690036895</v>
      </c>
      <c r="D25" s="250" t="s">
        <v>8</v>
      </c>
    </row>
    <row r="26" ht="18" customHeight="1" spans="1:4">
      <c r="A26" s="210" t="s">
        <v>463</v>
      </c>
      <c r="B26" s="213">
        <v>56</v>
      </c>
      <c r="C26" s="231">
        <v>1.81818181818181</v>
      </c>
      <c r="D26" s="250" t="s">
        <v>8</v>
      </c>
    </row>
    <row r="27" spans="1:4">
      <c r="A27" s="313"/>
      <c r="B27" s="313"/>
      <c r="C27" s="313"/>
      <c r="D27" s="313"/>
    </row>
    <row r="33" spans="1:1">
      <c r="A33" s="314"/>
    </row>
    <row r="34" spans="1:1">
      <c r="A34" s="314"/>
    </row>
    <row r="35" spans="1:1">
      <c r="A35" s="314"/>
    </row>
    <row r="36" spans="1:1">
      <c r="A36" s="305"/>
    </row>
    <row r="37" spans="1:1">
      <c r="A37" s="266"/>
    </row>
    <row r="38" spans="1:1">
      <c r="A38" s="266"/>
    </row>
    <row r="39" spans="1:1">
      <c r="A39" s="266"/>
    </row>
    <row r="40" spans="1:1">
      <c r="A40" s="266"/>
    </row>
    <row r="41" spans="1:1">
      <c r="A41" s="266"/>
    </row>
    <row r="42" spans="1:1">
      <c r="A42" s="315"/>
    </row>
    <row r="43" spans="1:1">
      <c r="A43" s="314"/>
    </row>
  </sheetData>
  <mergeCells count="1">
    <mergeCell ref="A1:D1"/>
  </mergeCells>
  <pageMargins left="0.75" right="0.75" top="0.588888888888889" bottom="0.588888888888889" header="0.509027777777778" footer="0.509027777777778"/>
  <pageSetup paperSize="9" orientation="portrait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43"/>
  <sheetViews>
    <sheetView workbookViewId="0">
      <selection activeCell="E8" sqref="E8"/>
    </sheetView>
  </sheetViews>
  <sheetFormatPr defaultColWidth="9" defaultRowHeight="14.25" outlineLevelCol="3"/>
  <cols>
    <col min="1" max="1" width="43" style="297" customWidth="1"/>
    <col min="2" max="2" width="11.25" style="298" customWidth="1"/>
    <col min="3" max="3" width="13.125" style="299" customWidth="1"/>
    <col min="4" max="4" width="13.125" style="298" customWidth="1"/>
    <col min="5" max="16384" width="9" style="298"/>
  </cols>
  <sheetData>
    <row r="1" ht="28.5" customHeight="1" spans="1:4">
      <c r="A1" s="197" t="s">
        <v>476</v>
      </c>
      <c r="B1" s="197"/>
      <c r="C1" s="197"/>
      <c r="D1" s="197"/>
    </row>
    <row r="2" ht="28.5" customHeight="1" spans="1:4">
      <c r="A2" s="284" t="s">
        <v>440</v>
      </c>
      <c r="B2" s="240" t="s">
        <v>3</v>
      </c>
      <c r="C2" s="239" t="s">
        <v>5</v>
      </c>
      <c r="D2" s="240" t="s">
        <v>441</v>
      </c>
    </row>
    <row r="3" ht="18" customHeight="1" spans="1:4">
      <c r="A3" s="221" t="s">
        <v>477</v>
      </c>
      <c r="B3" s="300"/>
      <c r="C3" s="301"/>
      <c r="D3" s="224"/>
    </row>
    <row r="4" ht="18" customHeight="1" spans="1:4">
      <c r="A4" s="225" t="s">
        <v>443</v>
      </c>
      <c r="B4" s="213">
        <v>132</v>
      </c>
      <c r="C4" s="231">
        <v>5.6</v>
      </c>
      <c r="D4" s="250" t="s">
        <v>8</v>
      </c>
    </row>
    <row r="5" ht="18" customHeight="1" spans="1:4">
      <c r="A5" s="225" t="s">
        <v>444</v>
      </c>
      <c r="B5" s="213">
        <v>6</v>
      </c>
      <c r="C5" s="231">
        <v>-40</v>
      </c>
      <c r="D5" s="224">
        <v>9</v>
      </c>
    </row>
    <row r="6" ht="18" customHeight="1" spans="1:4">
      <c r="A6" s="210" t="s">
        <v>445</v>
      </c>
      <c r="B6" s="213">
        <v>14</v>
      </c>
      <c r="C6" s="231">
        <v>-6.66666666666667</v>
      </c>
      <c r="D6" s="224">
        <v>6</v>
      </c>
    </row>
    <row r="7" ht="18" customHeight="1" spans="1:4">
      <c r="A7" s="229" t="s">
        <v>446</v>
      </c>
      <c r="B7" s="213">
        <v>13</v>
      </c>
      <c r="C7" s="231">
        <v>85.7142857142857</v>
      </c>
      <c r="D7" s="224">
        <v>1</v>
      </c>
    </row>
    <row r="8" ht="18" customHeight="1" spans="1:4">
      <c r="A8" s="210" t="s">
        <v>447</v>
      </c>
      <c r="B8" s="213">
        <v>21</v>
      </c>
      <c r="C8" s="231">
        <v>10.5263157894737</v>
      </c>
      <c r="D8" s="224">
        <v>4</v>
      </c>
    </row>
    <row r="9" ht="18" customHeight="1" spans="1:4">
      <c r="A9" s="210" t="s">
        <v>449</v>
      </c>
      <c r="B9" s="213">
        <v>0</v>
      </c>
      <c r="C9" s="301">
        <v>0</v>
      </c>
      <c r="D9" s="224" t="s">
        <v>8</v>
      </c>
    </row>
    <row r="10" ht="18" customHeight="1" spans="1:4">
      <c r="A10" s="210" t="s">
        <v>450</v>
      </c>
      <c r="B10" s="213">
        <v>7</v>
      </c>
      <c r="C10" s="231">
        <v>-36.3636363636364</v>
      </c>
      <c r="D10" s="224">
        <v>8</v>
      </c>
    </row>
    <row r="11" ht="18" customHeight="1" spans="1:4">
      <c r="A11" s="210" t="s">
        <v>451</v>
      </c>
      <c r="B11" s="213">
        <v>15</v>
      </c>
      <c r="C11" s="231">
        <v>-6.25</v>
      </c>
      <c r="D11" s="224">
        <v>5</v>
      </c>
    </row>
    <row r="12" ht="18" customHeight="1" spans="1:4">
      <c r="A12" s="210" t="s">
        <v>452</v>
      </c>
      <c r="B12" s="213">
        <v>37</v>
      </c>
      <c r="C12" s="231">
        <v>15.625</v>
      </c>
      <c r="D12" s="224">
        <v>3</v>
      </c>
    </row>
    <row r="13" ht="18" customHeight="1" spans="1:4">
      <c r="A13" s="210" t="s">
        <v>453</v>
      </c>
      <c r="B13" s="213">
        <v>14</v>
      </c>
      <c r="C13" s="231">
        <v>40</v>
      </c>
      <c r="D13" s="224">
        <v>2</v>
      </c>
    </row>
    <row r="14" ht="18" customHeight="1" spans="1:4">
      <c r="A14" s="210" t="s">
        <v>463</v>
      </c>
      <c r="B14" s="213">
        <v>12</v>
      </c>
      <c r="C14" s="231">
        <v>-20</v>
      </c>
      <c r="D14" s="224">
        <v>7</v>
      </c>
    </row>
    <row r="15" ht="18" customHeight="1" spans="1:4">
      <c r="A15" s="221" t="s">
        <v>478</v>
      </c>
      <c r="B15" s="213"/>
      <c r="C15" s="231"/>
      <c r="D15" s="224"/>
    </row>
    <row r="16" ht="18" customHeight="1" spans="1:4">
      <c r="A16" s="225" t="s">
        <v>443</v>
      </c>
      <c r="B16" s="302">
        <v>2392.7391</v>
      </c>
      <c r="C16" s="231">
        <v>6.98331128750949</v>
      </c>
      <c r="D16" s="250" t="s">
        <v>8</v>
      </c>
    </row>
    <row r="17" ht="18" customHeight="1" spans="1:4">
      <c r="A17" s="225" t="s">
        <v>444</v>
      </c>
      <c r="B17" s="302">
        <v>75.1869</v>
      </c>
      <c r="C17" s="231">
        <v>6.00654253280783</v>
      </c>
      <c r="D17" s="224">
        <f>RANK(C17,$C$17:$C$26,0)</f>
        <v>7</v>
      </c>
    </row>
    <row r="18" ht="18" customHeight="1" spans="1:4">
      <c r="A18" s="210" t="s">
        <v>445</v>
      </c>
      <c r="B18" s="302">
        <v>613.08973</v>
      </c>
      <c r="C18" s="231">
        <v>8.70023913212106</v>
      </c>
      <c r="D18" s="224">
        <f t="shared" ref="D18:D26" si="0">RANK(C18,$C$17:$C$26,0)</f>
        <v>6</v>
      </c>
    </row>
    <row r="19" ht="18" customHeight="1" spans="1:4">
      <c r="A19" s="229" t="s">
        <v>446</v>
      </c>
      <c r="B19" s="302">
        <v>274.30816</v>
      </c>
      <c r="C19" s="231">
        <v>23.1758228005721</v>
      </c>
      <c r="D19" s="224">
        <f t="shared" si="0"/>
        <v>2</v>
      </c>
    </row>
    <row r="20" ht="18" customHeight="1" spans="1:4">
      <c r="A20" s="210" t="s">
        <v>447</v>
      </c>
      <c r="B20" s="302">
        <v>204.29523</v>
      </c>
      <c r="C20" s="231">
        <v>18.1957013597567</v>
      </c>
      <c r="D20" s="224">
        <f t="shared" si="0"/>
        <v>5</v>
      </c>
    </row>
    <row r="21" ht="18" customHeight="1" spans="1:4">
      <c r="A21" s="210" t="s">
        <v>449</v>
      </c>
      <c r="B21" s="302">
        <v>135.7597</v>
      </c>
      <c r="C21" s="231">
        <v>-26.6540425187066</v>
      </c>
      <c r="D21" s="224">
        <f t="shared" si="0"/>
        <v>10</v>
      </c>
    </row>
    <row r="22" ht="18" customHeight="1" spans="1:4">
      <c r="A22" s="210" t="s">
        <v>450</v>
      </c>
      <c r="B22" s="302">
        <v>26.2668</v>
      </c>
      <c r="C22" s="231">
        <v>30.9170292618012</v>
      </c>
      <c r="D22" s="224">
        <f t="shared" si="0"/>
        <v>1</v>
      </c>
    </row>
    <row r="23" ht="18" customHeight="1" spans="1:4">
      <c r="A23" s="210" t="s">
        <v>451</v>
      </c>
      <c r="B23" s="302">
        <v>62.217</v>
      </c>
      <c r="C23" s="231">
        <v>-6.24039301968112</v>
      </c>
      <c r="D23" s="224">
        <f t="shared" si="0"/>
        <v>8</v>
      </c>
    </row>
    <row r="24" ht="18" customHeight="1" spans="1:4">
      <c r="A24" s="210" t="s">
        <v>452</v>
      </c>
      <c r="B24" s="302">
        <v>169.0919</v>
      </c>
      <c r="C24" s="231">
        <v>22.5555394894531</v>
      </c>
      <c r="D24" s="224">
        <f t="shared" si="0"/>
        <v>3</v>
      </c>
    </row>
    <row r="25" ht="18" customHeight="1" spans="1:4">
      <c r="A25" s="210" t="s">
        <v>453</v>
      </c>
      <c r="B25" s="302">
        <v>345.2747</v>
      </c>
      <c r="C25" s="231">
        <v>-8.78383804867121</v>
      </c>
      <c r="D25" s="224">
        <f t="shared" si="0"/>
        <v>9</v>
      </c>
    </row>
    <row r="26" ht="18" customHeight="1" spans="1:4">
      <c r="A26" s="217" t="s">
        <v>463</v>
      </c>
      <c r="B26" s="302">
        <v>708.44562</v>
      </c>
      <c r="C26" s="231">
        <v>19.3156659835931</v>
      </c>
      <c r="D26" s="224">
        <f t="shared" si="0"/>
        <v>4</v>
      </c>
    </row>
    <row r="27" spans="1:4">
      <c r="A27" s="303"/>
      <c r="B27" s="303"/>
      <c r="C27" s="303"/>
      <c r="D27" s="303"/>
    </row>
    <row r="33" spans="1:1">
      <c r="A33" s="304"/>
    </row>
    <row r="34" spans="1:1">
      <c r="A34" s="304"/>
    </row>
    <row r="35" spans="1:1">
      <c r="A35" s="304"/>
    </row>
    <row r="36" spans="1:1">
      <c r="A36" s="305"/>
    </row>
    <row r="37" spans="1:1">
      <c r="A37" s="266"/>
    </row>
    <row r="38" spans="1:1">
      <c r="A38" s="266"/>
    </row>
    <row r="39" spans="1:1">
      <c r="A39" s="266"/>
    </row>
    <row r="40" spans="1:1">
      <c r="A40" s="266"/>
    </row>
    <row r="41" spans="1:1">
      <c r="A41" s="266"/>
    </row>
    <row r="42" spans="1:1">
      <c r="A42" s="306"/>
    </row>
    <row r="43" spans="1:1">
      <c r="A43" s="304"/>
    </row>
  </sheetData>
  <mergeCells count="1">
    <mergeCell ref="A1:D1"/>
  </mergeCells>
  <pageMargins left="0.75" right="0.75" top="0.588888888888889" bottom="0.588888888888889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I19"/>
  <sheetViews>
    <sheetView zoomScale="80" zoomScaleNormal="80" workbookViewId="0">
      <selection activeCell="H13" sqref="H13"/>
    </sheetView>
  </sheetViews>
  <sheetFormatPr defaultColWidth="9" defaultRowHeight="14.25"/>
  <cols>
    <col min="1" max="1" width="27.875" style="127" customWidth="1"/>
    <col min="2" max="2" width="17.375" style="127" customWidth="1"/>
    <col min="3" max="3" width="15" style="127" customWidth="1"/>
    <col min="4" max="5" width="10.625" style="127" customWidth="1"/>
    <col min="6" max="6" width="9.125" style="127" customWidth="1"/>
    <col min="7" max="7" width="10.625" style="127" customWidth="1"/>
    <col min="8" max="8" width="12.625" style="127" customWidth="1"/>
    <col min="9" max="9" width="11.625" style="127" customWidth="1"/>
    <col min="10" max="11" width="12.625" style="127" customWidth="1"/>
    <col min="12" max="13" width="9" style="127"/>
    <col min="14" max="14" width="12.625" style="127" customWidth="1"/>
    <col min="15" max="16384" width="9" style="127"/>
  </cols>
  <sheetData>
    <row r="1" ht="28.5" customHeight="1" spans="1:9">
      <c r="A1" s="86" t="s">
        <v>34</v>
      </c>
      <c r="B1" s="86"/>
      <c r="C1" s="86"/>
      <c r="D1" s="655"/>
      <c r="E1" s="3"/>
      <c r="F1" s="3"/>
      <c r="G1" s="3"/>
    </row>
    <row r="2" ht="20" customHeight="1" spans="1:9">
      <c r="A2" s="656"/>
      <c r="B2" s="656"/>
      <c r="C2" s="335" t="s">
        <v>35</v>
      </c>
      <c r="D2" s="657"/>
      <c r="E2" s="658"/>
      <c r="F2" s="658"/>
      <c r="G2" s="658"/>
    </row>
    <row r="3" ht="35.25" customHeight="1" spans="1:9">
      <c r="A3" s="284" t="s">
        <v>36</v>
      </c>
      <c r="B3" s="239" t="s">
        <v>3</v>
      </c>
      <c r="C3" s="240" t="s">
        <v>5</v>
      </c>
      <c r="D3" s="658"/>
    </row>
    <row r="4" ht="39.95" customHeight="1" spans="1:9">
      <c r="A4" s="225" t="s">
        <v>37</v>
      </c>
      <c r="B4" s="659">
        <v>3008.39</v>
      </c>
      <c r="C4" s="660">
        <v>6</v>
      </c>
      <c r="D4" s="661"/>
      <c r="H4" s="662"/>
      <c r="I4" s="662"/>
    </row>
    <row r="5" ht="39.95" customHeight="1" spans="1:9">
      <c r="A5" s="225" t="s">
        <v>38</v>
      </c>
      <c r="B5" s="663">
        <v>533.61</v>
      </c>
      <c r="C5" s="664">
        <v>4.5</v>
      </c>
      <c r="D5" s="661"/>
      <c r="H5" s="662"/>
      <c r="I5" s="662"/>
    </row>
    <row r="6" ht="39.95" customHeight="1" spans="1:9">
      <c r="A6" s="225" t="s">
        <v>39</v>
      </c>
      <c r="B6" s="663">
        <v>1086.61</v>
      </c>
      <c r="C6" s="664">
        <v>5.2</v>
      </c>
      <c r="D6" s="661"/>
      <c r="H6" s="662"/>
      <c r="I6" s="662"/>
    </row>
    <row r="7" ht="39.95" customHeight="1" spans="1:9">
      <c r="A7" s="225" t="s">
        <v>40</v>
      </c>
      <c r="B7" s="665">
        <v>157.71</v>
      </c>
      <c r="C7" s="666">
        <v>6.2</v>
      </c>
      <c r="D7" s="661"/>
      <c r="H7" s="662"/>
      <c r="I7" s="662"/>
    </row>
    <row r="8" ht="39.95" customHeight="1" spans="1:9">
      <c r="A8" s="225" t="s">
        <v>41</v>
      </c>
      <c r="B8" s="667">
        <v>1388.16</v>
      </c>
      <c r="C8" s="668">
        <v>7.2</v>
      </c>
      <c r="D8" s="661"/>
      <c r="H8" s="662"/>
      <c r="I8" s="662"/>
    </row>
    <row r="9" ht="39.95" customHeight="1" spans="1:9">
      <c r="A9" s="225" t="s">
        <v>42</v>
      </c>
      <c r="B9" s="669">
        <v>165.98</v>
      </c>
      <c r="C9" s="670">
        <v>6.2</v>
      </c>
      <c r="D9" s="661"/>
      <c r="I9" s="671"/>
    </row>
    <row r="10" ht="39.95" customHeight="1" spans="1:9">
      <c r="A10" s="225" t="s">
        <v>43</v>
      </c>
      <c r="B10" s="672">
        <v>261.88</v>
      </c>
      <c r="C10" s="673">
        <v>5.1</v>
      </c>
      <c r="D10" s="661"/>
      <c r="I10" s="671"/>
    </row>
    <row r="11" ht="39.95" customHeight="1" spans="1:9">
      <c r="A11" s="225" t="s">
        <v>44</v>
      </c>
      <c r="B11" s="674">
        <v>47.03</v>
      </c>
      <c r="C11" s="675">
        <v>3.1</v>
      </c>
      <c r="D11" s="661"/>
      <c r="I11" s="671"/>
    </row>
    <row r="12" ht="39.95" customHeight="1" spans="1:9">
      <c r="A12" s="225" t="s">
        <v>45</v>
      </c>
      <c r="B12" s="676">
        <v>96.2</v>
      </c>
      <c r="C12" s="677">
        <v>6.7</v>
      </c>
      <c r="D12" s="661"/>
      <c r="I12" s="671"/>
    </row>
    <row r="13" ht="39.95" customHeight="1" spans="1:9">
      <c r="A13" s="225" t="s">
        <v>46</v>
      </c>
      <c r="B13" s="678">
        <v>179.63</v>
      </c>
      <c r="C13" s="679">
        <v>2</v>
      </c>
      <c r="D13" s="661"/>
      <c r="I13" s="671"/>
    </row>
    <row r="14" ht="39.95" customHeight="1" spans="1:9">
      <c r="A14" s="225" t="s">
        <v>47</v>
      </c>
      <c r="B14" s="680">
        <v>163.3</v>
      </c>
      <c r="C14" s="681">
        <v>20.5</v>
      </c>
      <c r="D14" s="661"/>
      <c r="I14" s="671"/>
    </row>
    <row r="15" ht="39.95" customHeight="1" spans="1:9">
      <c r="A15" s="682" t="s">
        <v>48</v>
      </c>
      <c r="B15" s="683">
        <v>453.06</v>
      </c>
      <c r="C15" s="684">
        <v>7.7</v>
      </c>
      <c r="D15" s="661"/>
      <c r="I15" s="671"/>
    </row>
    <row r="16" ht="39.95" customHeight="1" spans="1:9">
      <c r="A16" s="685" t="s">
        <v>49</v>
      </c>
      <c r="B16" s="686">
        <v>546.36</v>
      </c>
      <c r="C16" s="687">
        <v>4.8</v>
      </c>
      <c r="D16" s="661"/>
      <c r="I16" s="671"/>
    </row>
    <row r="17" ht="39.95" customHeight="1" spans="1:9">
      <c r="A17" s="225" t="s">
        <v>50</v>
      </c>
      <c r="B17" s="688">
        <v>937.25</v>
      </c>
      <c r="C17" s="689">
        <v>4.8</v>
      </c>
      <c r="D17" s="661"/>
      <c r="I17" s="128"/>
    </row>
    <row r="18" ht="39.95" customHeight="1" spans="1:9">
      <c r="A18" s="690" t="s">
        <v>51</v>
      </c>
      <c r="B18" s="691" t="s">
        <v>52</v>
      </c>
      <c r="C18" s="692"/>
      <c r="D18" s="661"/>
      <c r="I18" s="671"/>
    </row>
    <row r="19" ht="29" customHeight="1" spans="1:9">
      <c r="A19" s="693" t="s">
        <v>53</v>
      </c>
      <c r="B19" s="693"/>
      <c r="C19" s="693"/>
      <c r="D19" s="661"/>
    </row>
  </sheetData>
  <mergeCells count="4">
    <mergeCell ref="A1:C1"/>
    <mergeCell ref="E1:G1"/>
    <mergeCell ref="B18:C18"/>
    <mergeCell ref="A19:C19"/>
  </mergeCells>
  <printOptions horizontalCentered="1"/>
  <pageMargins left="0.75" right="0.75" top="0.979166666666667" bottom="0.979166666666667" header="0.509027777777778" footer="0.509027777777778"/>
  <pageSetup paperSize="9" orientation="portrait" blackAndWhite="1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workbookViewId="0">
      <selection activeCell="F10" sqref="F10"/>
    </sheetView>
  </sheetViews>
  <sheetFormatPr defaultColWidth="9" defaultRowHeight="14.25" outlineLevelCol="4"/>
  <cols>
    <col min="1" max="1" width="39" style="195" customWidth="1"/>
    <col min="2" max="2" width="13.125" style="196" customWidth="1"/>
    <col min="3" max="3" width="13.125" style="257" customWidth="1"/>
    <col min="4" max="4" width="13.125" style="196" customWidth="1"/>
    <col min="5" max="5" width="9.75" style="196" customWidth="1"/>
    <col min="6" max="16384" width="9" style="196"/>
  </cols>
  <sheetData>
    <row r="1" ht="28.5" customHeight="1" spans="1:5">
      <c r="A1" s="197" t="s">
        <v>479</v>
      </c>
      <c r="B1" s="197"/>
      <c r="C1" s="197"/>
      <c r="D1" s="197"/>
    </row>
    <row r="2" ht="20.25" customHeight="1" spans="1:5">
      <c r="A2" s="112"/>
      <c r="B2" s="112"/>
      <c r="C2" s="112"/>
      <c r="D2" s="90" t="s">
        <v>35</v>
      </c>
    </row>
    <row r="3" ht="28.5" customHeight="1" spans="1:5">
      <c r="A3" s="91" t="s">
        <v>440</v>
      </c>
      <c r="B3" s="140" t="s">
        <v>3</v>
      </c>
      <c r="C3" s="92" t="s">
        <v>5</v>
      </c>
      <c r="D3" s="140" t="s">
        <v>441</v>
      </c>
      <c r="E3" s="258"/>
    </row>
    <row r="4" ht="18" customHeight="1" spans="1:5">
      <c r="A4" s="259" t="s">
        <v>480</v>
      </c>
      <c r="B4" s="293"/>
      <c r="C4" s="294"/>
      <c r="D4" s="233"/>
      <c r="E4" s="258"/>
    </row>
    <row r="5" ht="18" customHeight="1" spans="1:5">
      <c r="A5" s="203" t="s">
        <v>443</v>
      </c>
      <c r="B5" s="296">
        <v>232.6002</v>
      </c>
      <c r="C5" s="231">
        <v>39.7081267895208</v>
      </c>
      <c r="D5" s="250" t="s">
        <v>8</v>
      </c>
      <c r="E5" s="258"/>
    </row>
    <row r="6" ht="18" customHeight="1" spans="1:5">
      <c r="A6" s="203" t="s">
        <v>444</v>
      </c>
      <c r="B6" s="296">
        <v>3.54311</v>
      </c>
      <c r="C6" s="231">
        <v>49.7390319458708</v>
      </c>
      <c r="D6" s="224">
        <f>RANK(C6,$C$6:$C$15,0)</f>
        <v>3</v>
      </c>
      <c r="E6" s="258"/>
    </row>
    <row r="7" ht="18" customHeight="1" spans="1:5">
      <c r="A7" s="208" t="s">
        <v>445</v>
      </c>
      <c r="B7" s="296">
        <v>26.34725</v>
      </c>
      <c r="C7" s="231">
        <v>-16.2361731545634</v>
      </c>
      <c r="D7" s="224">
        <f t="shared" ref="D7:D15" si="0">RANK(C7,$C$6:$C$15,0)</f>
        <v>8</v>
      </c>
      <c r="E7" s="258"/>
    </row>
    <row r="8" ht="18" customHeight="1" spans="1:5">
      <c r="A8" s="209" t="s">
        <v>446</v>
      </c>
      <c r="B8" s="296">
        <v>111.89061</v>
      </c>
      <c r="C8" s="231">
        <v>63.3602922336029</v>
      </c>
      <c r="D8" s="224">
        <f t="shared" si="0"/>
        <v>2</v>
      </c>
      <c r="E8" s="258"/>
    </row>
    <row r="9" ht="18" customHeight="1" spans="1:5">
      <c r="A9" s="208" t="s">
        <v>447</v>
      </c>
      <c r="B9" s="296">
        <v>23.1194</v>
      </c>
      <c r="C9" s="231">
        <v>-3.17008916791965</v>
      </c>
      <c r="D9" s="224">
        <f t="shared" si="0"/>
        <v>5</v>
      </c>
      <c r="E9" s="258"/>
    </row>
    <row r="10" ht="18" customHeight="1" spans="1:5">
      <c r="A10" s="208" t="s">
        <v>449</v>
      </c>
      <c r="B10" s="296">
        <v>3.4455</v>
      </c>
      <c r="C10" s="231">
        <v>-12.1337311605845</v>
      </c>
      <c r="D10" s="224">
        <f t="shared" si="0"/>
        <v>6</v>
      </c>
      <c r="E10" s="258"/>
    </row>
    <row r="11" ht="18" customHeight="1" spans="1:5">
      <c r="A11" s="208" t="s">
        <v>450</v>
      </c>
      <c r="B11" s="296">
        <v>2.5173</v>
      </c>
      <c r="C11" s="231">
        <v>5.68010075566752</v>
      </c>
      <c r="D11" s="224">
        <f t="shared" si="0"/>
        <v>4</v>
      </c>
      <c r="E11" s="258"/>
    </row>
    <row r="12" ht="18" customHeight="1" spans="1:5">
      <c r="A12" s="210" t="s">
        <v>451</v>
      </c>
      <c r="B12" s="296">
        <v>-3.9134</v>
      </c>
      <c r="C12" s="231">
        <v>-648.78698639742</v>
      </c>
      <c r="D12" s="224">
        <f t="shared" si="0"/>
        <v>10</v>
      </c>
      <c r="E12" s="258"/>
    </row>
    <row r="13" ht="18" customHeight="1" spans="1:5">
      <c r="A13" s="210" t="s">
        <v>452</v>
      </c>
      <c r="B13" s="296">
        <v>0.72627</v>
      </c>
      <c r="C13" s="231">
        <v>-240.594691910099</v>
      </c>
      <c r="D13" s="224">
        <f t="shared" si="0"/>
        <v>9</v>
      </c>
      <c r="E13" s="258"/>
    </row>
    <row r="14" ht="18" customHeight="1" spans="1:5">
      <c r="A14" s="210" t="s">
        <v>453</v>
      </c>
      <c r="B14" s="296">
        <v>6.226</v>
      </c>
      <c r="C14" s="231">
        <v>-14.4850699118205</v>
      </c>
      <c r="D14" s="224">
        <f t="shared" si="0"/>
        <v>7</v>
      </c>
      <c r="E14" s="258"/>
    </row>
    <row r="15" ht="18" customHeight="1" spans="1:5">
      <c r="A15" s="210" t="s">
        <v>463</v>
      </c>
      <c r="B15" s="296">
        <v>81.93712</v>
      </c>
      <c r="C15" s="231">
        <v>66.5682820807171</v>
      </c>
      <c r="D15" s="224">
        <f t="shared" si="0"/>
        <v>1</v>
      </c>
      <c r="E15" s="258"/>
    </row>
    <row r="16" ht="18" customHeight="1" spans="1:5">
      <c r="A16" s="198" t="s">
        <v>481</v>
      </c>
      <c r="B16" s="103"/>
      <c r="C16" s="231"/>
      <c r="D16" s="224"/>
    </row>
    <row r="17" ht="18" customHeight="1" spans="1:4">
      <c r="A17" s="203" t="s">
        <v>443</v>
      </c>
      <c r="B17" s="296">
        <v>20.055</v>
      </c>
      <c r="C17" s="231">
        <v>59.9537406284894</v>
      </c>
      <c r="D17" s="250" t="s">
        <v>8</v>
      </c>
    </row>
    <row r="18" ht="18" customHeight="1" spans="1:4">
      <c r="A18" s="203" t="s">
        <v>444</v>
      </c>
      <c r="B18" s="296">
        <v>2.04327</v>
      </c>
      <c r="C18" s="231">
        <v>-27.3767380363388</v>
      </c>
      <c r="D18" s="224">
        <f>RANK(C18,$C$18:$C$27,0)</f>
        <v>9</v>
      </c>
    </row>
    <row r="19" ht="18" customHeight="1" spans="1:4">
      <c r="A19" s="208" t="s">
        <v>445</v>
      </c>
      <c r="B19" s="296">
        <v>26.34725</v>
      </c>
      <c r="C19" s="231">
        <v>-16.2361731545634</v>
      </c>
      <c r="D19" s="224">
        <f t="shared" ref="D19:D27" si="1">RANK(C19,$C$18:$C$27,0)</f>
        <v>7</v>
      </c>
    </row>
    <row r="20" ht="18" customHeight="1" spans="1:4">
      <c r="A20" s="209" t="s">
        <v>446</v>
      </c>
      <c r="B20" s="296">
        <v>0.78431</v>
      </c>
      <c r="C20" s="231">
        <v>203.466821435481</v>
      </c>
      <c r="D20" s="224">
        <f t="shared" si="1"/>
        <v>3</v>
      </c>
    </row>
    <row r="21" ht="18" customHeight="1" spans="1:4">
      <c r="A21" s="208" t="s">
        <v>447</v>
      </c>
      <c r="B21" s="296">
        <v>0.96219</v>
      </c>
      <c r="C21" s="231">
        <v>35.9736020236564</v>
      </c>
      <c r="D21" s="224">
        <f t="shared" si="1"/>
        <v>5</v>
      </c>
    </row>
    <row r="22" ht="18" customHeight="1" spans="1:4">
      <c r="A22" s="208" t="s">
        <v>449</v>
      </c>
      <c r="B22" s="296">
        <v>0</v>
      </c>
      <c r="C22" s="206" t="s">
        <v>8</v>
      </c>
      <c r="D22" s="224" t="s">
        <v>8</v>
      </c>
    </row>
    <row r="23" ht="18" customHeight="1" spans="1:4">
      <c r="A23" s="208" t="s">
        <v>450</v>
      </c>
      <c r="B23" s="296">
        <v>0.5724</v>
      </c>
      <c r="C23" s="231">
        <v>-23.4861649512097</v>
      </c>
      <c r="D23" s="224">
        <f t="shared" si="1"/>
        <v>8</v>
      </c>
    </row>
    <row r="24" ht="18" customHeight="1" spans="1:4">
      <c r="A24" s="210" t="s">
        <v>451</v>
      </c>
      <c r="B24" s="296">
        <v>5.6295</v>
      </c>
      <c r="C24" s="231">
        <v>600.447928331467</v>
      </c>
      <c r="D24" s="224">
        <f t="shared" si="1"/>
        <v>2</v>
      </c>
    </row>
    <row r="25" ht="18" customHeight="1" spans="1:4">
      <c r="A25" s="210" t="s">
        <v>452</v>
      </c>
      <c r="B25" s="296">
        <v>4.70693</v>
      </c>
      <c r="C25" s="231">
        <v>11.4538467184914</v>
      </c>
      <c r="D25" s="224">
        <f t="shared" si="1"/>
        <v>6</v>
      </c>
    </row>
    <row r="26" ht="18" customHeight="1" spans="1:4">
      <c r="A26" s="210" t="s">
        <v>453</v>
      </c>
      <c r="B26" s="296">
        <v>0.969</v>
      </c>
      <c r="C26" s="231">
        <v>722.58064516129</v>
      </c>
      <c r="D26" s="224">
        <f t="shared" si="1"/>
        <v>1</v>
      </c>
    </row>
    <row r="27" ht="18" customHeight="1" spans="1:4">
      <c r="A27" s="210" t="s">
        <v>463</v>
      </c>
      <c r="B27" s="296">
        <v>1.61578</v>
      </c>
      <c r="C27" s="231">
        <v>67.1110467581628</v>
      </c>
      <c r="D27" s="224">
        <f t="shared" si="1"/>
        <v>4</v>
      </c>
    </row>
    <row r="28" spans="1:4">
      <c r="A28" s="262"/>
      <c r="B28" s="262"/>
      <c r="C28" s="262"/>
      <c r="D28" s="262"/>
    </row>
    <row r="34" spans="1:1">
      <c r="A34" s="263"/>
    </row>
    <row r="35" spans="1:1">
      <c r="A35" s="263"/>
    </row>
    <row r="36" spans="1:1">
      <c r="A36" s="263"/>
    </row>
    <row r="37" spans="1:1">
      <c r="A37" s="264"/>
    </row>
    <row r="38" spans="1:1">
      <c r="A38" s="265"/>
    </row>
    <row r="39" spans="1:1">
      <c r="A39" s="265"/>
    </row>
    <row r="40" spans="1:1">
      <c r="A40" s="265"/>
    </row>
    <row r="41" spans="1:1">
      <c r="A41" s="265"/>
    </row>
    <row r="42" spans="1:1">
      <c r="A42" s="266"/>
    </row>
    <row r="43" spans="1:1">
      <c r="A43" s="258"/>
    </row>
    <row r="44" spans="1:1">
      <c r="A44" s="263"/>
    </row>
  </sheetData>
  <mergeCells count="1">
    <mergeCell ref="A1:D1"/>
  </mergeCells>
  <pageMargins left="0.75" right="0.75" top="0.588888888888889" bottom="0.588888888888889" header="0.509027777777778" footer="0.509027777777778"/>
  <pageSetup paperSize="9" orientation="portrait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workbookViewId="0">
      <selection activeCell="F9" sqref="F9"/>
    </sheetView>
  </sheetViews>
  <sheetFormatPr defaultColWidth="9" defaultRowHeight="14.25" outlineLevelCol="4"/>
  <cols>
    <col min="1" max="1" width="39" style="195" customWidth="1"/>
    <col min="2" max="2" width="13.125" style="196" customWidth="1"/>
    <col min="3" max="3" width="13.125" style="257" customWidth="1"/>
    <col min="4" max="4" width="13.125" style="196" customWidth="1"/>
    <col min="5" max="5" width="9.75" style="196" customWidth="1"/>
    <col min="6" max="16384" width="9" style="196"/>
  </cols>
  <sheetData>
    <row r="1" ht="28.5" customHeight="1" spans="1:5">
      <c r="A1" s="197" t="s">
        <v>482</v>
      </c>
      <c r="B1" s="197"/>
      <c r="C1" s="197"/>
      <c r="D1" s="197"/>
    </row>
    <row r="2" ht="20.25" customHeight="1" spans="1:5">
      <c r="A2" s="112"/>
      <c r="B2" s="112"/>
      <c r="C2" s="112"/>
      <c r="D2" s="90" t="s">
        <v>35</v>
      </c>
    </row>
    <row r="3" ht="28.5" customHeight="1" spans="1:5">
      <c r="A3" s="91" t="s">
        <v>440</v>
      </c>
      <c r="B3" s="140" t="s">
        <v>3</v>
      </c>
      <c r="C3" s="92" t="s">
        <v>5</v>
      </c>
      <c r="D3" s="140" t="s">
        <v>441</v>
      </c>
      <c r="E3" s="258"/>
    </row>
    <row r="4" ht="18" customHeight="1" spans="1:5">
      <c r="A4" s="198" t="s">
        <v>483</v>
      </c>
      <c r="B4" s="211"/>
      <c r="C4" s="212"/>
      <c r="D4" s="224"/>
      <c r="E4" s="258"/>
    </row>
    <row r="5" ht="18" customHeight="1" spans="1:5">
      <c r="A5" s="203" t="s">
        <v>443</v>
      </c>
      <c r="B5" s="296">
        <v>422.2561</v>
      </c>
      <c r="C5" s="231">
        <v>24.58177565337</v>
      </c>
      <c r="D5" s="250" t="s">
        <v>8</v>
      </c>
      <c r="E5" s="258"/>
    </row>
    <row r="6" ht="18" customHeight="1" spans="1:5">
      <c r="A6" s="203" t="s">
        <v>444</v>
      </c>
      <c r="B6" s="296">
        <v>7.00067</v>
      </c>
      <c r="C6" s="231">
        <v>33.673276495804</v>
      </c>
      <c r="D6" s="224">
        <f>RANK(C6,$C$6:$C$15,0)</f>
        <v>4</v>
      </c>
      <c r="E6" s="258"/>
    </row>
    <row r="7" ht="18" customHeight="1" spans="1:5">
      <c r="A7" s="208" t="s">
        <v>445</v>
      </c>
      <c r="B7" s="296">
        <v>130.5685</v>
      </c>
      <c r="C7" s="231">
        <v>-3.09686876907639</v>
      </c>
      <c r="D7" s="224">
        <f t="shared" ref="D7:D15" si="0">RANK(C7,$C$6:$C$15,0)</f>
        <v>7</v>
      </c>
      <c r="E7" s="258"/>
    </row>
    <row r="8" ht="18" customHeight="1" spans="1:5">
      <c r="A8" s="209" t="s">
        <v>446</v>
      </c>
      <c r="B8" s="296">
        <v>146.00182</v>
      </c>
      <c r="C8" s="231">
        <v>54.4350060445742</v>
      </c>
      <c r="D8" s="224">
        <f t="shared" si="0"/>
        <v>2</v>
      </c>
      <c r="E8" s="258"/>
    </row>
    <row r="9" ht="18" customHeight="1" spans="1:5">
      <c r="A9" s="208" t="s">
        <v>447</v>
      </c>
      <c r="B9" s="296">
        <v>25.40531</v>
      </c>
      <c r="C9" s="231">
        <v>-2.43268206039076</v>
      </c>
      <c r="D9" s="224">
        <f t="shared" si="0"/>
        <v>6</v>
      </c>
      <c r="E9" s="258"/>
    </row>
    <row r="10" ht="18" customHeight="1" spans="1:5">
      <c r="A10" s="208" t="s">
        <v>449</v>
      </c>
      <c r="B10" s="296">
        <v>6.442</v>
      </c>
      <c r="C10" s="231">
        <v>-5.4093738987431</v>
      </c>
      <c r="D10" s="224">
        <f t="shared" si="0"/>
        <v>8</v>
      </c>
      <c r="E10" s="258"/>
    </row>
    <row r="11" ht="18" customHeight="1" spans="1:5">
      <c r="A11" s="208" t="s">
        <v>450</v>
      </c>
      <c r="B11" s="296">
        <v>2.9269</v>
      </c>
      <c r="C11" s="231">
        <v>19.1880115649306</v>
      </c>
      <c r="D11" s="224">
        <f t="shared" si="0"/>
        <v>5</v>
      </c>
      <c r="E11" s="258"/>
    </row>
    <row r="12" ht="18" customHeight="1" spans="1:5">
      <c r="A12" s="210" t="s">
        <v>451</v>
      </c>
      <c r="B12" s="296">
        <v>-3.1445</v>
      </c>
      <c r="C12" s="231">
        <v>-307.845858946394</v>
      </c>
      <c r="D12" s="224">
        <f t="shared" si="0"/>
        <v>10</v>
      </c>
      <c r="E12" s="258"/>
    </row>
    <row r="13" ht="18" customHeight="1" spans="1:5">
      <c r="A13" s="210" t="s">
        <v>452</v>
      </c>
      <c r="B13" s="296">
        <v>4.26602</v>
      </c>
      <c r="C13" s="231">
        <v>48.4008543619072</v>
      </c>
      <c r="D13" s="224">
        <f t="shared" si="0"/>
        <v>3</v>
      </c>
      <c r="E13" s="258"/>
    </row>
    <row r="14" ht="18" customHeight="1" spans="1:5">
      <c r="A14" s="210" t="s">
        <v>453</v>
      </c>
      <c r="B14" s="296">
        <v>11.0972</v>
      </c>
      <c r="C14" s="231">
        <v>-19.6169614788416</v>
      </c>
      <c r="D14" s="224">
        <f t="shared" si="0"/>
        <v>9</v>
      </c>
      <c r="E14" s="258"/>
    </row>
    <row r="15" ht="18" customHeight="1" spans="1:5">
      <c r="A15" s="210" t="s">
        <v>463</v>
      </c>
      <c r="B15" s="296">
        <v>106.12859</v>
      </c>
      <c r="C15" s="231">
        <v>61.1821140606799</v>
      </c>
      <c r="D15" s="224">
        <f t="shared" si="0"/>
        <v>1</v>
      </c>
      <c r="E15" s="258"/>
    </row>
    <row r="16" ht="18" customHeight="1" spans="1:5">
      <c r="A16" s="259" t="s">
        <v>484</v>
      </c>
      <c r="B16" s="103"/>
      <c r="C16" s="294"/>
      <c r="D16" s="233"/>
      <c r="E16" s="258"/>
    </row>
    <row r="17" ht="18" customHeight="1" spans="1:5">
      <c r="A17" s="203" t="s">
        <v>443</v>
      </c>
      <c r="B17" s="296">
        <v>2630.6758</v>
      </c>
      <c r="C17" s="231">
        <v>3.30682263272362</v>
      </c>
      <c r="D17" s="250" t="s">
        <v>8</v>
      </c>
      <c r="E17" s="258"/>
    </row>
    <row r="18" ht="18" customHeight="1" spans="1:5">
      <c r="A18" s="203" t="s">
        <v>444</v>
      </c>
      <c r="B18" s="296">
        <v>10.39311</v>
      </c>
      <c r="C18" s="231">
        <v>-23.127429748105</v>
      </c>
      <c r="D18" s="224">
        <f>RANK(C18,$C$18:$C$27,0)</f>
        <v>10</v>
      </c>
      <c r="E18" s="258"/>
    </row>
    <row r="19" ht="18" customHeight="1" spans="1:5">
      <c r="A19" s="208" t="s">
        <v>445</v>
      </c>
      <c r="B19" s="296">
        <v>373.52712</v>
      </c>
      <c r="C19" s="231">
        <v>18.6357441679996</v>
      </c>
      <c r="D19" s="224">
        <f t="shared" ref="D19:D27" si="1">RANK(C19,$C$18:$C$27,0)</f>
        <v>4</v>
      </c>
      <c r="E19" s="258"/>
    </row>
    <row r="20" ht="18" customHeight="1" spans="1:5">
      <c r="A20" s="209" t="s">
        <v>446</v>
      </c>
      <c r="B20" s="296">
        <v>419.44663</v>
      </c>
      <c r="C20" s="231">
        <v>-5.37079267764163</v>
      </c>
      <c r="D20" s="224">
        <f t="shared" si="1"/>
        <v>9</v>
      </c>
      <c r="E20" s="258"/>
    </row>
    <row r="21" ht="18" customHeight="1" spans="1:5">
      <c r="A21" s="208" t="s">
        <v>447</v>
      </c>
      <c r="B21" s="296">
        <v>296.81715</v>
      </c>
      <c r="C21" s="231">
        <v>2.4877392141599</v>
      </c>
      <c r="D21" s="224">
        <f t="shared" si="1"/>
        <v>6</v>
      </c>
      <c r="E21" s="258"/>
    </row>
    <row r="22" ht="18" customHeight="1" spans="1:5">
      <c r="A22" s="208" t="s">
        <v>449</v>
      </c>
      <c r="B22" s="296">
        <v>73.9707</v>
      </c>
      <c r="C22" s="231">
        <v>20.0404079744894</v>
      </c>
      <c r="D22" s="224">
        <f t="shared" si="1"/>
        <v>3</v>
      </c>
      <c r="E22" s="258"/>
    </row>
    <row r="23" ht="18" customHeight="1" spans="1:5">
      <c r="A23" s="208" t="s">
        <v>450</v>
      </c>
      <c r="B23" s="296">
        <v>98.8521</v>
      </c>
      <c r="C23" s="231">
        <v>23.6362158240988</v>
      </c>
      <c r="D23" s="224">
        <f t="shared" si="1"/>
        <v>1</v>
      </c>
      <c r="E23" s="258"/>
    </row>
    <row r="24" ht="18" customHeight="1" spans="1:5">
      <c r="A24" s="210" t="s">
        <v>451</v>
      </c>
      <c r="B24" s="296">
        <v>202.3159</v>
      </c>
      <c r="C24" s="231">
        <v>11.3957790759777</v>
      </c>
      <c r="D24" s="224">
        <f t="shared" si="1"/>
        <v>5</v>
      </c>
      <c r="E24" s="258"/>
    </row>
    <row r="25" ht="18" customHeight="1" spans="1:5">
      <c r="A25" s="210" t="s">
        <v>452</v>
      </c>
      <c r="B25" s="296">
        <v>165.67416</v>
      </c>
      <c r="C25" s="231">
        <v>0.610198558505282</v>
      </c>
      <c r="D25" s="224">
        <f t="shared" si="1"/>
        <v>7</v>
      </c>
      <c r="E25" s="258"/>
    </row>
    <row r="26" ht="18" customHeight="1" spans="1:5">
      <c r="A26" s="210" t="s">
        <v>453</v>
      </c>
      <c r="B26" s="296">
        <v>141.6658</v>
      </c>
      <c r="C26" s="231">
        <v>21.3517583549055</v>
      </c>
      <c r="D26" s="224">
        <f t="shared" si="1"/>
        <v>2</v>
      </c>
      <c r="E26" s="258"/>
    </row>
    <row r="27" ht="18" customHeight="1" spans="1:5">
      <c r="A27" s="210" t="s">
        <v>463</v>
      </c>
      <c r="B27" s="296">
        <v>1026.55498</v>
      </c>
      <c r="C27" s="231">
        <v>-0.376875494116113</v>
      </c>
      <c r="D27" s="224">
        <f t="shared" si="1"/>
        <v>8</v>
      </c>
      <c r="E27" s="258"/>
    </row>
    <row r="28" spans="1:5">
      <c r="A28" s="262"/>
      <c r="B28" s="262"/>
      <c r="C28" s="262"/>
      <c r="D28" s="262"/>
    </row>
    <row r="34" spans="1:1">
      <c r="A34" s="263"/>
    </row>
    <row r="35" spans="1:1">
      <c r="A35" s="263"/>
    </row>
    <row r="36" spans="1:1">
      <c r="A36" s="263"/>
    </row>
    <row r="37" spans="1:1">
      <c r="A37" s="264"/>
    </row>
    <row r="38" spans="1:1">
      <c r="A38" s="265"/>
    </row>
    <row r="39" spans="1:1">
      <c r="A39" s="265"/>
    </row>
    <row r="40" spans="1:1">
      <c r="A40" s="265"/>
    </row>
    <row r="41" spans="1:1">
      <c r="A41" s="265"/>
    </row>
    <row r="42" spans="1:1">
      <c r="A42" s="266"/>
    </row>
    <row r="43" spans="1:1">
      <c r="A43" s="258"/>
    </row>
    <row r="44" spans="1:1">
      <c r="A44" s="263"/>
    </row>
  </sheetData>
  <mergeCells count="1">
    <mergeCell ref="A1:D1"/>
  </mergeCells>
  <pageMargins left="0.75" right="0.75" top="0.588888888888889" bottom="0.588888888888889" header="0.509027777777778" footer="0.509027777777778"/>
  <pageSetup paperSize="9" orientation="portrait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workbookViewId="0">
      <selection activeCell="G8" sqref="G8"/>
    </sheetView>
  </sheetViews>
  <sheetFormatPr defaultColWidth="9" defaultRowHeight="14.25" outlineLevelCol="4"/>
  <cols>
    <col min="1" max="1" width="39" style="195" customWidth="1"/>
    <col min="2" max="2" width="13.125" style="127" customWidth="1"/>
    <col min="3" max="3" width="13.125" style="295" customWidth="1"/>
    <col min="4" max="4" width="13.125" style="127" customWidth="1"/>
    <col min="5" max="5" width="9.75" style="127" customWidth="1"/>
    <col min="6" max="16384" width="9" style="127"/>
  </cols>
  <sheetData>
    <row r="1" ht="28.5" customHeight="1" spans="1:5">
      <c r="A1" s="197" t="s">
        <v>485</v>
      </c>
      <c r="B1" s="197"/>
      <c r="C1" s="197"/>
      <c r="D1" s="197"/>
      <c r="E1" s="196"/>
    </row>
    <row r="2" ht="20.25" customHeight="1" spans="1:5">
      <c r="A2" s="112"/>
      <c r="B2" s="112"/>
      <c r="C2" s="112"/>
      <c r="D2" s="90" t="s">
        <v>35</v>
      </c>
      <c r="E2" s="196"/>
    </row>
    <row r="3" ht="28.5" customHeight="1" spans="1:5">
      <c r="A3" s="91" t="s">
        <v>440</v>
      </c>
      <c r="B3" s="140" t="s">
        <v>3</v>
      </c>
      <c r="C3" s="92" t="s">
        <v>5</v>
      </c>
      <c r="D3" s="140" t="s">
        <v>441</v>
      </c>
      <c r="E3" s="258"/>
    </row>
    <row r="4" ht="18" customHeight="1" spans="1:5">
      <c r="A4" s="198" t="s">
        <v>486</v>
      </c>
      <c r="B4" s="211"/>
      <c r="C4" s="212"/>
      <c r="D4" s="224"/>
      <c r="E4" s="196"/>
    </row>
    <row r="5" ht="18" customHeight="1" spans="1:5">
      <c r="A5" s="203" t="s">
        <v>443</v>
      </c>
      <c r="B5" s="103">
        <v>1734.0745</v>
      </c>
      <c r="C5" s="231">
        <v>-2.7113365148838</v>
      </c>
      <c r="D5" s="250" t="s">
        <v>8</v>
      </c>
      <c r="E5" s="196"/>
    </row>
    <row r="6" ht="18" customHeight="1" spans="1:5">
      <c r="A6" s="203" t="s">
        <v>444</v>
      </c>
      <c r="B6" s="103">
        <v>62.30422</v>
      </c>
      <c r="C6" s="231">
        <v>-20.4567947510658</v>
      </c>
      <c r="D6" s="224">
        <f>RANK(C6,$C$6:$C$15,0)</f>
        <v>10</v>
      </c>
      <c r="E6" s="196"/>
    </row>
    <row r="7" ht="18" customHeight="1" spans="1:5">
      <c r="A7" s="208" t="s">
        <v>445</v>
      </c>
      <c r="B7" s="103">
        <v>215.86888</v>
      </c>
      <c r="C7" s="231">
        <v>24.973741020668</v>
      </c>
      <c r="D7" s="224">
        <f t="shared" ref="D7:D15" si="0">RANK(C7,$C$6:$C$15,0)</f>
        <v>2</v>
      </c>
      <c r="E7" s="196"/>
    </row>
    <row r="8" ht="18" customHeight="1" spans="1:5">
      <c r="A8" s="209" t="s">
        <v>446</v>
      </c>
      <c r="B8" s="103">
        <v>319.6245</v>
      </c>
      <c r="C8" s="231">
        <v>-15.7160107817223</v>
      </c>
      <c r="D8" s="224">
        <f t="shared" si="0"/>
        <v>9</v>
      </c>
      <c r="E8" s="196"/>
    </row>
    <row r="9" ht="18" customHeight="1" spans="1:5">
      <c r="A9" s="208" t="s">
        <v>447</v>
      </c>
      <c r="B9" s="103">
        <v>172.89208</v>
      </c>
      <c r="C9" s="231">
        <v>-7.32815915973396</v>
      </c>
      <c r="D9" s="224">
        <f t="shared" si="0"/>
        <v>7</v>
      </c>
      <c r="E9" s="196"/>
    </row>
    <row r="10" ht="18" customHeight="1" spans="1:5">
      <c r="A10" s="208" t="s">
        <v>449</v>
      </c>
      <c r="B10" s="103">
        <v>41.9074</v>
      </c>
      <c r="C10" s="231">
        <v>46.3277861966382</v>
      </c>
      <c r="D10" s="224">
        <f t="shared" si="0"/>
        <v>1</v>
      </c>
      <c r="E10" s="196"/>
    </row>
    <row r="11" ht="18" customHeight="1" spans="1:5">
      <c r="A11" s="208" t="s">
        <v>450</v>
      </c>
      <c r="B11" s="103">
        <v>73.2868</v>
      </c>
      <c r="C11" s="231">
        <v>13.760163421926</v>
      </c>
      <c r="D11" s="224">
        <f t="shared" si="0"/>
        <v>4</v>
      </c>
      <c r="E11" s="196"/>
    </row>
    <row r="12" ht="18" customHeight="1" spans="1:5">
      <c r="A12" s="210" t="s">
        <v>451</v>
      </c>
      <c r="B12" s="103">
        <v>204.7188</v>
      </c>
      <c r="C12" s="231">
        <v>11.3266503598343</v>
      </c>
      <c r="D12" s="224">
        <f t="shared" si="0"/>
        <v>5</v>
      </c>
      <c r="E12" s="196"/>
    </row>
    <row r="13" ht="18" customHeight="1" spans="1:5">
      <c r="A13" s="210" t="s">
        <v>452</v>
      </c>
      <c r="B13" s="103">
        <v>144.24195</v>
      </c>
      <c r="C13" s="231">
        <v>2.45008218482217</v>
      </c>
      <c r="D13" s="224">
        <f t="shared" si="0"/>
        <v>6</v>
      </c>
      <c r="E13" s="196"/>
    </row>
    <row r="14" ht="18" customHeight="1" spans="1:5">
      <c r="A14" s="210" t="s">
        <v>453</v>
      </c>
      <c r="B14" s="103">
        <v>91.2175</v>
      </c>
      <c r="C14" s="231">
        <v>24.4391422440313</v>
      </c>
      <c r="D14" s="224">
        <f t="shared" si="0"/>
        <v>3</v>
      </c>
      <c r="E14" s="196"/>
    </row>
    <row r="15" ht="18" customHeight="1" spans="1:5">
      <c r="A15" s="210" t="s">
        <v>463</v>
      </c>
      <c r="B15" s="103">
        <v>568.91358</v>
      </c>
      <c r="C15" s="231">
        <v>-10.500644674158</v>
      </c>
      <c r="D15" s="224">
        <f t="shared" si="0"/>
        <v>8</v>
      </c>
      <c r="E15" s="196"/>
    </row>
    <row r="16" ht="18" customHeight="1" spans="1:5">
      <c r="A16" s="198" t="s">
        <v>487</v>
      </c>
      <c r="B16" s="103"/>
      <c r="C16" s="231"/>
      <c r="D16" s="224"/>
      <c r="E16" s="258"/>
    </row>
    <row r="17" ht="18" customHeight="1" spans="1:5">
      <c r="A17" s="203" t="s">
        <v>443</v>
      </c>
      <c r="B17" s="103">
        <v>161.1051</v>
      </c>
      <c r="C17" s="231">
        <v>-6.80261522904658</v>
      </c>
      <c r="D17" s="250" t="s">
        <v>8</v>
      </c>
      <c r="E17" s="258"/>
    </row>
    <row r="18" ht="18" customHeight="1" spans="1:5">
      <c r="A18" s="203" t="s">
        <v>444</v>
      </c>
      <c r="B18" s="103">
        <v>10.39311</v>
      </c>
      <c r="C18" s="231">
        <v>-23.127429748105</v>
      </c>
      <c r="D18" s="224">
        <f>RANK(C18,$C$18:$C$27,0)</f>
        <v>9</v>
      </c>
      <c r="E18" s="258"/>
    </row>
    <row r="19" ht="18" customHeight="1" spans="1:5">
      <c r="A19" s="208" t="s">
        <v>445</v>
      </c>
      <c r="B19" s="103">
        <v>29.41405</v>
      </c>
      <c r="C19" s="231">
        <v>20.1963331476765</v>
      </c>
      <c r="D19" s="224">
        <f t="shared" ref="D19:D27" si="1">RANK(C19,$C$18:$C$27,0)</f>
        <v>3</v>
      </c>
      <c r="E19" s="258"/>
    </row>
    <row r="20" ht="18" customHeight="1" spans="1:5">
      <c r="A20" s="209" t="s">
        <v>446</v>
      </c>
      <c r="B20" s="103">
        <v>14.4149</v>
      </c>
      <c r="C20" s="231">
        <v>8.98655785324856</v>
      </c>
      <c r="D20" s="224">
        <f t="shared" si="1"/>
        <v>4</v>
      </c>
      <c r="E20" s="258"/>
    </row>
    <row r="21" ht="18" customHeight="1" spans="1:5">
      <c r="A21" s="208" t="s">
        <v>447</v>
      </c>
      <c r="B21" s="103">
        <v>12.19246</v>
      </c>
      <c r="C21" s="231">
        <v>-21.2713118628395</v>
      </c>
      <c r="D21" s="224">
        <f t="shared" si="1"/>
        <v>8</v>
      </c>
      <c r="E21" s="258"/>
    </row>
    <row r="22" ht="18" customHeight="1" spans="1:5">
      <c r="A22" s="208" t="s">
        <v>449</v>
      </c>
      <c r="B22" s="103">
        <v>15.9656</v>
      </c>
      <c r="C22" s="231">
        <v>32.2115304990146</v>
      </c>
      <c r="D22" s="224">
        <f t="shared" si="1"/>
        <v>2</v>
      </c>
      <c r="E22" s="258"/>
    </row>
    <row r="23" ht="18" customHeight="1" spans="1:5">
      <c r="A23" s="208" t="s">
        <v>450</v>
      </c>
      <c r="B23" s="103">
        <v>4.6109</v>
      </c>
      <c r="C23" s="231">
        <v>37.6346974717173</v>
      </c>
      <c r="D23" s="224">
        <f t="shared" si="1"/>
        <v>1</v>
      </c>
      <c r="E23" s="258"/>
    </row>
    <row r="24" ht="18" customHeight="1" spans="1:5">
      <c r="A24" s="210" t="s">
        <v>451</v>
      </c>
      <c r="B24" s="103">
        <v>6.3714</v>
      </c>
      <c r="C24" s="231">
        <v>-46.2587616083403</v>
      </c>
      <c r="D24" s="224">
        <f t="shared" si="1"/>
        <v>10</v>
      </c>
      <c r="E24" s="258"/>
    </row>
    <row r="25" ht="18" customHeight="1" spans="1:5">
      <c r="A25" s="210" t="s">
        <v>452</v>
      </c>
      <c r="B25" s="103">
        <v>17.1713</v>
      </c>
      <c r="C25" s="231">
        <v>-2.52745287811745</v>
      </c>
      <c r="D25" s="224">
        <f t="shared" si="1"/>
        <v>5</v>
      </c>
      <c r="E25" s="258"/>
    </row>
    <row r="26" ht="18" customHeight="1" spans="1:5">
      <c r="A26" s="210" t="s">
        <v>453</v>
      </c>
      <c r="B26" s="103">
        <v>26.932</v>
      </c>
      <c r="C26" s="231">
        <v>-3.04557563539491</v>
      </c>
      <c r="D26" s="224">
        <f t="shared" si="1"/>
        <v>6</v>
      </c>
      <c r="E26" s="258"/>
    </row>
    <row r="27" ht="18" customHeight="1" spans="1:5">
      <c r="A27" s="217" t="s">
        <v>463</v>
      </c>
      <c r="B27" s="103">
        <v>49.58644</v>
      </c>
      <c r="C27" s="231">
        <v>-12.7329159206898</v>
      </c>
      <c r="D27" s="224">
        <f t="shared" si="1"/>
        <v>7</v>
      </c>
      <c r="E27" s="258"/>
    </row>
    <row r="28" spans="1:5">
      <c r="A28" s="262"/>
      <c r="B28" s="262"/>
      <c r="C28" s="262"/>
      <c r="D28" s="262"/>
    </row>
    <row r="34" spans="1:1">
      <c r="A34" s="263"/>
    </row>
    <row r="35" spans="1:1">
      <c r="A35" s="263"/>
    </row>
    <row r="36" spans="1:1">
      <c r="A36" s="263"/>
    </row>
    <row r="37" spans="1:1">
      <c r="A37" s="264"/>
    </row>
    <row r="38" spans="1:1">
      <c r="A38" s="265"/>
    </row>
    <row r="39" spans="1:1">
      <c r="A39" s="265"/>
    </row>
    <row r="40" spans="1:1">
      <c r="A40" s="265"/>
    </row>
    <row r="41" spans="1:1">
      <c r="A41" s="265"/>
    </row>
    <row r="42" spans="1:1">
      <c r="A42" s="266"/>
    </row>
    <row r="43" spans="1:1">
      <c r="A43" s="258"/>
    </row>
    <row r="44" spans="1:1">
      <c r="A44" s="263"/>
    </row>
  </sheetData>
  <mergeCells count="1">
    <mergeCell ref="A1:D1"/>
  </mergeCells>
  <pageMargins left="0.75" right="0.75" top="0.588888888888889" bottom="0.588888888888889" header="0.509027777777778" footer="0.509027777777778"/>
  <pageSetup paperSize="9" orientation="portrait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workbookViewId="0">
      <selection activeCell="E6" sqref="E6"/>
    </sheetView>
  </sheetViews>
  <sheetFormatPr defaultColWidth="9" defaultRowHeight="14.25" outlineLevelCol="4"/>
  <cols>
    <col min="1" max="1" width="44.5" style="195" customWidth="1"/>
    <col min="2" max="2" width="13.125" style="196" customWidth="1"/>
    <col min="3" max="3" width="13.125" style="257" customWidth="1"/>
    <col min="4" max="4" width="13.125" style="196" customWidth="1"/>
    <col min="5" max="5" width="9.75" style="196" customWidth="1"/>
    <col min="6" max="16384" width="9" style="196"/>
  </cols>
  <sheetData>
    <row r="1" ht="28.5" customHeight="1" spans="1:5">
      <c r="A1" s="197" t="s">
        <v>488</v>
      </c>
      <c r="B1" s="197"/>
      <c r="C1" s="197"/>
      <c r="D1" s="197"/>
    </row>
    <row r="2" ht="20.25" customHeight="1" spans="1:5">
      <c r="A2" s="112"/>
      <c r="B2" s="112"/>
      <c r="C2" s="220" t="s">
        <v>35</v>
      </c>
      <c r="D2" s="220"/>
    </row>
    <row r="3" ht="28.5" customHeight="1" spans="1:5">
      <c r="A3" s="91" t="s">
        <v>440</v>
      </c>
      <c r="B3" s="140" t="s">
        <v>3</v>
      </c>
      <c r="C3" s="92" t="s">
        <v>5</v>
      </c>
      <c r="D3" s="140" t="s">
        <v>441</v>
      </c>
      <c r="E3" s="258"/>
    </row>
    <row r="4" ht="15.95" customHeight="1" spans="1:5">
      <c r="A4" s="259" t="s">
        <v>489</v>
      </c>
      <c r="B4" s="293"/>
      <c r="C4" s="294"/>
      <c r="D4" s="233"/>
      <c r="E4" s="258"/>
    </row>
    <row r="5" ht="15.95" customHeight="1" spans="1:5">
      <c r="A5" s="203" t="s">
        <v>443</v>
      </c>
      <c r="B5" s="103">
        <v>80.13058</v>
      </c>
      <c r="C5" s="231">
        <v>-7.65926989699006</v>
      </c>
      <c r="D5" s="250" t="s">
        <v>8</v>
      </c>
      <c r="E5" s="258"/>
    </row>
    <row r="6" ht="15.95" customHeight="1" spans="1:5">
      <c r="A6" s="203" t="s">
        <v>444</v>
      </c>
      <c r="B6" s="103">
        <v>2.28009</v>
      </c>
      <c r="C6" s="231">
        <v>-4.83883757715887</v>
      </c>
      <c r="D6" s="224">
        <f>RANK(C6,$C$6:$C$15,0)</f>
        <v>7</v>
      </c>
      <c r="E6" s="258"/>
    </row>
    <row r="7" ht="15.95" customHeight="1" spans="1:5">
      <c r="A7" s="208" t="s">
        <v>445</v>
      </c>
      <c r="B7" s="103">
        <v>22.64815</v>
      </c>
      <c r="C7" s="231">
        <v>10.9586631744903</v>
      </c>
      <c r="D7" s="224">
        <f t="shared" ref="D7:D15" si="0">RANK(C7,$C$6:$C$15,0)</f>
        <v>2</v>
      </c>
      <c r="E7" s="258"/>
    </row>
    <row r="8" ht="15.95" customHeight="1" spans="1:5">
      <c r="A8" s="209" t="s">
        <v>446</v>
      </c>
      <c r="B8" s="103">
        <v>4.63183</v>
      </c>
      <c r="C8" s="231">
        <v>-55.5617064470511</v>
      </c>
      <c r="D8" s="224">
        <f t="shared" si="0"/>
        <v>10</v>
      </c>
      <c r="E8" s="258"/>
    </row>
    <row r="9" ht="15.95" customHeight="1" spans="1:5">
      <c r="A9" s="208" t="s">
        <v>447</v>
      </c>
      <c r="B9" s="103">
        <v>9.54871</v>
      </c>
      <c r="C9" s="231">
        <v>-28.5399754982484</v>
      </c>
      <c r="D9" s="224">
        <f t="shared" si="0"/>
        <v>9</v>
      </c>
      <c r="E9" s="258"/>
    </row>
    <row r="10" ht="15.95" customHeight="1" spans="1:5">
      <c r="A10" s="208" t="s">
        <v>449</v>
      </c>
      <c r="B10" s="103">
        <v>6.2079</v>
      </c>
      <c r="C10" s="231">
        <v>5.51731171281424</v>
      </c>
      <c r="D10" s="224">
        <f t="shared" si="0"/>
        <v>5</v>
      </c>
      <c r="E10" s="258"/>
    </row>
    <row r="11" ht="15.95" customHeight="1" spans="1:5">
      <c r="A11" s="208" t="s">
        <v>450</v>
      </c>
      <c r="B11" s="103">
        <v>1.2073</v>
      </c>
      <c r="C11" s="231">
        <v>17.9349418775032</v>
      </c>
      <c r="D11" s="224">
        <f t="shared" si="0"/>
        <v>1</v>
      </c>
      <c r="E11" s="258"/>
    </row>
    <row r="12" ht="15.95" customHeight="1" spans="1:5">
      <c r="A12" s="210" t="s">
        <v>451</v>
      </c>
      <c r="B12" s="103">
        <v>4.9627</v>
      </c>
      <c r="C12" s="231">
        <v>5.55791891776918</v>
      </c>
      <c r="D12" s="224">
        <f t="shared" si="0"/>
        <v>4</v>
      </c>
      <c r="E12" s="258"/>
    </row>
    <row r="13" ht="15.95" customHeight="1" spans="1:5">
      <c r="A13" s="210" t="s">
        <v>452</v>
      </c>
      <c r="B13" s="103">
        <v>11.09868</v>
      </c>
      <c r="C13" s="231">
        <v>-0.80695542127649</v>
      </c>
      <c r="D13" s="224">
        <f t="shared" si="0"/>
        <v>6</v>
      </c>
      <c r="E13" s="258"/>
    </row>
    <row r="14" ht="15.95" customHeight="1" spans="1:5">
      <c r="A14" s="210" t="s">
        <v>453</v>
      </c>
      <c r="B14" s="103">
        <v>7.2192</v>
      </c>
      <c r="C14" s="231">
        <v>-11.7392473775583</v>
      </c>
      <c r="D14" s="224">
        <f t="shared" si="0"/>
        <v>8</v>
      </c>
      <c r="E14" s="258"/>
    </row>
    <row r="15" ht="15.95" customHeight="1" spans="1:5">
      <c r="A15" s="210" t="s">
        <v>463</v>
      </c>
      <c r="B15" s="103">
        <v>28.06582</v>
      </c>
      <c r="C15" s="231">
        <v>7.04659947700692</v>
      </c>
      <c r="D15" s="224">
        <f t="shared" si="0"/>
        <v>3</v>
      </c>
      <c r="E15" s="258"/>
    </row>
    <row r="16" ht="15.95" customHeight="1" spans="1:5">
      <c r="A16" s="198" t="s">
        <v>490</v>
      </c>
      <c r="B16" s="103"/>
      <c r="C16" s="231"/>
      <c r="D16" s="224"/>
    </row>
    <row r="17" ht="15.95" customHeight="1" spans="1:4">
      <c r="A17" s="203" t="s">
        <v>443</v>
      </c>
      <c r="B17" s="103">
        <v>33.18394</v>
      </c>
      <c r="C17" s="231">
        <v>13.9031107852546</v>
      </c>
      <c r="D17" s="250" t="s">
        <v>8</v>
      </c>
    </row>
    <row r="18" ht="15.95" customHeight="1" spans="1:4">
      <c r="A18" s="203" t="s">
        <v>444</v>
      </c>
      <c r="B18" s="103">
        <v>1.71468</v>
      </c>
      <c r="C18" s="231">
        <v>6.202385818871</v>
      </c>
      <c r="D18" s="224">
        <f>RANK(C18,$C$18:$C$27,0)</f>
        <v>8</v>
      </c>
    </row>
    <row r="19" ht="15.95" customHeight="1" spans="1:4">
      <c r="A19" s="208" t="s">
        <v>445</v>
      </c>
      <c r="B19" s="103">
        <v>3.09618</v>
      </c>
      <c r="C19" s="231">
        <v>29.6389497175827</v>
      </c>
      <c r="D19" s="224">
        <f t="shared" ref="D19:D27" si="1">RANK(C19,$C$18:$C$27,0)</f>
        <v>5</v>
      </c>
    </row>
    <row r="20" ht="15.95" customHeight="1" spans="1:4">
      <c r="A20" s="209" t="s">
        <v>446</v>
      </c>
      <c r="B20" s="103">
        <v>0.24413</v>
      </c>
      <c r="C20" s="231">
        <v>61.846990188279</v>
      </c>
      <c r="D20" s="224">
        <f t="shared" si="1"/>
        <v>1</v>
      </c>
    </row>
    <row r="21" ht="15.95" customHeight="1" spans="1:4">
      <c r="A21" s="208" t="s">
        <v>447</v>
      </c>
      <c r="B21" s="103">
        <v>7.85577</v>
      </c>
      <c r="C21" s="231">
        <v>26.7167999845148</v>
      </c>
      <c r="D21" s="224">
        <f t="shared" si="1"/>
        <v>6</v>
      </c>
    </row>
    <row r="22" ht="15.95" customHeight="1" spans="1:4">
      <c r="A22" s="208" t="s">
        <v>449</v>
      </c>
      <c r="B22" s="103">
        <v>1.001</v>
      </c>
      <c r="C22" s="231">
        <v>-1.28205128205128</v>
      </c>
      <c r="D22" s="224">
        <f t="shared" si="1"/>
        <v>10</v>
      </c>
    </row>
    <row r="23" ht="15.95" customHeight="1" spans="1:4">
      <c r="A23" s="208" t="s">
        <v>450</v>
      </c>
      <c r="B23" s="103">
        <v>1.6589</v>
      </c>
      <c r="C23" s="231">
        <v>23.2100415923945</v>
      </c>
      <c r="D23" s="224">
        <f t="shared" si="1"/>
        <v>7</v>
      </c>
    </row>
    <row r="24" ht="15.95" customHeight="1" spans="1:4">
      <c r="A24" s="210" t="s">
        <v>451</v>
      </c>
      <c r="B24" s="103">
        <v>1.2093</v>
      </c>
      <c r="C24" s="231">
        <v>45.5059559619781</v>
      </c>
      <c r="D24" s="224">
        <f t="shared" si="1"/>
        <v>4</v>
      </c>
    </row>
    <row r="25" ht="15.95" customHeight="1" spans="1:4">
      <c r="A25" s="210" t="s">
        <v>452</v>
      </c>
      <c r="B25" s="103">
        <v>2.9486</v>
      </c>
      <c r="C25" s="231">
        <v>51.3499640693974</v>
      </c>
      <c r="D25" s="224">
        <f t="shared" si="1"/>
        <v>2</v>
      </c>
    </row>
    <row r="26" ht="15.95" customHeight="1" spans="1:4">
      <c r="A26" s="210" t="s">
        <v>453</v>
      </c>
      <c r="B26" s="103">
        <v>1.3962</v>
      </c>
      <c r="C26" s="231">
        <v>49.3262032085561</v>
      </c>
      <c r="D26" s="224">
        <f t="shared" si="1"/>
        <v>3</v>
      </c>
    </row>
    <row r="27" ht="15.95" customHeight="1" spans="1:4">
      <c r="A27" s="210" t="s">
        <v>463</v>
      </c>
      <c r="B27" s="103">
        <v>19.54508</v>
      </c>
      <c r="C27" s="231">
        <v>5.49608324791666</v>
      </c>
      <c r="D27" s="224">
        <f t="shared" si="1"/>
        <v>9</v>
      </c>
    </row>
    <row r="28" spans="1:4">
      <c r="A28" s="262"/>
      <c r="B28" s="262"/>
      <c r="C28" s="262"/>
      <c r="D28" s="262"/>
    </row>
    <row r="34" spans="1:1">
      <c r="A34" s="263"/>
    </row>
    <row r="35" spans="1:1">
      <c r="A35" s="263"/>
    </row>
    <row r="36" spans="1:1">
      <c r="A36" s="263"/>
    </row>
    <row r="37" spans="1:1">
      <c r="A37" s="264"/>
    </row>
    <row r="38" spans="1:1">
      <c r="A38" s="265"/>
    </row>
    <row r="39" spans="1:1">
      <c r="A39" s="265"/>
    </row>
    <row r="40" spans="1:1">
      <c r="A40" s="265"/>
    </row>
    <row r="41" spans="1:1">
      <c r="A41" s="265"/>
    </row>
    <row r="42" spans="1:1">
      <c r="A42" s="266"/>
    </row>
    <row r="43" spans="1:1">
      <c r="A43" s="258"/>
    </row>
    <row r="44" spans="1:1">
      <c r="A44" s="263"/>
    </row>
  </sheetData>
  <mergeCells count="2">
    <mergeCell ref="A1:D1"/>
    <mergeCell ref="C2:D2"/>
  </mergeCells>
  <pageMargins left="0.55" right="0.55" top="0.979166666666667" bottom="0.979166666666667" header="0.509027777777778" footer="0.509027777777778"/>
  <pageSetup paperSize="9" orientation="portrait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D27"/>
  <sheetViews>
    <sheetView workbookViewId="0">
      <selection activeCell="E8" sqref="E8"/>
    </sheetView>
  </sheetViews>
  <sheetFormatPr defaultColWidth="9" defaultRowHeight="14.25" outlineLevelCol="3"/>
  <cols>
    <col min="1" max="1" width="44.625" style="44" customWidth="1"/>
    <col min="2" max="2" width="12.25" style="44" customWidth="1"/>
    <col min="3" max="3" width="13.25" style="44" customWidth="1"/>
    <col min="4" max="4" width="15" style="44" customWidth="1"/>
    <col min="5" max="16384" width="9" style="44"/>
  </cols>
  <sheetData>
    <row r="1" ht="28.5" customHeight="1" spans="1:4">
      <c r="A1" s="197" t="s">
        <v>491</v>
      </c>
      <c r="B1" s="197"/>
      <c r="C1" s="197"/>
      <c r="D1" s="197"/>
    </row>
    <row r="2" ht="27.95" customHeight="1" spans="1:4">
      <c r="A2" s="284" t="s">
        <v>440</v>
      </c>
      <c r="B2" s="140" t="s">
        <v>3</v>
      </c>
      <c r="C2" s="239" t="s">
        <v>5</v>
      </c>
      <c r="D2" s="240" t="s">
        <v>441</v>
      </c>
    </row>
    <row r="3" ht="15.95" customHeight="1" spans="1:4">
      <c r="A3" s="221" t="s">
        <v>492</v>
      </c>
      <c r="B3" s="285"/>
      <c r="C3" s="286"/>
      <c r="D3" s="224"/>
    </row>
    <row r="4" ht="15.95" customHeight="1" spans="1:4">
      <c r="A4" s="225" t="s">
        <v>443</v>
      </c>
      <c r="B4" s="287">
        <v>123979</v>
      </c>
      <c r="C4" s="231">
        <v>-7.88052160344763</v>
      </c>
      <c r="D4" s="250" t="s">
        <v>8</v>
      </c>
    </row>
    <row r="5" ht="15.95" customHeight="1" spans="1:4">
      <c r="A5" s="225" t="s">
        <v>444</v>
      </c>
      <c r="B5" s="287">
        <v>5254</v>
      </c>
      <c r="C5" s="231">
        <v>-14.63850528026</v>
      </c>
      <c r="D5" s="224">
        <f>RANK(C5,$C$5:$C$14,0)</f>
        <v>10</v>
      </c>
    </row>
    <row r="6" ht="15.95" customHeight="1" spans="1:4">
      <c r="A6" s="210" t="s">
        <v>445</v>
      </c>
      <c r="B6" s="287">
        <v>18705</v>
      </c>
      <c r="C6" s="231">
        <v>-2.25229933110368</v>
      </c>
      <c r="D6" s="224">
        <f t="shared" ref="D6:D14" si="0">RANK(C6,$C$5:$C$14,0)</f>
        <v>3</v>
      </c>
    </row>
    <row r="7" ht="15.95" customHeight="1" spans="1:4">
      <c r="A7" s="229" t="s">
        <v>446</v>
      </c>
      <c r="B7" s="287">
        <v>9607</v>
      </c>
      <c r="C7" s="231">
        <v>-7.45592910124265</v>
      </c>
      <c r="D7" s="224">
        <f t="shared" si="0"/>
        <v>6</v>
      </c>
    </row>
    <row r="8" ht="15.95" customHeight="1" spans="1:4">
      <c r="A8" s="210" t="s">
        <v>447</v>
      </c>
      <c r="B8" s="287">
        <v>13011</v>
      </c>
      <c r="C8" s="231">
        <v>-13.1963439855894</v>
      </c>
      <c r="D8" s="224">
        <f t="shared" si="0"/>
        <v>9</v>
      </c>
    </row>
    <row r="9" ht="15.95" customHeight="1" spans="1:4">
      <c r="A9" s="210" t="s">
        <v>449</v>
      </c>
      <c r="B9" s="287">
        <v>11784</v>
      </c>
      <c r="C9" s="231">
        <v>-2.05302967334386</v>
      </c>
      <c r="D9" s="224">
        <f t="shared" si="0"/>
        <v>2</v>
      </c>
    </row>
    <row r="10" ht="15.95" customHeight="1" spans="1:4">
      <c r="A10" s="210" t="s">
        <v>450</v>
      </c>
      <c r="B10" s="287">
        <v>2647</v>
      </c>
      <c r="C10" s="231">
        <v>-7.99443865137296</v>
      </c>
      <c r="D10" s="224">
        <f t="shared" si="0"/>
        <v>7</v>
      </c>
    </row>
    <row r="11" ht="15.95" customHeight="1" spans="1:4">
      <c r="A11" s="210" t="s">
        <v>451</v>
      </c>
      <c r="B11" s="287">
        <v>8242</v>
      </c>
      <c r="C11" s="231">
        <v>-7.06956815875521</v>
      </c>
      <c r="D11" s="224">
        <f t="shared" si="0"/>
        <v>5</v>
      </c>
    </row>
    <row r="12" ht="15.95" customHeight="1" spans="1:4">
      <c r="A12" s="210" t="s">
        <v>452</v>
      </c>
      <c r="B12" s="287">
        <v>13399</v>
      </c>
      <c r="C12" s="231">
        <v>-4.15593705293276</v>
      </c>
      <c r="D12" s="224">
        <f t="shared" si="0"/>
        <v>4</v>
      </c>
    </row>
    <row r="13" ht="15.95" customHeight="1" spans="1:4">
      <c r="A13" s="210" t="s">
        <v>453</v>
      </c>
      <c r="B13" s="287">
        <v>32361</v>
      </c>
      <c r="C13" s="231">
        <v>-12.6865067587621</v>
      </c>
      <c r="D13" s="224">
        <f t="shared" si="0"/>
        <v>8</v>
      </c>
    </row>
    <row r="14" s="52" customFormat="1" ht="15.95" customHeight="1" spans="1:4">
      <c r="A14" s="210" t="s">
        <v>463</v>
      </c>
      <c r="B14" s="287">
        <v>20390</v>
      </c>
      <c r="C14" s="231">
        <v>-2.00413322439563</v>
      </c>
      <c r="D14" s="224">
        <f t="shared" si="0"/>
        <v>1</v>
      </c>
    </row>
    <row r="15" ht="15.95" customHeight="1" spans="1:4">
      <c r="A15" s="221" t="s">
        <v>493</v>
      </c>
      <c r="B15" s="288"/>
      <c r="C15" s="289"/>
      <c r="D15" s="290"/>
    </row>
    <row r="16" ht="15.95" customHeight="1" spans="1:4">
      <c r="A16" s="225" t="s">
        <v>443</v>
      </c>
      <c r="B16" s="261">
        <v>17.46</v>
      </c>
      <c r="C16" s="231">
        <v>2.8</v>
      </c>
      <c r="D16" s="250" t="s">
        <v>8</v>
      </c>
    </row>
    <row r="17" ht="15.95" customHeight="1" spans="1:4">
      <c r="A17" s="225" t="s">
        <v>444</v>
      </c>
      <c r="B17" s="261">
        <v>5.78</v>
      </c>
      <c r="C17" s="231">
        <v>1.6</v>
      </c>
      <c r="D17" s="224">
        <v>5</v>
      </c>
    </row>
    <row r="18" ht="15.95" customHeight="1" spans="1:4">
      <c r="A18" s="210" t="s">
        <v>445</v>
      </c>
      <c r="B18" s="261">
        <v>40.67</v>
      </c>
      <c r="C18" s="231">
        <v>-5</v>
      </c>
      <c r="D18" s="224">
        <v>10</v>
      </c>
    </row>
    <row r="19" ht="15.95" customHeight="1" spans="1:4">
      <c r="A19" s="229" t="s">
        <v>446</v>
      </c>
      <c r="B19" s="261">
        <v>33.97</v>
      </c>
      <c r="C19" s="231">
        <v>11.1</v>
      </c>
      <c r="D19" s="224">
        <v>1</v>
      </c>
    </row>
    <row r="20" ht="15.95" customHeight="1" spans="1:4">
      <c r="A20" s="210" t="s">
        <v>447</v>
      </c>
      <c r="B20" s="261">
        <v>18.63</v>
      </c>
      <c r="C20" s="231">
        <v>6.1</v>
      </c>
      <c r="D20" s="224">
        <v>2</v>
      </c>
    </row>
    <row r="21" ht="15.95" customHeight="1" spans="1:4">
      <c r="A21" s="210" t="s">
        <v>449</v>
      </c>
      <c r="B21" s="261">
        <v>10.76</v>
      </c>
      <c r="C21" s="231">
        <v>-3.1</v>
      </c>
      <c r="D21" s="224">
        <v>8</v>
      </c>
    </row>
    <row r="22" ht="15.95" customHeight="1" spans="1:4">
      <c r="A22" s="210" t="s">
        <v>450</v>
      </c>
      <c r="B22" s="261">
        <v>4.98</v>
      </c>
      <c r="C22" s="231">
        <v>0.2</v>
      </c>
      <c r="D22" s="224">
        <v>6</v>
      </c>
    </row>
    <row r="23" ht="15.95" customHeight="1" spans="1:4">
      <c r="A23" s="210" t="s">
        <v>451</v>
      </c>
      <c r="B23" s="261">
        <v>-1.01</v>
      </c>
      <c r="C23" s="231">
        <v>-2.5</v>
      </c>
      <c r="D23" s="224">
        <v>7</v>
      </c>
    </row>
    <row r="24" ht="15.95" customHeight="1" spans="1:4">
      <c r="A24" s="210" t="s">
        <v>452</v>
      </c>
      <c r="B24" s="261">
        <v>4.24</v>
      </c>
      <c r="C24" s="231">
        <v>1.7</v>
      </c>
      <c r="D24" s="224">
        <v>4</v>
      </c>
    </row>
    <row r="25" ht="15.95" customHeight="1" spans="1:4">
      <c r="A25" s="210" t="s">
        <v>453</v>
      </c>
      <c r="B25" s="261">
        <v>9.83</v>
      </c>
      <c r="C25" s="231">
        <v>-3.1</v>
      </c>
      <c r="D25" s="224">
        <v>8</v>
      </c>
    </row>
    <row r="26" ht="15.95" customHeight="1" spans="1:4">
      <c r="A26" s="217" t="s">
        <v>463</v>
      </c>
      <c r="B26" s="291">
        <v>12.01</v>
      </c>
      <c r="C26" s="236">
        <v>3.9</v>
      </c>
      <c r="D26" s="237">
        <v>3</v>
      </c>
    </row>
    <row r="27" spans="1:4">
      <c r="A27" s="292"/>
      <c r="B27" s="292"/>
      <c r="C27" s="292"/>
      <c r="D27" s="292"/>
    </row>
  </sheetData>
  <mergeCells count="1">
    <mergeCell ref="A1:D1"/>
  </mergeCells>
  <pageMargins left="0.75" right="0.75" top="1" bottom="1" header="0.509027777777778" footer="0.509027777777778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workbookViewId="0">
      <selection activeCell="F11" sqref="F11"/>
    </sheetView>
  </sheetViews>
  <sheetFormatPr defaultColWidth="9" defaultRowHeight="14.25" outlineLevelCol="4"/>
  <cols>
    <col min="1" max="1" width="41" style="195" customWidth="1"/>
    <col min="2" max="2" width="13.125" style="196" customWidth="1"/>
    <col min="3" max="3" width="13.125" style="257" customWidth="1"/>
    <col min="4" max="4" width="13.125" style="196" customWidth="1"/>
    <col min="5" max="5" width="9.75" style="196" customWidth="1"/>
    <col min="6" max="16384" width="9" style="196"/>
  </cols>
  <sheetData>
    <row r="1" ht="28.5" customHeight="1" spans="1:5">
      <c r="A1" s="197" t="s">
        <v>494</v>
      </c>
      <c r="B1" s="197"/>
      <c r="C1" s="197"/>
      <c r="D1" s="197"/>
    </row>
    <row r="2" ht="20.25" customHeight="1" spans="1:5">
      <c r="A2" s="267"/>
      <c r="B2" s="267"/>
      <c r="C2" s="267"/>
      <c r="D2" s="268" t="s">
        <v>417</v>
      </c>
    </row>
    <row r="3" ht="28.5" customHeight="1" spans="1:5">
      <c r="A3" s="269" t="s">
        <v>440</v>
      </c>
      <c r="B3" s="270" t="s">
        <v>3</v>
      </c>
      <c r="C3" s="271" t="s">
        <v>5</v>
      </c>
      <c r="D3" s="270" t="s">
        <v>441</v>
      </c>
      <c r="E3" s="258"/>
    </row>
    <row r="4" ht="18" customHeight="1" spans="1:5">
      <c r="A4" s="272" t="s">
        <v>495</v>
      </c>
      <c r="B4" s="273"/>
      <c r="C4" s="274"/>
      <c r="D4" s="275"/>
    </row>
    <row r="5" ht="18" customHeight="1" spans="1:5">
      <c r="A5" s="276" t="s">
        <v>443</v>
      </c>
      <c r="B5" s="277">
        <v>117.35</v>
      </c>
      <c r="C5" s="278">
        <v>-2.6</v>
      </c>
      <c r="D5" s="279" t="s">
        <v>8</v>
      </c>
    </row>
    <row r="6" ht="18" customHeight="1" spans="1:5">
      <c r="A6" s="276" t="s">
        <v>444</v>
      </c>
      <c r="B6" s="277">
        <v>104.38</v>
      </c>
      <c r="C6" s="278">
        <v>2.1</v>
      </c>
      <c r="D6" s="275">
        <v>3</v>
      </c>
    </row>
    <row r="7" ht="18" customHeight="1" spans="1:5">
      <c r="A7" s="280" t="s">
        <v>445</v>
      </c>
      <c r="B7" s="277">
        <v>112.7</v>
      </c>
      <c r="C7" s="278">
        <v>1.8</v>
      </c>
      <c r="D7" s="275">
        <v>4</v>
      </c>
    </row>
    <row r="8" ht="18" customHeight="1" spans="1:5">
      <c r="A8" s="281" t="s">
        <v>446</v>
      </c>
      <c r="B8" s="277">
        <v>155.9</v>
      </c>
      <c r="C8" s="278">
        <v>-45.1</v>
      </c>
      <c r="D8" s="275">
        <v>10</v>
      </c>
    </row>
    <row r="9" ht="18" customHeight="1" spans="1:5">
      <c r="A9" s="280" t="s">
        <v>447</v>
      </c>
      <c r="B9" s="277">
        <v>118.09</v>
      </c>
      <c r="C9" s="278">
        <v>-2.9</v>
      </c>
      <c r="D9" s="275">
        <v>6</v>
      </c>
    </row>
    <row r="10" ht="18" customHeight="1" spans="1:5">
      <c r="A10" s="280" t="s">
        <v>449</v>
      </c>
      <c r="B10" s="277">
        <v>97.21</v>
      </c>
      <c r="C10" s="278">
        <v>3.9</v>
      </c>
      <c r="D10" s="275">
        <v>2</v>
      </c>
    </row>
    <row r="11" ht="18" customHeight="1" spans="1:5">
      <c r="A11" s="280" t="s">
        <v>450</v>
      </c>
      <c r="B11" s="277">
        <v>164.6</v>
      </c>
      <c r="C11" s="278">
        <v>-31.8</v>
      </c>
      <c r="D11" s="275">
        <v>9</v>
      </c>
    </row>
    <row r="12" ht="18" customHeight="1" spans="1:5">
      <c r="A12" s="282" t="s">
        <v>451</v>
      </c>
      <c r="B12" s="277">
        <v>105.8</v>
      </c>
      <c r="C12" s="278">
        <v>23.7</v>
      </c>
      <c r="D12" s="275">
        <v>1</v>
      </c>
    </row>
    <row r="13" ht="18" customHeight="1" spans="1:5">
      <c r="A13" s="282" t="s">
        <v>452</v>
      </c>
      <c r="B13" s="277">
        <v>89.77</v>
      </c>
      <c r="C13" s="278">
        <v>-20.6</v>
      </c>
      <c r="D13" s="275">
        <v>8</v>
      </c>
    </row>
    <row r="14" ht="18" customHeight="1" spans="1:5">
      <c r="A14" s="282" t="s">
        <v>453</v>
      </c>
      <c r="B14" s="277">
        <v>116.14</v>
      </c>
      <c r="C14" s="278">
        <v>-20.1</v>
      </c>
      <c r="D14" s="275">
        <v>7</v>
      </c>
    </row>
    <row r="15" ht="18" customHeight="1" spans="1:5">
      <c r="A15" s="282" t="s">
        <v>463</v>
      </c>
      <c r="B15" s="277">
        <v>115.92</v>
      </c>
      <c r="C15" s="278">
        <v>1.1</v>
      </c>
      <c r="D15" s="275">
        <v>5</v>
      </c>
    </row>
    <row r="16" ht="18" customHeight="1" spans="1:5">
      <c r="A16" s="272" t="s">
        <v>496</v>
      </c>
      <c r="B16" s="277"/>
      <c r="C16" s="278"/>
      <c r="D16" s="275"/>
      <c r="E16" s="258"/>
    </row>
    <row r="17" ht="18" customHeight="1" spans="1:5">
      <c r="A17" s="276" t="s">
        <v>443</v>
      </c>
      <c r="B17" s="277">
        <v>65.92</v>
      </c>
      <c r="C17" s="278">
        <v>-4.1</v>
      </c>
      <c r="D17" s="279" t="s">
        <v>8</v>
      </c>
      <c r="E17" s="258"/>
    </row>
    <row r="18" ht="18" customHeight="1" spans="1:5">
      <c r="A18" s="276" t="s">
        <v>444</v>
      </c>
      <c r="B18" s="277">
        <v>46.12</v>
      </c>
      <c r="C18" s="278">
        <v>-6.8</v>
      </c>
      <c r="D18" s="275">
        <v>8</v>
      </c>
      <c r="E18" s="258"/>
    </row>
    <row r="19" ht="18" customHeight="1" spans="1:5">
      <c r="A19" s="280" t="s">
        <v>445</v>
      </c>
      <c r="B19" s="277">
        <v>57.6</v>
      </c>
      <c r="C19" s="278">
        <v>2.3</v>
      </c>
      <c r="D19" s="275">
        <v>2</v>
      </c>
      <c r="E19" s="258"/>
    </row>
    <row r="20" ht="18" customHeight="1" spans="1:5">
      <c r="A20" s="281" t="s">
        <v>446</v>
      </c>
      <c r="B20" s="277">
        <v>76.2</v>
      </c>
      <c r="C20" s="278">
        <v>-9.3</v>
      </c>
      <c r="D20" s="275">
        <v>10</v>
      </c>
      <c r="E20" s="258"/>
    </row>
    <row r="21" ht="18" customHeight="1" spans="1:5">
      <c r="A21" s="280" t="s">
        <v>447</v>
      </c>
      <c r="B21" s="277">
        <v>58.37</v>
      </c>
      <c r="C21" s="278">
        <v>-6.9</v>
      </c>
      <c r="D21" s="275">
        <v>9</v>
      </c>
      <c r="E21" s="258"/>
    </row>
    <row r="22" ht="18" customHeight="1" spans="1:5">
      <c r="A22" s="280" t="s">
        <v>449</v>
      </c>
      <c r="B22" s="277">
        <v>56.65</v>
      </c>
      <c r="C22" s="278">
        <v>10.2</v>
      </c>
      <c r="D22" s="275">
        <v>1</v>
      </c>
      <c r="E22" s="258"/>
    </row>
    <row r="23" ht="18" customHeight="1" spans="1:5">
      <c r="A23" s="280" t="s">
        <v>450</v>
      </c>
      <c r="B23" s="277">
        <v>74.14</v>
      </c>
      <c r="C23" s="278">
        <v>-6.4</v>
      </c>
      <c r="D23" s="275">
        <v>7</v>
      </c>
      <c r="E23" s="258"/>
    </row>
    <row r="24" ht="18" customHeight="1" spans="1:5">
      <c r="A24" s="282" t="s">
        <v>451</v>
      </c>
      <c r="B24" s="277">
        <v>101.19</v>
      </c>
      <c r="C24" s="278">
        <v>-0.1</v>
      </c>
      <c r="D24" s="275">
        <v>5</v>
      </c>
      <c r="E24" s="258"/>
    </row>
    <row r="25" ht="18" customHeight="1" spans="1:5">
      <c r="A25" s="282" t="s">
        <v>452</v>
      </c>
      <c r="B25" s="277">
        <v>87.03</v>
      </c>
      <c r="C25" s="278">
        <v>1.6</v>
      </c>
      <c r="D25" s="275">
        <v>3</v>
      </c>
      <c r="E25" s="258"/>
    </row>
    <row r="26" ht="18" customHeight="1" spans="1:5">
      <c r="A26" s="282" t="s">
        <v>453</v>
      </c>
      <c r="B26" s="277">
        <v>64.39</v>
      </c>
      <c r="C26" s="278">
        <v>1.6</v>
      </c>
      <c r="D26" s="275">
        <v>3</v>
      </c>
      <c r="E26" s="258"/>
    </row>
    <row r="27" ht="18" customHeight="1" spans="1:5">
      <c r="A27" s="283" t="s">
        <v>463</v>
      </c>
      <c r="B27" s="277">
        <v>55.42</v>
      </c>
      <c r="C27" s="278">
        <v>-6.3</v>
      </c>
      <c r="D27" s="275">
        <v>6</v>
      </c>
      <c r="E27" s="258"/>
    </row>
    <row r="28" spans="1:5">
      <c r="A28" s="262"/>
      <c r="B28" s="262"/>
      <c r="C28" s="262"/>
      <c r="D28" s="262"/>
    </row>
    <row r="34" spans="1:1">
      <c r="A34" s="263"/>
    </row>
    <row r="35" spans="1:1">
      <c r="A35" s="263"/>
    </row>
    <row r="36" spans="1:1">
      <c r="A36" s="263"/>
    </row>
    <row r="37" spans="1:1">
      <c r="A37" s="264"/>
    </row>
    <row r="38" spans="1:1">
      <c r="A38" s="265"/>
    </row>
    <row r="39" spans="1:1">
      <c r="A39" s="265"/>
    </row>
    <row r="40" spans="1:1">
      <c r="A40" s="265"/>
    </row>
    <row r="41" spans="1:1">
      <c r="A41" s="265"/>
    </row>
    <row r="42" spans="1:1">
      <c r="A42" s="266"/>
    </row>
    <row r="43" spans="1:1">
      <c r="A43" s="258"/>
    </row>
    <row r="44" spans="1:1">
      <c r="A44" s="263"/>
    </row>
  </sheetData>
  <mergeCells count="1">
    <mergeCell ref="A1:D1"/>
  </mergeCells>
  <pageMargins left="0.75" right="0.75" top="0.588888888888889" bottom="0.588888888888889" header="0.509027777777778" footer="0.509027777777778"/>
  <pageSetup paperSize="9" orientation="portrait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workbookViewId="0">
      <selection activeCell="E8" sqref="E8"/>
    </sheetView>
  </sheetViews>
  <sheetFormatPr defaultColWidth="9" defaultRowHeight="14.25" outlineLevelCol="4"/>
  <cols>
    <col min="1" max="1" width="43.5" style="195" customWidth="1"/>
    <col min="2" max="2" width="13.125" style="196" customWidth="1"/>
    <col min="3" max="3" width="13.125" style="257" customWidth="1"/>
    <col min="4" max="4" width="13.125" style="196" customWidth="1"/>
    <col min="5" max="5" width="9.75" style="196" customWidth="1"/>
    <col min="6" max="16384" width="9" style="196"/>
  </cols>
  <sheetData>
    <row r="1" ht="28.5" customHeight="1" spans="1:5">
      <c r="A1" s="197" t="s">
        <v>497</v>
      </c>
      <c r="B1" s="197"/>
      <c r="C1" s="197"/>
      <c r="D1" s="197"/>
    </row>
    <row r="2" ht="20.25" customHeight="1" spans="1:5">
      <c r="A2" s="112"/>
      <c r="B2" s="112"/>
      <c r="C2" s="220" t="s">
        <v>417</v>
      </c>
      <c r="D2" s="220"/>
    </row>
    <row r="3" ht="28.5" customHeight="1" spans="1:5">
      <c r="A3" s="91" t="s">
        <v>440</v>
      </c>
      <c r="B3" s="140" t="s">
        <v>3</v>
      </c>
      <c r="C3" s="92" t="s">
        <v>5</v>
      </c>
      <c r="D3" s="140" t="s">
        <v>441</v>
      </c>
      <c r="E3" s="258"/>
    </row>
    <row r="4" ht="18" customHeight="1" spans="1:5">
      <c r="A4" s="259" t="s">
        <v>498</v>
      </c>
      <c r="B4" s="233"/>
      <c r="C4" s="260"/>
      <c r="D4" s="233"/>
      <c r="E4" s="258"/>
    </row>
    <row r="5" ht="18" customHeight="1" spans="1:5">
      <c r="A5" s="203" t="s">
        <v>443</v>
      </c>
      <c r="B5" s="261">
        <v>2.37</v>
      </c>
      <c r="C5" s="231">
        <v>0</v>
      </c>
      <c r="D5" s="250" t="s">
        <v>8</v>
      </c>
      <c r="E5" s="258"/>
    </row>
    <row r="6" ht="18" customHeight="1" spans="1:5">
      <c r="A6" s="203" t="s">
        <v>444</v>
      </c>
      <c r="B6" s="261">
        <v>0.98</v>
      </c>
      <c r="C6" s="231">
        <v>0.1</v>
      </c>
      <c r="D6" s="224">
        <v>6</v>
      </c>
      <c r="E6" s="258"/>
    </row>
    <row r="7" ht="18" customHeight="1" spans="1:5">
      <c r="A7" s="208" t="s">
        <v>445</v>
      </c>
      <c r="B7" s="261">
        <v>2.82</v>
      </c>
      <c r="C7" s="231">
        <v>-0.1</v>
      </c>
      <c r="D7" s="224">
        <v>7</v>
      </c>
      <c r="E7" s="258"/>
    </row>
    <row r="8" ht="18" customHeight="1" spans="1:5">
      <c r="A8" s="209" t="s">
        <v>446</v>
      </c>
      <c r="B8" s="261">
        <v>6.86</v>
      </c>
      <c r="C8" s="231">
        <v>1</v>
      </c>
      <c r="D8" s="224">
        <v>1</v>
      </c>
      <c r="E8" s="258"/>
    </row>
    <row r="9" ht="18" customHeight="1" spans="1:5">
      <c r="A9" s="208" t="s">
        <v>447</v>
      </c>
      <c r="B9" s="261">
        <v>3.22</v>
      </c>
      <c r="C9" s="231">
        <v>0.3</v>
      </c>
      <c r="D9" s="224">
        <v>3</v>
      </c>
      <c r="E9" s="258"/>
    </row>
    <row r="10" ht="18" customHeight="1" spans="1:5">
      <c r="A10" s="208" t="s">
        <v>449</v>
      </c>
      <c r="B10" s="261">
        <v>3.67</v>
      </c>
      <c r="C10" s="231">
        <v>-2.9</v>
      </c>
      <c r="D10" s="224">
        <v>10</v>
      </c>
      <c r="E10" s="258"/>
    </row>
    <row r="11" ht="18" customHeight="1" spans="1:5">
      <c r="A11" s="208" t="s">
        <v>450</v>
      </c>
      <c r="B11" s="261">
        <v>0.88</v>
      </c>
      <c r="C11" s="231">
        <v>0.2</v>
      </c>
      <c r="D11" s="224">
        <v>4</v>
      </c>
      <c r="E11" s="258"/>
    </row>
    <row r="12" ht="18" customHeight="1" spans="1:5">
      <c r="A12" s="210" t="s">
        <v>451</v>
      </c>
      <c r="B12" s="261">
        <v>0.38</v>
      </c>
      <c r="C12" s="231">
        <v>-0.1</v>
      </c>
      <c r="D12" s="224">
        <v>7</v>
      </c>
      <c r="E12" s="258"/>
    </row>
    <row r="13" ht="18" customHeight="1" spans="1:5">
      <c r="A13" s="210" t="s">
        <v>452</v>
      </c>
      <c r="B13" s="261">
        <v>1.65</v>
      </c>
      <c r="C13" s="231">
        <v>0.5</v>
      </c>
      <c r="D13" s="224">
        <v>2</v>
      </c>
      <c r="E13" s="258"/>
    </row>
    <row r="14" ht="18" customHeight="1" spans="1:5">
      <c r="A14" s="210" t="s">
        <v>453</v>
      </c>
      <c r="B14" s="261">
        <v>4.8</v>
      </c>
      <c r="C14" s="231">
        <v>-0.8</v>
      </c>
      <c r="D14" s="224">
        <v>9</v>
      </c>
      <c r="E14" s="258"/>
    </row>
    <row r="15" ht="18" customHeight="1" spans="1:5">
      <c r="A15" s="210" t="s">
        <v>463</v>
      </c>
      <c r="B15" s="261">
        <v>2.22</v>
      </c>
      <c r="C15" s="231">
        <v>0.2</v>
      </c>
      <c r="D15" s="224">
        <v>4</v>
      </c>
      <c r="E15" s="258"/>
    </row>
    <row r="16" ht="18" customHeight="1" spans="1:5">
      <c r="A16" s="198" t="s">
        <v>499</v>
      </c>
      <c r="B16" s="261"/>
      <c r="C16" s="231"/>
      <c r="D16" s="224"/>
    </row>
    <row r="17" ht="18" customHeight="1" spans="1:4">
      <c r="A17" s="203" t="s">
        <v>443</v>
      </c>
      <c r="B17" s="261">
        <v>11.44</v>
      </c>
      <c r="C17" s="231">
        <v>2.9</v>
      </c>
      <c r="D17" s="250" t="s">
        <v>8</v>
      </c>
    </row>
    <row r="18" ht="18" customHeight="1" spans="1:4">
      <c r="A18" s="203" t="s">
        <v>444</v>
      </c>
      <c r="B18" s="261">
        <v>4.96</v>
      </c>
      <c r="C18" s="231">
        <v>1.5</v>
      </c>
      <c r="D18" s="224">
        <v>4</v>
      </c>
    </row>
    <row r="19" ht="18" customHeight="1" spans="1:4">
      <c r="A19" s="208" t="s">
        <v>445</v>
      </c>
      <c r="B19" s="261">
        <v>6.11</v>
      </c>
      <c r="C19" s="231">
        <v>-2.2</v>
      </c>
      <c r="D19" s="224">
        <v>8</v>
      </c>
    </row>
    <row r="20" ht="18" customHeight="1" spans="1:4">
      <c r="A20" s="209" t="s">
        <v>446</v>
      </c>
      <c r="B20" s="261">
        <v>73.85</v>
      </c>
      <c r="C20" s="231">
        <v>26.2</v>
      </c>
      <c r="D20" s="224">
        <v>1</v>
      </c>
    </row>
    <row r="21" ht="18" customHeight="1" spans="1:4">
      <c r="A21" s="208" t="s">
        <v>447</v>
      </c>
      <c r="B21" s="261">
        <v>13.75</v>
      </c>
      <c r="C21" s="231">
        <v>4.5</v>
      </c>
      <c r="D21" s="224">
        <v>2</v>
      </c>
    </row>
    <row r="22" ht="18" customHeight="1" spans="1:4">
      <c r="A22" s="208" t="s">
        <v>449</v>
      </c>
      <c r="B22" s="261">
        <v>2.64</v>
      </c>
      <c r="C22" s="231">
        <v>0.5</v>
      </c>
      <c r="D22" s="224">
        <v>6</v>
      </c>
    </row>
    <row r="23" ht="18" customHeight="1" spans="1:4">
      <c r="A23" s="208" t="s">
        <v>450</v>
      </c>
      <c r="B23" s="261">
        <v>11.47</v>
      </c>
      <c r="C23" s="231">
        <v>-2.7</v>
      </c>
      <c r="D23" s="224">
        <v>9</v>
      </c>
    </row>
    <row r="24" ht="18" customHeight="1" spans="1:4">
      <c r="A24" s="210" t="s">
        <v>451</v>
      </c>
      <c r="B24" s="261">
        <v>-5.98</v>
      </c>
      <c r="C24" s="231">
        <v>-7.1</v>
      </c>
      <c r="D24" s="224">
        <v>10</v>
      </c>
    </row>
    <row r="25" ht="18" customHeight="1" spans="1:4">
      <c r="A25" s="210" t="s">
        <v>452</v>
      </c>
      <c r="B25" s="261">
        <v>0.42</v>
      </c>
      <c r="C25" s="231">
        <v>0.8</v>
      </c>
      <c r="D25" s="224">
        <v>5</v>
      </c>
    </row>
    <row r="26" ht="18" customHeight="1" spans="1:4">
      <c r="A26" s="210" t="s">
        <v>453</v>
      </c>
      <c r="B26" s="261">
        <v>1.85</v>
      </c>
      <c r="C26" s="231">
        <v>-0.1</v>
      </c>
      <c r="D26" s="224">
        <v>7</v>
      </c>
    </row>
    <row r="27" ht="18" customHeight="1" spans="1:4">
      <c r="A27" s="210" t="s">
        <v>463</v>
      </c>
      <c r="B27" s="261">
        <v>13.35</v>
      </c>
      <c r="C27" s="231">
        <v>4.1</v>
      </c>
      <c r="D27" s="224">
        <v>3</v>
      </c>
    </row>
    <row r="28" spans="1:4">
      <c r="A28" s="262"/>
      <c r="B28" s="262"/>
      <c r="C28" s="262"/>
      <c r="D28" s="262"/>
    </row>
    <row r="34" spans="1:1">
      <c r="A34" s="263"/>
    </row>
    <row r="35" spans="1:1">
      <c r="A35" s="263"/>
    </row>
    <row r="36" spans="1:1">
      <c r="A36" s="263"/>
    </row>
    <row r="37" spans="1:1">
      <c r="A37" s="264"/>
    </row>
    <row r="38" spans="1:1">
      <c r="A38" s="265"/>
    </row>
    <row r="39" spans="1:1">
      <c r="A39" s="265"/>
    </row>
    <row r="40" spans="1:1">
      <c r="A40" s="265"/>
    </row>
    <row r="41" spans="1:1">
      <c r="A41" s="265"/>
    </row>
    <row r="42" spans="1:1">
      <c r="A42" s="266"/>
    </row>
    <row r="43" spans="1:1">
      <c r="A43" s="258"/>
    </row>
    <row r="44" spans="1:1">
      <c r="A44" s="263"/>
    </row>
  </sheetData>
  <mergeCells count="2">
    <mergeCell ref="A1:D1"/>
    <mergeCell ref="C2:D2"/>
  </mergeCells>
  <pageMargins left="0.75" right="0.75" top="0.588888888888889" bottom="0.588888888888889" header="0.509027777777778" footer="0.509027777777778"/>
  <pageSetup paperSize="9" scale="99" orientation="portrait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29"/>
  <sheetViews>
    <sheetView workbookViewId="0">
      <selection activeCell="E7" sqref="E7"/>
    </sheetView>
  </sheetViews>
  <sheetFormatPr defaultColWidth="9" defaultRowHeight="14.25" outlineLevelCol="4"/>
  <cols>
    <col min="1" max="1" width="31.75" style="195" customWidth="1"/>
    <col min="2" max="2" width="13.125" style="196" customWidth="1"/>
    <col min="3" max="3" width="12.75" style="196" customWidth="1"/>
    <col min="4" max="4" width="16" style="196" customWidth="1"/>
    <col min="5" max="16384" width="9" style="196"/>
  </cols>
  <sheetData>
    <row r="1" ht="28.5" customHeight="1" spans="1:4">
      <c r="A1" s="197" t="s">
        <v>500</v>
      </c>
      <c r="B1" s="197"/>
      <c r="C1" s="197"/>
      <c r="D1" s="197"/>
    </row>
    <row r="2" ht="20.25" customHeight="1" spans="1:4">
      <c r="A2" s="219"/>
      <c r="B2" s="219"/>
      <c r="C2" s="219"/>
      <c r="D2" s="238" t="s">
        <v>35</v>
      </c>
    </row>
    <row r="3" ht="31.5" customHeight="1" spans="1:4">
      <c r="A3" s="91" t="s">
        <v>440</v>
      </c>
      <c r="B3" s="140" t="s">
        <v>3</v>
      </c>
      <c r="C3" s="239" t="s">
        <v>5</v>
      </c>
      <c r="D3" s="240" t="s">
        <v>441</v>
      </c>
    </row>
    <row r="4" ht="18" customHeight="1" spans="1:4">
      <c r="A4" s="232" t="s">
        <v>501</v>
      </c>
      <c r="B4" s="215"/>
      <c r="C4" s="241"/>
      <c r="D4" s="242"/>
    </row>
    <row r="5" ht="18" customHeight="1" spans="1:4">
      <c r="A5" s="243" t="s">
        <v>443</v>
      </c>
      <c r="B5" s="107"/>
      <c r="C5" s="109">
        <v>12.8</v>
      </c>
      <c r="D5" s="244" t="s">
        <v>8</v>
      </c>
    </row>
    <row r="6" ht="18" customHeight="1" spans="1:4">
      <c r="A6" s="243" t="s">
        <v>444</v>
      </c>
      <c r="B6" s="107"/>
      <c r="C6" s="109">
        <v>15.6</v>
      </c>
      <c r="D6" s="244">
        <v>7</v>
      </c>
    </row>
    <row r="7" ht="18" customHeight="1" spans="1:4">
      <c r="A7" s="245" t="s">
        <v>445</v>
      </c>
      <c r="B7" s="107"/>
      <c r="C7" s="109">
        <v>10.1</v>
      </c>
      <c r="D7" s="244">
        <v>8</v>
      </c>
    </row>
    <row r="8" ht="18" customHeight="1" spans="1:4">
      <c r="A8" s="246" t="s">
        <v>446</v>
      </c>
      <c r="B8" s="107"/>
      <c r="C8" s="109">
        <v>23.2</v>
      </c>
      <c r="D8" s="244">
        <v>2</v>
      </c>
    </row>
    <row r="9" ht="18" customHeight="1" spans="1:4">
      <c r="A9" s="245" t="s">
        <v>447</v>
      </c>
      <c r="B9" s="107"/>
      <c r="C9" s="109">
        <v>6.7</v>
      </c>
      <c r="D9" s="244">
        <v>9</v>
      </c>
    </row>
    <row r="10" ht="18" customHeight="1" spans="1:4">
      <c r="A10" s="245" t="s">
        <v>448</v>
      </c>
      <c r="B10" s="107"/>
      <c r="C10" s="230">
        <v>21.8</v>
      </c>
      <c r="D10" s="244">
        <v>4</v>
      </c>
    </row>
    <row r="11" ht="18" customHeight="1" spans="1:4">
      <c r="A11" s="245" t="s">
        <v>449</v>
      </c>
      <c r="B11" s="107"/>
      <c r="C11" s="230">
        <v>21.9</v>
      </c>
      <c r="D11" s="244">
        <v>3</v>
      </c>
    </row>
    <row r="12" ht="18" customHeight="1" spans="1:4">
      <c r="A12" s="245" t="s">
        <v>450</v>
      </c>
      <c r="B12" s="107"/>
      <c r="C12" s="230">
        <v>37.5</v>
      </c>
      <c r="D12" s="244">
        <v>1</v>
      </c>
    </row>
    <row r="13" ht="18" customHeight="1" spans="1:4">
      <c r="A13" s="245" t="s">
        <v>451</v>
      </c>
      <c r="B13" s="107"/>
      <c r="C13" s="230">
        <v>18.7</v>
      </c>
      <c r="D13" s="244">
        <v>6</v>
      </c>
    </row>
    <row r="14" ht="18" customHeight="1" spans="1:4">
      <c r="A14" s="245" t="s">
        <v>462</v>
      </c>
      <c r="B14" s="107"/>
      <c r="C14" s="230">
        <v>-59.5</v>
      </c>
      <c r="D14" s="244" t="s">
        <v>8</v>
      </c>
    </row>
    <row r="15" ht="18" customHeight="1" spans="1:4">
      <c r="A15" s="245" t="s">
        <v>452</v>
      </c>
      <c r="B15" s="107"/>
      <c r="C15" s="230">
        <v>21.4</v>
      </c>
      <c r="D15" s="244">
        <v>5</v>
      </c>
    </row>
    <row r="16" ht="18" customHeight="1" spans="1:4">
      <c r="A16" s="245" t="s">
        <v>453</v>
      </c>
      <c r="B16" s="107"/>
      <c r="C16" s="230">
        <v>5.8</v>
      </c>
      <c r="D16" s="244">
        <v>10</v>
      </c>
    </row>
    <row r="17" ht="18" customHeight="1" spans="1:5">
      <c r="A17" s="247" t="s">
        <v>502</v>
      </c>
      <c r="B17" s="107"/>
      <c r="C17" s="248"/>
      <c r="D17" s="224"/>
    </row>
    <row r="18" ht="18" customHeight="1" spans="1:5">
      <c r="A18" s="243" t="s">
        <v>443</v>
      </c>
      <c r="B18" s="107">
        <v>1697.3037</v>
      </c>
      <c r="C18" s="249">
        <v>10.3</v>
      </c>
      <c r="D18" s="250" t="s">
        <v>8</v>
      </c>
      <c r="E18" s="207"/>
    </row>
    <row r="19" ht="18" customHeight="1" spans="1:5">
      <c r="A19" s="243" t="s">
        <v>444</v>
      </c>
      <c r="B19" s="107">
        <v>417.7428</v>
      </c>
      <c r="C19" s="249">
        <v>10</v>
      </c>
      <c r="D19" s="251">
        <v>4</v>
      </c>
      <c r="E19" s="207"/>
    </row>
    <row r="20" ht="18" customHeight="1" spans="1:5">
      <c r="A20" s="245" t="s">
        <v>445</v>
      </c>
      <c r="B20" s="107">
        <v>438.1392</v>
      </c>
      <c r="C20" s="249">
        <v>12.8</v>
      </c>
      <c r="D20" s="251">
        <v>1</v>
      </c>
      <c r="E20" s="207"/>
    </row>
    <row r="21" ht="18" customHeight="1" spans="1:5">
      <c r="A21" s="246" t="s">
        <v>446</v>
      </c>
      <c r="B21" s="107">
        <v>46.0925</v>
      </c>
      <c r="C21" s="249">
        <v>9.7</v>
      </c>
      <c r="D21" s="251">
        <v>7</v>
      </c>
      <c r="E21" s="207"/>
    </row>
    <row r="22" ht="18" customHeight="1" spans="1:5">
      <c r="A22" s="245" t="s">
        <v>447</v>
      </c>
      <c r="B22" s="107">
        <v>73.0499</v>
      </c>
      <c r="C22" s="249">
        <v>10</v>
      </c>
      <c r="D22" s="251">
        <v>4</v>
      </c>
      <c r="E22" s="207"/>
    </row>
    <row r="23" ht="18" customHeight="1" spans="1:5">
      <c r="A23" s="245" t="s">
        <v>448</v>
      </c>
      <c r="B23" s="107">
        <v>181.9572</v>
      </c>
      <c r="C23" s="249">
        <v>11.7</v>
      </c>
      <c r="D23" s="251">
        <v>3</v>
      </c>
    </row>
    <row r="24" ht="18" customHeight="1" spans="1:5">
      <c r="A24" s="245" t="s">
        <v>449</v>
      </c>
      <c r="B24" s="107">
        <v>139.3654</v>
      </c>
      <c r="C24" s="249">
        <v>12.8</v>
      </c>
      <c r="D24" s="251">
        <v>1</v>
      </c>
    </row>
    <row r="25" ht="18" customHeight="1" spans="1:5">
      <c r="A25" s="245" t="s">
        <v>450</v>
      </c>
      <c r="B25" s="107">
        <v>91.6882</v>
      </c>
      <c r="C25" s="249">
        <v>8.5</v>
      </c>
      <c r="D25" s="251">
        <v>9</v>
      </c>
    </row>
    <row r="26" ht="18" customHeight="1" spans="1:5">
      <c r="A26" s="245" t="s">
        <v>451</v>
      </c>
      <c r="B26" s="107">
        <v>161.7386</v>
      </c>
      <c r="C26" s="249">
        <v>7.4</v>
      </c>
      <c r="D26" s="251">
        <v>10</v>
      </c>
    </row>
    <row r="27" ht="18" customHeight="1" spans="1:5">
      <c r="A27" s="245" t="s">
        <v>452</v>
      </c>
      <c r="B27" s="107">
        <v>123.0689</v>
      </c>
      <c r="C27" s="249">
        <v>9.9</v>
      </c>
      <c r="D27" s="251">
        <v>6</v>
      </c>
    </row>
    <row r="28" ht="18" customHeight="1" spans="1:5">
      <c r="A28" s="252" t="s">
        <v>453</v>
      </c>
      <c r="B28" s="253">
        <v>206.4197</v>
      </c>
      <c r="C28" s="254">
        <v>8.8</v>
      </c>
      <c r="D28" s="255">
        <v>8</v>
      </c>
    </row>
    <row r="29" spans="1:5">
      <c r="A29" s="88"/>
      <c r="B29" s="256"/>
      <c r="C29" s="88"/>
      <c r="D29" s="88"/>
    </row>
  </sheetData>
  <mergeCells count="1">
    <mergeCell ref="A1:D1"/>
  </mergeCells>
  <printOptions horizontalCentered="1"/>
  <pageMargins left="0.75" right="0.75" top="0.588888888888889" bottom="0.588888888888889" header="0.509027777777778" footer="0.509027777777778"/>
  <pageSetup paperSize="9" scale="97" orientation="portrait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27"/>
  <sheetViews>
    <sheetView workbookViewId="0">
      <selection activeCell="F8" sqref="F8"/>
    </sheetView>
  </sheetViews>
  <sheetFormatPr defaultColWidth="9" defaultRowHeight="14.25" outlineLevelCol="4"/>
  <cols>
    <col min="1" max="1" width="32.75" style="195" customWidth="1"/>
    <col min="2" max="4" width="13.125" style="196" customWidth="1"/>
    <col min="5" max="16384" width="9" style="196"/>
  </cols>
  <sheetData>
    <row r="1" ht="28.5" customHeight="1" spans="1:5">
      <c r="A1" s="197" t="s">
        <v>503</v>
      </c>
      <c r="B1" s="197"/>
      <c r="C1" s="197"/>
      <c r="D1" s="197"/>
    </row>
    <row r="2" ht="20.25" customHeight="1" spans="1:5">
      <c r="A2" s="219"/>
      <c r="B2" s="219"/>
      <c r="C2" s="220" t="s">
        <v>35</v>
      </c>
      <c r="D2" s="220"/>
    </row>
    <row r="3" ht="31.5" customHeight="1" spans="1:5">
      <c r="A3" s="91" t="s">
        <v>440</v>
      </c>
      <c r="B3" s="140" t="s">
        <v>3</v>
      </c>
      <c r="C3" s="92" t="s">
        <v>5</v>
      </c>
      <c r="D3" s="140" t="s">
        <v>441</v>
      </c>
    </row>
    <row r="4" ht="18" customHeight="1" spans="1:5">
      <c r="A4" s="221" t="s">
        <v>504</v>
      </c>
      <c r="B4" s="222"/>
      <c r="C4" s="223"/>
      <c r="D4" s="224"/>
    </row>
    <row r="5" ht="18" customHeight="1" spans="1:5">
      <c r="A5" s="225" t="s">
        <v>443</v>
      </c>
      <c r="B5" s="226">
        <v>17.3787</v>
      </c>
      <c r="C5" s="227">
        <v>32.2</v>
      </c>
      <c r="D5" s="224" t="s">
        <v>8</v>
      </c>
    </row>
    <row r="6" ht="18" customHeight="1" spans="1:5">
      <c r="A6" s="225" t="s">
        <v>444</v>
      </c>
      <c r="B6" s="228">
        <v>0.3705</v>
      </c>
      <c r="C6" s="227">
        <v>-10</v>
      </c>
      <c r="D6" s="224">
        <v>8</v>
      </c>
      <c r="E6" s="202"/>
    </row>
    <row r="7" ht="18" customHeight="1" spans="1:5">
      <c r="A7" s="210" t="s">
        <v>445</v>
      </c>
      <c r="B7" s="228">
        <v>1.1443</v>
      </c>
      <c r="C7" s="227">
        <v>7.8</v>
      </c>
      <c r="D7" s="224">
        <v>6</v>
      </c>
      <c r="E7" s="202"/>
    </row>
    <row r="8" ht="18" customHeight="1" spans="1:5">
      <c r="A8" s="229" t="s">
        <v>446</v>
      </c>
      <c r="B8" s="228">
        <v>0.371</v>
      </c>
      <c r="C8" s="227">
        <v>-0.7</v>
      </c>
      <c r="D8" s="224">
        <v>7</v>
      </c>
      <c r="E8" s="202"/>
    </row>
    <row r="9" ht="18" customHeight="1" spans="1:5">
      <c r="A9" s="210" t="s">
        <v>447</v>
      </c>
      <c r="B9" s="228">
        <v>1.2437</v>
      </c>
      <c r="C9" s="227">
        <v>37.2</v>
      </c>
      <c r="D9" s="224">
        <v>3</v>
      </c>
      <c r="E9" s="202"/>
    </row>
    <row r="10" ht="18" customHeight="1" spans="1:5">
      <c r="A10" s="210" t="s">
        <v>448</v>
      </c>
      <c r="B10" s="228">
        <v>3.2162</v>
      </c>
      <c r="C10" s="230">
        <v>136</v>
      </c>
      <c r="D10" s="224">
        <v>1</v>
      </c>
    </row>
    <row r="11" ht="18" customHeight="1" spans="1:5">
      <c r="A11" s="210" t="s">
        <v>449</v>
      </c>
      <c r="B11" s="103">
        <v>0.9972</v>
      </c>
      <c r="C11" s="231">
        <v>31.5</v>
      </c>
      <c r="D11" s="224">
        <v>4</v>
      </c>
    </row>
    <row r="12" ht="18" customHeight="1" spans="1:5">
      <c r="A12" s="210" t="s">
        <v>450</v>
      </c>
      <c r="B12" s="103">
        <v>0.7651</v>
      </c>
      <c r="C12" s="231">
        <v>39.2</v>
      </c>
      <c r="D12" s="224">
        <v>2</v>
      </c>
    </row>
    <row r="13" ht="18" customHeight="1" spans="1:5">
      <c r="A13" s="210" t="s">
        <v>451</v>
      </c>
      <c r="B13" s="103">
        <v>0.8843</v>
      </c>
      <c r="C13" s="231">
        <v>13</v>
      </c>
      <c r="D13" s="224">
        <v>5</v>
      </c>
    </row>
    <row r="14" ht="18" customHeight="1" spans="1:5">
      <c r="A14" s="210" t="s">
        <v>452</v>
      </c>
      <c r="B14" s="103">
        <v>0.6651</v>
      </c>
      <c r="C14" s="231">
        <v>-17.5</v>
      </c>
      <c r="D14" s="224">
        <v>10</v>
      </c>
    </row>
    <row r="15" ht="18" customHeight="1" spans="1:5">
      <c r="A15" s="210" t="s">
        <v>453</v>
      </c>
      <c r="B15" s="103">
        <v>0.7555</v>
      </c>
      <c r="C15" s="231">
        <v>-14.7</v>
      </c>
      <c r="D15" s="224">
        <v>9</v>
      </c>
    </row>
    <row r="16" ht="18" customHeight="1" spans="1:5">
      <c r="A16" s="232" t="s">
        <v>505</v>
      </c>
      <c r="B16" s="103"/>
      <c r="C16" s="143"/>
      <c r="D16" s="233"/>
    </row>
    <row r="17" ht="18" customHeight="1" spans="1:4">
      <c r="A17" s="203" t="s">
        <v>443</v>
      </c>
      <c r="B17" s="103">
        <v>35.6922</v>
      </c>
      <c r="C17" s="234">
        <v>68.8</v>
      </c>
      <c r="D17" s="224" t="s">
        <v>8</v>
      </c>
    </row>
    <row r="18" ht="18" customHeight="1" spans="1:4">
      <c r="A18" s="203" t="s">
        <v>444</v>
      </c>
      <c r="B18" s="103">
        <v>1.019</v>
      </c>
      <c r="C18" s="231">
        <v>19.8</v>
      </c>
      <c r="D18" s="224">
        <v>10</v>
      </c>
    </row>
    <row r="19" ht="18" customHeight="1" spans="1:4">
      <c r="A19" s="208" t="s">
        <v>445</v>
      </c>
      <c r="B19" s="103">
        <v>1.5622</v>
      </c>
      <c r="C19" s="231">
        <v>30.2</v>
      </c>
      <c r="D19" s="224">
        <v>8</v>
      </c>
    </row>
    <row r="20" ht="18" customHeight="1" spans="1:4">
      <c r="A20" s="209" t="s">
        <v>446</v>
      </c>
      <c r="B20" s="103">
        <v>0.8453</v>
      </c>
      <c r="C20" s="231">
        <v>20</v>
      </c>
      <c r="D20" s="224">
        <v>9</v>
      </c>
    </row>
    <row r="21" ht="18" customHeight="1" spans="1:4">
      <c r="A21" s="208" t="s">
        <v>447</v>
      </c>
      <c r="B21" s="103">
        <v>1.5414</v>
      </c>
      <c r="C21" s="231">
        <v>30.5</v>
      </c>
      <c r="D21" s="224">
        <v>7</v>
      </c>
    </row>
    <row r="22" ht="18" customHeight="1" spans="1:4">
      <c r="A22" s="208" t="s">
        <v>448</v>
      </c>
      <c r="B22" s="103">
        <v>1.9359</v>
      </c>
      <c r="C22" s="231">
        <v>45.9</v>
      </c>
      <c r="D22" s="224">
        <v>6</v>
      </c>
    </row>
    <row r="23" ht="18" customHeight="1" spans="1:4">
      <c r="A23" s="208" t="s">
        <v>449</v>
      </c>
      <c r="B23" s="103">
        <v>4.1877</v>
      </c>
      <c r="C23" s="231">
        <v>98.5</v>
      </c>
      <c r="D23" s="224">
        <v>4</v>
      </c>
    </row>
    <row r="24" ht="18" customHeight="1" spans="1:4">
      <c r="A24" s="210" t="s">
        <v>450</v>
      </c>
      <c r="B24" s="103">
        <v>3.8319</v>
      </c>
      <c r="C24" s="231">
        <v>105.6</v>
      </c>
      <c r="D24" s="224">
        <v>3</v>
      </c>
    </row>
    <row r="25" ht="18" customHeight="1" spans="1:4">
      <c r="A25" s="210" t="s">
        <v>451</v>
      </c>
      <c r="B25" s="103">
        <v>5.4006</v>
      </c>
      <c r="C25" s="231">
        <v>75.6</v>
      </c>
      <c r="D25" s="224">
        <v>5</v>
      </c>
    </row>
    <row r="26" ht="18" customHeight="1" spans="1:4">
      <c r="A26" s="210" t="s">
        <v>452</v>
      </c>
      <c r="B26" s="103">
        <v>3.9986</v>
      </c>
      <c r="C26" s="231">
        <v>190</v>
      </c>
      <c r="D26" s="224">
        <v>1</v>
      </c>
    </row>
    <row r="27" ht="18" customHeight="1" spans="1:4">
      <c r="A27" s="217" t="s">
        <v>453</v>
      </c>
      <c r="B27" s="235">
        <v>7.1761</v>
      </c>
      <c r="C27" s="236">
        <v>123.1</v>
      </c>
      <c r="D27" s="237">
        <v>2</v>
      </c>
    </row>
  </sheetData>
  <mergeCells count="2">
    <mergeCell ref="A1:D1"/>
    <mergeCell ref="C2:D2"/>
  </mergeCells>
  <pageMargins left="0.75" right="0.75" top="0.388888888888889" bottom="0.388888888888889" header="0.509027777777778" footer="0.509027777777778"/>
  <pageSetup paperSize="9" scale="96" orientation="portrait"/>
  <headerFooter alignWithMargins="0" scaleWithDoc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F28"/>
  <sheetViews>
    <sheetView workbookViewId="0">
      <selection activeCell="G10" sqref="G10"/>
    </sheetView>
  </sheetViews>
  <sheetFormatPr defaultColWidth="9" defaultRowHeight="14.25" outlineLevelCol="5"/>
  <cols>
    <col min="1" max="1" width="32.75" style="195" customWidth="1"/>
    <col min="2" max="4" width="13.125" style="196" customWidth="1"/>
    <col min="5" max="16384" width="9" style="196"/>
  </cols>
  <sheetData>
    <row r="1" ht="28.5" customHeight="1" spans="1:6">
      <c r="A1" s="197" t="s">
        <v>506</v>
      </c>
      <c r="B1" s="197"/>
      <c r="C1" s="197"/>
      <c r="D1" s="197"/>
    </row>
    <row r="2" ht="31.5" customHeight="1" spans="1:6">
      <c r="A2" s="91" t="s">
        <v>440</v>
      </c>
      <c r="B2" s="140" t="s">
        <v>3</v>
      </c>
      <c r="C2" s="92" t="s">
        <v>5</v>
      </c>
      <c r="D2" s="140" t="s">
        <v>441</v>
      </c>
    </row>
    <row r="3" ht="18" customHeight="1" spans="1:6">
      <c r="A3" s="198" t="s">
        <v>507</v>
      </c>
      <c r="B3" s="199"/>
      <c r="C3" s="200"/>
      <c r="D3" s="201"/>
      <c r="E3" s="202"/>
    </row>
    <row r="4" ht="18" customHeight="1" spans="1:6">
      <c r="A4" s="203" t="s">
        <v>443</v>
      </c>
      <c r="B4" s="204">
        <v>377.0311</v>
      </c>
      <c r="C4" s="205">
        <v>9</v>
      </c>
      <c r="D4" s="206" t="s">
        <v>8</v>
      </c>
      <c r="F4" s="207"/>
    </row>
    <row r="5" ht="18" customHeight="1" spans="1:6">
      <c r="A5" s="203" t="s">
        <v>444</v>
      </c>
      <c r="B5" s="204">
        <v>35.5379</v>
      </c>
      <c r="C5" s="205">
        <v>81.2</v>
      </c>
      <c r="D5" s="206">
        <v>1</v>
      </c>
      <c r="F5" s="207"/>
    </row>
    <row r="6" ht="18" customHeight="1" spans="1:6">
      <c r="A6" s="208" t="s">
        <v>445</v>
      </c>
      <c r="B6" s="204">
        <v>35.5701</v>
      </c>
      <c r="C6" s="205">
        <v>10.6</v>
      </c>
      <c r="D6" s="206">
        <v>5</v>
      </c>
      <c r="F6" s="207"/>
    </row>
    <row r="7" ht="18" customHeight="1" spans="1:6">
      <c r="A7" s="209" t="s">
        <v>446</v>
      </c>
      <c r="B7" s="204">
        <v>10.7097</v>
      </c>
      <c r="C7" s="205">
        <v>67.4</v>
      </c>
      <c r="D7" s="206">
        <v>2</v>
      </c>
      <c r="F7" s="207"/>
    </row>
    <row r="8" ht="18" customHeight="1" spans="1:6">
      <c r="A8" s="208" t="s">
        <v>447</v>
      </c>
      <c r="B8" s="204">
        <v>46.1345</v>
      </c>
      <c r="C8" s="205">
        <v>-5</v>
      </c>
      <c r="D8" s="206">
        <v>8</v>
      </c>
      <c r="F8" s="207"/>
    </row>
    <row r="9" ht="18" customHeight="1" spans="1:6">
      <c r="A9" s="208" t="s">
        <v>448</v>
      </c>
      <c r="B9" s="204">
        <v>118.715</v>
      </c>
      <c r="C9" s="205">
        <v>7.1</v>
      </c>
      <c r="D9" s="206">
        <v>6</v>
      </c>
    </row>
    <row r="10" ht="18" customHeight="1" spans="1:6">
      <c r="A10" s="208" t="s">
        <v>449</v>
      </c>
      <c r="B10" s="204">
        <v>10.1647</v>
      </c>
      <c r="C10" s="205">
        <v>-1.4</v>
      </c>
      <c r="D10" s="206">
        <v>7</v>
      </c>
    </row>
    <row r="11" ht="18" customHeight="1" spans="1:6">
      <c r="A11" s="210" t="s">
        <v>450</v>
      </c>
      <c r="B11" s="204">
        <v>1.4097</v>
      </c>
      <c r="C11" s="205">
        <v>54.3</v>
      </c>
      <c r="D11" s="206">
        <v>3</v>
      </c>
    </row>
    <row r="12" ht="18" customHeight="1" spans="1:6">
      <c r="A12" s="210" t="s">
        <v>451</v>
      </c>
      <c r="B12" s="204">
        <v>8.8546</v>
      </c>
      <c r="C12" s="205">
        <v>-5.6</v>
      </c>
      <c r="D12" s="206">
        <v>10</v>
      </c>
    </row>
    <row r="13" ht="18" customHeight="1" spans="1:6">
      <c r="A13" s="210" t="s">
        <v>452</v>
      </c>
      <c r="B13" s="204">
        <v>23.3175</v>
      </c>
      <c r="C13" s="205">
        <v>18</v>
      </c>
      <c r="D13" s="206">
        <v>4</v>
      </c>
    </row>
    <row r="14" ht="18" customHeight="1" spans="1:6">
      <c r="A14" s="210" t="s">
        <v>453</v>
      </c>
      <c r="B14" s="204">
        <v>58.2481</v>
      </c>
      <c r="C14" s="205">
        <v>-5.1</v>
      </c>
      <c r="D14" s="206">
        <v>9</v>
      </c>
    </row>
    <row r="15" ht="18" customHeight="1" spans="1:6">
      <c r="A15" s="198" t="s">
        <v>508</v>
      </c>
      <c r="B15" s="211"/>
      <c r="C15" s="212"/>
      <c r="D15" s="206"/>
    </row>
    <row r="16" ht="18" customHeight="1" spans="1:6">
      <c r="A16" s="203" t="s">
        <v>443</v>
      </c>
      <c r="B16" s="213">
        <v>8529</v>
      </c>
      <c r="C16" s="214">
        <v>5.4</v>
      </c>
      <c r="D16" s="206" t="s">
        <v>8</v>
      </c>
    </row>
    <row r="17" ht="18" customHeight="1" spans="1:6">
      <c r="A17" s="203" t="s">
        <v>444</v>
      </c>
      <c r="B17" s="213">
        <v>20</v>
      </c>
      <c r="C17" s="214">
        <v>-33.3</v>
      </c>
      <c r="D17" s="206" t="s">
        <v>8</v>
      </c>
      <c r="F17" s="202"/>
    </row>
    <row r="18" ht="18" customHeight="1" spans="1:6">
      <c r="A18" s="208" t="s">
        <v>445</v>
      </c>
      <c r="B18" s="213">
        <v>902</v>
      </c>
      <c r="C18" s="214">
        <v>-21</v>
      </c>
      <c r="D18" s="206" t="s">
        <v>8</v>
      </c>
      <c r="F18" s="202"/>
    </row>
    <row r="19" ht="18" customHeight="1" spans="1:6">
      <c r="A19" s="209" t="s">
        <v>446</v>
      </c>
      <c r="B19" s="213">
        <v>228</v>
      </c>
      <c r="C19" s="214">
        <v>314.5</v>
      </c>
      <c r="D19" s="206" t="s">
        <v>8</v>
      </c>
      <c r="F19" s="202"/>
    </row>
    <row r="20" ht="18" customHeight="1" spans="1:6">
      <c r="A20" s="208" t="s">
        <v>447</v>
      </c>
      <c r="B20" s="213">
        <v>860</v>
      </c>
      <c r="C20" s="214">
        <v>68.3</v>
      </c>
      <c r="D20" s="206" t="s">
        <v>8</v>
      </c>
      <c r="F20" s="202"/>
    </row>
    <row r="21" ht="18" customHeight="1" spans="1:6">
      <c r="A21" s="208" t="s">
        <v>448</v>
      </c>
      <c r="B21" s="213">
        <v>2836</v>
      </c>
      <c r="C21" s="215">
        <v>20.5</v>
      </c>
      <c r="D21" s="206" t="s">
        <v>8</v>
      </c>
    </row>
    <row r="22" ht="18" customHeight="1" spans="1:6">
      <c r="A22" s="208" t="s">
        <v>449</v>
      </c>
      <c r="B22" s="213">
        <v>149</v>
      </c>
      <c r="C22" s="214">
        <v>10.4</v>
      </c>
      <c r="D22" s="206" t="s">
        <v>8</v>
      </c>
    </row>
    <row r="23" ht="18" customHeight="1" spans="1:6">
      <c r="A23" s="210" t="s">
        <v>450</v>
      </c>
      <c r="B23" s="213">
        <v>1029</v>
      </c>
      <c r="C23" s="214">
        <v>-21.6</v>
      </c>
      <c r="D23" s="206" t="s">
        <v>8</v>
      </c>
    </row>
    <row r="24" ht="18" customHeight="1" spans="1:6">
      <c r="A24" s="210" t="s">
        <v>451</v>
      </c>
      <c r="B24" s="213">
        <v>1174</v>
      </c>
      <c r="C24" s="214">
        <v>11</v>
      </c>
      <c r="D24" s="206" t="s">
        <v>8</v>
      </c>
    </row>
    <row r="25" ht="18" customHeight="1" spans="1:6">
      <c r="A25" s="210" t="s">
        <v>462</v>
      </c>
      <c r="B25" s="206" t="s">
        <v>8</v>
      </c>
      <c r="C25" s="206" t="s">
        <v>8</v>
      </c>
      <c r="D25" s="206" t="s">
        <v>8</v>
      </c>
    </row>
    <row r="26" ht="18" customHeight="1" spans="1:6">
      <c r="A26" s="210" t="s">
        <v>452</v>
      </c>
      <c r="B26" s="213">
        <v>1169</v>
      </c>
      <c r="C26" s="216">
        <v>-16.4</v>
      </c>
      <c r="D26" s="206" t="s">
        <v>8</v>
      </c>
    </row>
    <row r="27" ht="18" customHeight="1" spans="1:6">
      <c r="A27" s="217" t="s">
        <v>453</v>
      </c>
      <c r="B27" s="213">
        <v>162</v>
      </c>
      <c r="C27" s="206" t="s">
        <v>8</v>
      </c>
      <c r="D27" s="206" t="s">
        <v>8</v>
      </c>
    </row>
    <row r="28" spans="1:6">
      <c r="A28" s="218" t="s">
        <v>509</v>
      </c>
      <c r="B28" s="218"/>
      <c r="C28" s="218"/>
      <c r="D28" s="218"/>
    </row>
  </sheetData>
  <mergeCells count="2">
    <mergeCell ref="A1:D1"/>
    <mergeCell ref="A28:D28"/>
  </mergeCells>
  <pageMargins left="0.75" right="0.75" top="0.388888888888889" bottom="0.388888888888889" header="0.509027777777778" footer="0.509027777777778"/>
  <pageSetup paperSize="9" scale="96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D23"/>
  <sheetViews>
    <sheetView zoomScale="90" zoomScaleNormal="90" workbookViewId="0">
      <selection activeCell="F14" sqref="F14"/>
    </sheetView>
  </sheetViews>
  <sheetFormatPr defaultColWidth="9" defaultRowHeight="14.25" outlineLevelCol="3"/>
  <cols>
    <col min="1" max="1" width="31.2416666666667" style="640" customWidth="1"/>
    <col min="2" max="2" width="12" style="640" customWidth="1"/>
    <col min="3" max="3" width="16.375" style="640" customWidth="1"/>
    <col min="4" max="4" width="15.75" style="640" customWidth="1"/>
    <col min="5" max="16384" width="9" style="640"/>
  </cols>
  <sheetData>
    <row r="1" ht="28.5" customHeight="1" spans="1:4">
      <c r="A1" s="86" t="s">
        <v>54</v>
      </c>
      <c r="B1" s="86"/>
      <c r="C1" s="86"/>
      <c r="D1" s="86"/>
    </row>
    <row r="2" ht="35.25" customHeight="1" spans="1:4">
      <c r="A2" s="641" t="s">
        <v>36</v>
      </c>
      <c r="B2" s="642" t="s">
        <v>2</v>
      </c>
      <c r="C2" s="451" t="s">
        <v>3</v>
      </c>
      <c r="D2" s="643" t="s">
        <v>5</v>
      </c>
    </row>
    <row r="3" ht="26.1" customHeight="1" spans="1:4">
      <c r="A3" s="644" t="s">
        <v>55</v>
      </c>
      <c r="B3" s="645" t="s">
        <v>7</v>
      </c>
      <c r="C3" s="646">
        <v>854.580218</v>
      </c>
      <c r="D3" s="647">
        <v>4.81999999999999</v>
      </c>
    </row>
    <row r="4" ht="26.1" customHeight="1" spans="1:4">
      <c r="A4" s="644" t="s">
        <v>56</v>
      </c>
      <c r="B4" s="645" t="s">
        <v>7</v>
      </c>
      <c r="C4" s="646">
        <v>458.971716</v>
      </c>
      <c r="D4" s="647">
        <v>4.42</v>
      </c>
    </row>
    <row r="5" ht="26.1" customHeight="1" spans="1:4">
      <c r="A5" s="644" t="s">
        <v>57</v>
      </c>
      <c r="B5" s="645" t="s">
        <v>7</v>
      </c>
      <c r="C5" s="646">
        <v>25.660064</v>
      </c>
      <c r="D5" s="647">
        <v>6.62</v>
      </c>
    </row>
    <row r="6" ht="26.1" customHeight="1" spans="1:4">
      <c r="A6" s="644" t="s">
        <v>58</v>
      </c>
      <c r="B6" s="645" t="s">
        <v>7</v>
      </c>
      <c r="C6" s="646">
        <v>118.089959</v>
      </c>
      <c r="D6" s="647">
        <v>2.91</v>
      </c>
    </row>
    <row r="7" ht="26.1" customHeight="1" spans="1:4">
      <c r="A7" s="644" t="s">
        <v>59</v>
      </c>
      <c r="B7" s="645" t="s">
        <v>7</v>
      </c>
      <c r="C7" s="646">
        <v>220.985279</v>
      </c>
      <c r="D7" s="647">
        <v>5.95</v>
      </c>
    </row>
    <row r="8" ht="26.1" customHeight="1" spans="1:4">
      <c r="A8" s="644" t="s">
        <v>60</v>
      </c>
      <c r="B8" s="645" t="s">
        <v>7</v>
      </c>
      <c r="C8" s="646">
        <v>30.8732</v>
      </c>
      <c r="D8" s="647">
        <v>9.20999999999999</v>
      </c>
    </row>
    <row r="9" ht="26.1" customHeight="1" spans="1:4">
      <c r="A9" s="595" t="s">
        <v>61</v>
      </c>
      <c r="B9" s="645" t="s">
        <v>7</v>
      </c>
      <c r="C9" s="646">
        <v>546.359225</v>
      </c>
      <c r="D9" s="647">
        <v>4.83</v>
      </c>
    </row>
    <row r="10" ht="26.1" customHeight="1" spans="1:4">
      <c r="A10" s="644" t="s">
        <v>56</v>
      </c>
      <c r="B10" s="645" t="s">
        <v>7</v>
      </c>
      <c r="C10" s="646">
        <v>313.78772</v>
      </c>
      <c r="D10" s="647">
        <v>4.42</v>
      </c>
    </row>
    <row r="11" ht="26.1" customHeight="1" spans="1:4">
      <c r="A11" s="644" t="s">
        <v>57</v>
      </c>
      <c r="B11" s="645" t="s">
        <v>7</v>
      </c>
      <c r="C11" s="646">
        <v>19.066443</v>
      </c>
      <c r="D11" s="647">
        <v>6.62</v>
      </c>
    </row>
    <row r="12" ht="26.1" customHeight="1" spans="1:4">
      <c r="A12" s="644" t="s">
        <v>58</v>
      </c>
      <c r="B12" s="645" t="s">
        <v>7</v>
      </c>
      <c r="C12" s="646">
        <v>57.120154</v>
      </c>
      <c r="D12" s="647">
        <v>2.91</v>
      </c>
    </row>
    <row r="13" ht="26.1" customHeight="1" spans="1:4">
      <c r="A13" s="644" t="s">
        <v>59</v>
      </c>
      <c r="B13" s="645" t="s">
        <v>7</v>
      </c>
      <c r="C13" s="646">
        <v>143.640366</v>
      </c>
      <c r="D13" s="647">
        <v>5.95</v>
      </c>
    </row>
    <row r="14" ht="26.1" customHeight="1" spans="1:4">
      <c r="A14" s="644" t="s">
        <v>60</v>
      </c>
      <c r="B14" s="645" t="s">
        <v>7</v>
      </c>
      <c r="C14" s="646">
        <v>12.744543</v>
      </c>
      <c r="D14" s="647">
        <v>9.20999999999999</v>
      </c>
    </row>
    <row r="15" ht="26.1" customHeight="1" spans="1:4">
      <c r="A15" s="644" t="s">
        <v>62</v>
      </c>
      <c r="B15" s="644"/>
      <c r="C15" s="646"/>
      <c r="D15" s="647"/>
    </row>
    <row r="16" ht="26.1" customHeight="1" spans="1:4">
      <c r="A16" s="644" t="s">
        <v>63</v>
      </c>
      <c r="B16" s="645" t="s">
        <v>64</v>
      </c>
      <c r="C16" s="648">
        <v>138.2369</v>
      </c>
      <c r="D16" s="647">
        <v>-2.25</v>
      </c>
    </row>
    <row r="17" ht="26.1" customHeight="1" spans="1:4">
      <c r="A17" s="644" t="s">
        <v>65</v>
      </c>
      <c r="B17" s="645" t="s">
        <v>64</v>
      </c>
      <c r="C17" s="648">
        <v>117.0944</v>
      </c>
      <c r="D17" s="647">
        <v>-1.18000000000001</v>
      </c>
    </row>
    <row r="18" ht="26.1" customHeight="1" spans="1:4">
      <c r="A18" s="644" t="s">
        <v>66</v>
      </c>
      <c r="B18" s="645" t="s">
        <v>64</v>
      </c>
      <c r="C18" s="649">
        <v>373.1527</v>
      </c>
      <c r="D18" s="647">
        <v>5.8268887119842</v>
      </c>
    </row>
    <row r="19" ht="26.1" customHeight="1" spans="1:4">
      <c r="A19" s="644" t="s">
        <v>67</v>
      </c>
      <c r="B19" s="645" t="s">
        <v>64</v>
      </c>
      <c r="C19" s="649">
        <v>265.31</v>
      </c>
      <c r="D19" s="647">
        <v>8.07897574486338</v>
      </c>
    </row>
    <row r="20" ht="26.1" customHeight="1" spans="1:4">
      <c r="A20" s="644" t="s">
        <v>68</v>
      </c>
      <c r="B20" s="645" t="s">
        <v>69</v>
      </c>
      <c r="C20" s="649">
        <v>409.4916</v>
      </c>
      <c r="D20" s="647">
        <v>3.83</v>
      </c>
    </row>
    <row r="21" ht="26.1" customHeight="1" spans="1:4">
      <c r="A21" s="644" t="s">
        <v>70</v>
      </c>
      <c r="B21" s="645" t="s">
        <v>71</v>
      </c>
      <c r="C21" s="649">
        <v>8542.4609</v>
      </c>
      <c r="D21" s="647">
        <v>0.5</v>
      </c>
    </row>
    <row r="22" ht="26.1" customHeight="1" spans="1:4">
      <c r="A22" s="650" t="s">
        <v>72</v>
      </c>
      <c r="B22" s="651" t="s">
        <v>64</v>
      </c>
      <c r="C22" s="652">
        <v>128.2152</v>
      </c>
      <c r="D22" s="653">
        <v>4.94853056734246</v>
      </c>
    </row>
    <row r="23" ht="35.1" customHeight="1" spans="1:4">
      <c r="A23" s="654" t="s">
        <v>73</v>
      </c>
      <c r="B23" s="654"/>
      <c r="C23" s="654"/>
      <c r="D23" s="654"/>
    </row>
  </sheetData>
  <mergeCells count="2">
    <mergeCell ref="A1:D1"/>
    <mergeCell ref="A23:D23"/>
  </mergeCells>
  <printOptions horizontalCentered="1"/>
  <pageMargins left="0.75" right="0.75" top="0.979166666666667" bottom="0.979166666666667" header="0.509027777777778" footer="0.509027777777778"/>
  <pageSetup paperSize="9" orientation="portrait"/>
  <headerFooter alignWithMargins="0" scaleWithDoc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O27"/>
  <sheetViews>
    <sheetView workbookViewId="0">
      <selection activeCell="K11" sqref="K11"/>
    </sheetView>
  </sheetViews>
  <sheetFormatPr defaultColWidth="9" defaultRowHeight="14.25"/>
  <cols>
    <col min="1" max="1" width="16.375" customWidth="1"/>
    <col min="2" max="2" width="13" customWidth="1"/>
    <col min="3" max="3" width="9.375" customWidth="1"/>
    <col min="4" max="4" width="8.625" customWidth="1"/>
    <col min="5" max="5" width="14.625" customWidth="1"/>
    <col min="6" max="6" width="10.5" customWidth="1"/>
    <col min="7" max="7" width="8.625" customWidth="1"/>
  </cols>
  <sheetData>
    <row r="1" ht="24" spans="1:15">
      <c r="A1" t="s">
        <v>510</v>
      </c>
      <c r="G1" s="165"/>
    </row>
    <row r="2" ht="29.1" customHeight="1" spans="1:15">
      <c r="A2" t="s">
        <v>35</v>
      </c>
    </row>
    <row r="3" s="162" customFormat="1" ht="30" customHeight="1" spans="1:15">
      <c r="A3" t="s">
        <v>511</v>
      </c>
      <c r="B3" t="s">
        <v>512</v>
      </c>
      <c r="C3"/>
      <c r="D3"/>
      <c r="E3" t="s">
        <v>513</v>
      </c>
      <c r="F3"/>
      <c r="G3"/>
    </row>
    <row r="4" s="163" customFormat="1" ht="36" customHeight="1" spans="1:15">
      <c r="A4"/>
      <c r="B4" s="166" t="s">
        <v>514</v>
      </c>
      <c r="C4" s="167" t="s">
        <v>515</v>
      </c>
      <c r="D4" s="168" t="s">
        <v>441</v>
      </c>
      <c r="E4" s="166" t="s">
        <v>514</v>
      </c>
      <c r="F4" s="169" t="s">
        <v>515</v>
      </c>
      <c r="G4" s="169" t="s">
        <v>441</v>
      </c>
      <c r="H4" s="170"/>
      <c r="O4" s="171"/>
    </row>
    <row r="5" s="163" customFormat="1" ht="25.5" customHeight="1" spans="1:15">
      <c r="A5" s="172" t="s">
        <v>516</v>
      </c>
      <c r="B5" s="173" t="s">
        <v>8</v>
      </c>
      <c r="C5" s="173" t="s">
        <v>8</v>
      </c>
      <c r="D5" s="173" t="s">
        <v>8</v>
      </c>
      <c r="E5" s="174" t="s">
        <v>8</v>
      </c>
      <c r="F5" s="175" t="s">
        <v>8</v>
      </c>
      <c r="G5" s="173" t="s">
        <v>8</v>
      </c>
      <c r="I5" s="176"/>
      <c r="J5" s="176"/>
      <c r="K5" s="177"/>
      <c r="O5" s="171"/>
    </row>
    <row r="6" s="163" customFormat="1" ht="23.1" customHeight="1" spans="1:15">
      <c r="A6" s="172" t="s">
        <v>517</v>
      </c>
      <c r="B6" s="178">
        <v>4837.68</v>
      </c>
      <c r="C6" s="11">
        <v>6.2</v>
      </c>
      <c r="D6" s="173" t="s">
        <v>8</v>
      </c>
      <c r="E6" s="178">
        <v>716.8</v>
      </c>
      <c r="F6" s="179">
        <v>-5.3</v>
      </c>
      <c r="G6" s="173" t="s">
        <v>8</v>
      </c>
      <c r="I6" s="176"/>
      <c r="J6" s="180"/>
      <c r="O6" s="181"/>
    </row>
    <row r="7" ht="23.1" customHeight="1" spans="1:15">
      <c r="A7" s="163" t="s">
        <v>518</v>
      </c>
      <c r="B7" s="178" t="e">
        <v>#REF!</v>
      </c>
      <c r="C7" s="11" t="e">
        <v>#REF!</v>
      </c>
      <c r="D7" s="182" t="e">
        <f t="shared" ref="D7:D27" si="0">RANK(C7,$C$7:$C$27,0)</f>
        <v>#REF!</v>
      </c>
      <c r="E7" s="178" t="e">
        <v>#REF!</v>
      </c>
      <c r="F7" s="179" t="e">
        <v>#REF!</v>
      </c>
      <c r="G7" s="173" t="e">
        <f t="shared" ref="G7:G27" si="1">RANK(F7,$F$7:$F$27,0)</f>
        <v>#REF!</v>
      </c>
      <c r="I7" s="183"/>
      <c r="J7" s="184"/>
      <c r="K7" s="185"/>
      <c r="L7" s="186"/>
      <c r="O7" s="187"/>
    </row>
    <row r="8" ht="23.1" customHeight="1" spans="1:15">
      <c r="A8" s="163" t="s">
        <v>519</v>
      </c>
      <c r="B8" s="178" t="e">
        <v>#REF!</v>
      </c>
      <c r="C8" s="11" t="e">
        <v>#REF!</v>
      </c>
      <c r="D8" s="182" t="e">
        <f t="shared" si="0"/>
        <v>#REF!</v>
      </c>
      <c r="E8" s="178" t="e">
        <v>#REF!</v>
      </c>
      <c r="F8" s="179" t="e">
        <v>#REF!</v>
      </c>
      <c r="G8" s="173" t="e">
        <f t="shared" si="1"/>
        <v>#REF!</v>
      </c>
      <c r="I8" s="183"/>
      <c r="J8" s="184"/>
      <c r="K8" s="185"/>
      <c r="L8" s="186"/>
      <c r="O8" s="187"/>
    </row>
    <row r="9" ht="23.1" customHeight="1" spans="1:15">
      <c r="A9" s="163" t="s">
        <v>520</v>
      </c>
      <c r="B9" s="178" t="e">
        <v>#REF!</v>
      </c>
      <c r="C9" s="11" t="e">
        <v>#REF!</v>
      </c>
      <c r="D9" s="182" t="e">
        <f t="shared" si="0"/>
        <v>#REF!</v>
      </c>
      <c r="E9" s="178" t="e">
        <v>#REF!</v>
      </c>
      <c r="F9" s="179" t="e">
        <v>#REF!</v>
      </c>
      <c r="G9" s="173" t="e">
        <f t="shared" si="1"/>
        <v>#REF!</v>
      </c>
      <c r="I9" s="183"/>
      <c r="J9" s="184"/>
      <c r="K9" s="185"/>
      <c r="L9" s="186"/>
      <c r="O9" s="187"/>
    </row>
    <row r="10" ht="23.1" customHeight="1" spans="1:15">
      <c r="A10" s="163" t="s">
        <v>521</v>
      </c>
      <c r="B10" s="178" t="e">
        <v>#REF!</v>
      </c>
      <c r="C10" s="11" t="e">
        <v>#REF!</v>
      </c>
      <c r="D10" s="182" t="e">
        <f t="shared" si="0"/>
        <v>#REF!</v>
      </c>
      <c r="E10" s="178" t="e">
        <v>#REF!</v>
      </c>
      <c r="F10" s="179" t="e">
        <v>#REF!</v>
      </c>
      <c r="G10" s="173" t="e">
        <f t="shared" si="1"/>
        <v>#REF!</v>
      </c>
      <c r="I10" s="183"/>
      <c r="J10" s="184"/>
      <c r="K10" s="185"/>
      <c r="L10" s="186"/>
      <c r="O10" s="187"/>
    </row>
    <row r="11" ht="23.1" customHeight="1" spans="1:15">
      <c r="A11" s="163" t="s">
        <v>522</v>
      </c>
      <c r="B11" s="178" t="e">
        <v>#REF!</v>
      </c>
      <c r="C11" s="11" t="e">
        <v>#REF!</v>
      </c>
      <c r="D11" s="182" t="e">
        <f t="shared" si="0"/>
        <v>#REF!</v>
      </c>
      <c r="E11" s="178" t="e">
        <v>#REF!</v>
      </c>
      <c r="F11" s="179" t="e">
        <v>#REF!</v>
      </c>
      <c r="G11" s="173" t="e">
        <f t="shared" si="1"/>
        <v>#REF!</v>
      </c>
      <c r="I11" s="183"/>
      <c r="J11" s="184"/>
      <c r="K11" s="185"/>
      <c r="L11" s="186"/>
      <c r="O11" s="187"/>
    </row>
    <row r="12" ht="23.1" customHeight="1" spans="1:15">
      <c r="A12" s="163" t="s">
        <v>523</v>
      </c>
      <c r="B12" s="178" t="e">
        <v>#REF!</v>
      </c>
      <c r="C12" s="11" t="e">
        <v>#REF!</v>
      </c>
      <c r="D12" s="182" t="e">
        <f t="shared" si="0"/>
        <v>#REF!</v>
      </c>
      <c r="E12" s="178" t="e">
        <v>#REF!</v>
      </c>
      <c r="F12" s="179" t="e">
        <v>#REF!</v>
      </c>
      <c r="G12" s="173" t="e">
        <f t="shared" si="1"/>
        <v>#REF!</v>
      </c>
      <c r="I12" s="183"/>
      <c r="J12" s="184"/>
      <c r="K12" s="185"/>
      <c r="L12" s="186"/>
      <c r="O12" s="187"/>
    </row>
    <row r="13" ht="23.1" customHeight="1" spans="1:15">
      <c r="A13" s="163" t="s">
        <v>524</v>
      </c>
      <c r="B13" s="178" t="e">
        <v>#REF!</v>
      </c>
      <c r="C13" s="11" t="e">
        <v>#REF!</v>
      </c>
      <c r="D13" s="182" t="e">
        <f t="shared" si="0"/>
        <v>#REF!</v>
      </c>
      <c r="E13" s="178" t="e">
        <v>#REF!</v>
      </c>
      <c r="F13" s="179" t="e">
        <v>#REF!</v>
      </c>
      <c r="G13" s="173" t="e">
        <f t="shared" si="1"/>
        <v>#REF!</v>
      </c>
      <c r="I13" s="183"/>
      <c r="J13" s="184"/>
      <c r="K13" s="185"/>
      <c r="L13" s="186"/>
      <c r="O13" s="187"/>
    </row>
    <row r="14" ht="23.1" customHeight="1" spans="1:15">
      <c r="A14" s="163" t="s">
        <v>525</v>
      </c>
      <c r="B14" s="178" t="e">
        <v>#REF!</v>
      </c>
      <c r="C14" s="11" t="e">
        <v>#REF!</v>
      </c>
      <c r="D14" s="182" t="e">
        <f t="shared" si="0"/>
        <v>#REF!</v>
      </c>
      <c r="E14" s="178" t="e">
        <v>#REF!</v>
      </c>
      <c r="F14" s="179" t="e">
        <v>#REF!</v>
      </c>
      <c r="G14" s="173" t="e">
        <f t="shared" si="1"/>
        <v>#REF!</v>
      </c>
      <c r="I14" s="183"/>
      <c r="J14" s="184"/>
      <c r="K14" s="185"/>
      <c r="L14" s="186"/>
      <c r="O14" s="187"/>
    </row>
    <row r="15" ht="23.1" customHeight="1" spans="1:15">
      <c r="A15" s="163" t="s">
        <v>526</v>
      </c>
      <c r="B15" s="178" t="e">
        <v>#REF!</v>
      </c>
      <c r="C15" s="11">
        <v>-1.2</v>
      </c>
      <c r="D15" s="182" t="e">
        <f t="shared" si="0"/>
        <v>#REF!</v>
      </c>
      <c r="E15" s="178" t="e">
        <v>#REF!</v>
      </c>
      <c r="F15" s="179" t="e">
        <v>#REF!</v>
      </c>
      <c r="G15" s="173" t="e">
        <f t="shared" si="1"/>
        <v>#REF!</v>
      </c>
      <c r="I15" s="183"/>
      <c r="J15" s="184"/>
      <c r="K15" s="185"/>
      <c r="L15" s="186"/>
      <c r="O15" s="187"/>
    </row>
    <row r="16" ht="23.1" customHeight="1" spans="1:15">
      <c r="A16" s="163" t="s">
        <v>527</v>
      </c>
      <c r="B16" s="178" t="e">
        <v>#REF!</v>
      </c>
      <c r="C16" s="11" t="e">
        <v>#REF!</v>
      </c>
      <c r="D16" s="182" t="e">
        <f t="shared" si="0"/>
        <v>#REF!</v>
      </c>
      <c r="E16" s="178" t="e">
        <v>#REF!</v>
      </c>
      <c r="F16" s="179" t="e">
        <v>#REF!</v>
      </c>
      <c r="G16" s="173" t="e">
        <f t="shared" si="1"/>
        <v>#REF!</v>
      </c>
      <c r="I16" s="183"/>
      <c r="J16" s="184"/>
      <c r="K16" s="185"/>
      <c r="L16" s="186"/>
      <c r="O16" s="187"/>
    </row>
    <row r="17" ht="23.1" customHeight="1" spans="1:15">
      <c r="A17" s="163" t="s">
        <v>528</v>
      </c>
      <c r="B17" s="178" t="e">
        <v>#REF!</v>
      </c>
      <c r="C17" s="11" t="e">
        <v>#REF!</v>
      </c>
      <c r="D17" s="182" t="e">
        <f t="shared" si="0"/>
        <v>#REF!</v>
      </c>
      <c r="E17" s="178" t="e">
        <v>#REF!</v>
      </c>
      <c r="F17" s="179" t="e">
        <v>#REF!</v>
      </c>
      <c r="G17" s="173" t="e">
        <f t="shared" si="1"/>
        <v>#REF!</v>
      </c>
      <c r="I17" s="183"/>
      <c r="J17" s="184"/>
      <c r="K17" s="185"/>
      <c r="L17" s="186"/>
      <c r="O17" s="187"/>
    </row>
    <row r="18" ht="23.1" customHeight="1" spans="1:15">
      <c r="A18" s="163" t="s">
        <v>529</v>
      </c>
      <c r="B18" s="178" t="e">
        <v>#REF!</v>
      </c>
      <c r="C18" s="11" t="e">
        <v>#REF!</v>
      </c>
      <c r="D18" s="182" t="e">
        <f t="shared" si="0"/>
        <v>#REF!</v>
      </c>
      <c r="E18" s="178" t="e">
        <v>#REF!</v>
      </c>
      <c r="F18" s="179" t="e">
        <v>#REF!</v>
      </c>
      <c r="G18" s="173" t="e">
        <f t="shared" si="1"/>
        <v>#REF!</v>
      </c>
      <c r="I18" s="183"/>
      <c r="J18" s="184"/>
      <c r="K18" s="185"/>
      <c r="L18" s="186"/>
      <c r="O18" s="187"/>
    </row>
    <row r="19" ht="23.1" customHeight="1" spans="1:15">
      <c r="A19" s="163" t="s">
        <v>530</v>
      </c>
      <c r="B19" s="178" t="e">
        <v>#REF!</v>
      </c>
      <c r="C19" s="11" t="e">
        <v>#REF!</v>
      </c>
      <c r="D19" s="182" t="e">
        <f t="shared" si="0"/>
        <v>#REF!</v>
      </c>
      <c r="E19" s="178" t="e">
        <v>#REF!</v>
      </c>
      <c r="F19" s="179" t="e">
        <v>#REF!</v>
      </c>
      <c r="G19" s="173" t="e">
        <f t="shared" si="1"/>
        <v>#REF!</v>
      </c>
      <c r="I19" s="183"/>
      <c r="J19" s="184"/>
      <c r="K19" s="185"/>
      <c r="L19" s="186"/>
      <c r="O19" s="187"/>
    </row>
    <row r="20" ht="23.1" customHeight="1" spans="1:15">
      <c r="A20" s="163" t="s">
        <v>531</v>
      </c>
      <c r="B20" s="178" t="e">
        <v>#REF!</v>
      </c>
      <c r="C20" s="11" t="e">
        <v>#REF!</v>
      </c>
      <c r="D20" s="182" t="e">
        <f t="shared" si="0"/>
        <v>#REF!</v>
      </c>
      <c r="E20" s="178" t="e">
        <v>#REF!</v>
      </c>
      <c r="F20" s="179" t="e">
        <v>#REF!</v>
      </c>
      <c r="G20" s="173" t="e">
        <f t="shared" si="1"/>
        <v>#REF!</v>
      </c>
      <c r="I20" s="183"/>
      <c r="J20" s="184"/>
      <c r="K20" s="185"/>
      <c r="L20" s="186"/>
      <c r="O20" s="187"/>
    </row>
    <row r="21" ht="23.1" customHeight="1" spans="1:15">
      <c r="A21" s="163" t="s">
        <v>532</v>
      </c>
      <c r="B21" s="178" t="e">
        <v>#REF!</v>
      </c>
      <c r="C21" s="11" t="e">
        <v>#REF!</v>
      </c>
      <c r="D21" s="182" t="e">
        <f t="shared" si="0"/>
        <v>#REF!</v>
      </c>
      <c r="E21" s="178" t="e">
        <v>#REF!</v>
      </c>
      <c r="F21" s="179" t="e">
        <v>#REF!</v>
      </c>
      <c r="G21" s="173" t="e">
        <f t="shared" si="1"/>
        <v>#REF!</v>
      </c>
      <c r="I21" s="183"/>
      <c r="J21" s="184"/>
      <c r="K21" s="185"/>
      <c r="L21" s="186"/>
      <c r="O21" s="187"/>
    </row>
    <row r="22" ht="23.1" customHeight="1" spans="1:15">
      <c r="A22" s="163" t="s">
        <v>533</v>
      </c>
      <c r="B22" s="178" t="e">
        <v>#REF!</v>
      </c>
      <c r="C22" s="11" t="e">
        <v>#REF!</v>
      </c>
      <c r="D22" s="182" t="e">
        <f t="shared" si="0"/>
        <v>#REF!</v>
      </c>
      <c r="E22" s="178" t="e">
        <v>#REF!</v>
      </c>
      <c r="F22" s="179" t="e">
        <v>#REF!</v>
      </c>
      <c r="G22" s="173" t="e">
        <f t="shared" si="1"/>
        <v>#REF!</v>
      </c>
      <c r="I22" s="183"/>
      <c r="J22" s="184"/>
      <c r="K22" s="185"/>
      <c r="L22" s="186"/>
      <c r="O22" s="187"/>
    </row>
    <row r="23" ht="23.1" customHeight="1" spans="1:15">
      <c r="A23" s="163" t="s">
        <v>534</v>
      </c>
      <c r="B23" s="178" t="e">
        <v>#REF!</v>
      </c>
      <c r="C23" s="11" t="e">
        <v>#REF!</v>
      </c>
      <c r="D23" s="182" t="e">
        <f t="shared" si="0"/>
        <v>#REF!</v>
      </c>
      <c r="E23" s="178" t="e">
        <v>#REF!</v>
      </c>
      <c r="F23" s="179" t="e">
        <v>#REF!</v>
      </c>
      <c r="G23" s="173" t="e">
        <f t="shared" si="1"/>
        <v>#REF!</v>
      </c>
      <c r="I23" s="183"/>
      <c r="J23" s="184"/>
      <c r="K23" s="185"/>
      <c r="L23" s="186"/>
      <c r="O23" s="187"/>
    </row>
    <row r="24" ht="23.1" customHeight="1" spans="1:15">
      <c r="A24" s="163" t="s">
        <v>535</v>
      </c>
      <c r="B24" s="178" t="e">
        <v>#REF!</v>
      </c>
      <c r="C24" s="11" t="e">
        <v>#REF!</v>
      </c>
      <c r="D24" s="182" t="e">
        <f t="shared" si="0"/>
        <v>#REF!</v>
      </c>
      <c r="E24" s="178" t="e">
        <v>#REF!</v>
      </c>
      <c r="F24" s="179" t="e">
        <v>#REF!</v>
      </c>
      <c r="G24" s="173" t="e">
        <f t="shared" si="1"/>
        <v>#REF!</v>
      </c>
      <c r="I24" s="183"/>
      <c r="J24" s="184"/>
      <c r="K24" s="185"/>
      <c r="L24" s="186"/>
      <c r="O24" s="187"/>
    </row>
    <row r="25" ht="23.1" customHeight="1" spans="1:15">
      <c r="A25" s="163" t="s">
        <v>536</v>
      </c>
      <c r="B25" s="178" t="e">
        <v>#REF!</v>
      </c>
      <c r="C25" s="11" t="e">
        <v>#REF!</v>
      </c>
      <c r="D25" s="182" t="e">
        <f t="shared" si="0"/>
        <v>#REF!</v>
      </c>
      <c r="E25" s="178" t="e">
        <v>#REF!</v>
      </c>
      <c r="F25" s="179" t="e">
        <v>#REF!</v>
      </c>
      <c r="G25" s="173" t="e">
        <f t="shared" si="1"/>
        <v>#REF!</v>
      </c>
      <c r="I25" s="183"/>
      <c r="J25" s="184"/>
      <c r="K25" s="185"/>
      <c r="L25" s="186"/>
      <c r="O25" s="187"/>
    </row>
    <row r="26" ht="23.1" customHeight="1" spans="1:15">
      <c r="A26" s="163" t="s">
        <v>537</v>
      </c>
      <c r="B26" s="178" t="e">
        <v>#REF!</v>
      </c>
      <c r="C26" s="11" t="e">
        <v>#REF!</v>
      </c>
      <c r="D26" s="182" t="e">
        <f t="shared" si="0"/>
        <v>#REF!</v>
      </c>
      <c r="E26" s="178" t="e">
        <v>#REF!</v>
      </c>
      <c r="F26" s="179" t="e">
        <v>#REF!</v>
      </c>
      <c r="G26" s="173" t="e">
        <f t="shared" si="1"/>
        <v>#REF!</v>
      </c>
      <c r="I26" s="183"/>
      <c r="J26" s="184"/>
      <c r="K26" s="185"/>
      <c r="L26" s="186"/>
      <c r="O26" s="187"/>
    </row>
    <row r="27" s="164" customFormat="1" ht="23.1" customHeight="1" spans="1:15">
      <c r="A27" s="188" t="s">
        <v>538</v>
      </c>
      <c r="B27" s="189" t="e">
        <v>#REF!</v>
      </c>
      <c r="C27" s="190" t="e">
        <v>#REF!</v>
      </c>
      <c r="D27" s="191" t="e">
        <f t="shared" si="0"/>
        <v>#REF!</v>
      </c>
      <c r="E27" s="189" t="e">
        <v>#REF!</v>
      </c>
      <c r="F27" s="192" t="e">
        <v>#REF!</v>
      </c>
      <c r="G27" s="193" t="e">
        <f t="shared" si="1"/>
        <v>#REF!</v>
      </c>
      <c r="H27" s="194"/>
      <c r="I27" s="183"/>
      <c r="J27" s="184"/>
      <c r="K27" s="185"/>
      <c r="L27" s="194"/>
      <c r="M27" s="194"/>
      <c r="N27" s="194"/>
      <c r="O27" s="181"/>
    </row>
  </sheetData>
  <mergeCells count="5">
    <mergeCell ref="A1:F1"/>
    <mergeCell ref="A2:G2"/>
    <mergeCell ref="B3:D3"/>
    <mergeCell ref="E3:G3"/>
    <mergeCell ref="A3:A4"/>
  </mergeCells>
  <pageMargins left="0.75" right="0.75" top="1" bottom="1" header="0.509027777777778" footer="0.509027777777778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V31"/>
  <sheetViews>
    <sheetView topLeftCell="A4" workbookViewId="0">
      <selection activeCell="G31" sqref="G31"/>
    </sheetView>
  </sheetViews>
  <sheetFormatPr defaultColWidth="9" defaultRowHeight="14.25"/>
  <cols>
    <col min="1" max="1" width="14.375" style="45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7">
      <c r="A1" s="3" t="s">
        <v>539</v>
      </c>
      <c r="B1" s="3"/>
      <c r="C1" s="3"/>
      <c r="D1" s="3"/>
      <c r="E1" s="3"/>
      <c r="F1" s="3"/>
      <c r="G1" s="46"/>
    </row>
    <row r="2" ht="20.25" customHeight="1" spans="1:7">
      <c r="A2" s="146"/>
      <c r="B2" s="146"/>
      <c r="C2" s="62" t="s">
        <v>540</v>
      </c>
      <c r="D2" s="62"/>
      <c r="E2" s="62"/>
      <c r="F2" s="62"/>
      <c r="G2" s="46"/>
    </row>
    <row r="3" s="44" customFormat="1" ht="31.5" customHeight="1" spans="1:7">
      <c r="A3" t="s">
        <v>541</v>
      </c>
      <c r="B3" t="s">
        <v>10</v>
      </c>
      <c r="C3"/>
      <c r="D3" s="147"/>
      <c r="E3" s="148"/>
      <c r="F3" s="149"/>
      <c r="G3" s="52"/>
    </row>
    <row r="4" s="44" customFormat="1" ht="31.5" customHeight="1" spans="1:7">
      <c r="A4"/>
      <c r="B4" s="7" t="s">
        <v>542</v>
      </c>
      <c r="C4" s="8" t="s">
        <v>543</v>
      </c>
      <c r="D4" s="150"/>
      <c r="E4" s="151"/>
      <c r="F4" s="152"/>
      <c r="G4" s="52"/>
    </row>
    <row r="5" ht="18" customHeight="1" spans="1:7">
      <c r="A5" s="153">
        <v>2016</v>
      </c>
      <c r="B5" s="154"/>
      <c r="C5" s="82"/>
      <c r="D5" s="155"/>
      <c r="E5" s="155"/>
      <c r="F5" s="155"/>
    </row>
    <row r="6" ht="18" customHeight="1" spans="1:7">
      <c r="A6" s="153">
        <v>6</v>
      </c>
      <c r="B6" s="154">
        <f>ROUND(3143799,0)</f>
        <v>3143799</v>
      </c>
      <c r="C6" s="156">
        <f>ROUND(10.5,1)</f>
        <v>10.5</v>
      </c>
      <c r="D6" s="155"/>
      <c r="E6" s="155"/>
      <c r="F6" s="155"/>
    </row>
    <row r="7" ht="18" customHeight="1" spans="1:7">
      <c r="A7" s="153">
        <v>7</v>
      </c>
      <c r="B7" s="154">
        <f>ROUND(3788981,0)</f>
        <v>3788981</v>
      </c>
      <c r="C7" s="157">
        <f>ROUND(10.6,1)</f>
        <v>10.6</v>
      </c>
      <c r="D7" s="155"/>
      <c r="E7" s="155"/>
      <c r="F7" s="155"/>
    </row>
    <row r="8" ht="18" customHeight="1" spans="1:7">
      <c r="A8" s="153">
        <v>8</v>
      </c>
      <c r="B8" s="154">
        <f>ROUND(4431853,0)</f>
        <v>4431853</v>
      </c>
      <c r="C8" s="157">
        <f>ROUND(10.6,1)</f>
        <v>10.6</v>
      </c>
      <c r="D8" s="155"/>
      <c r="E8" s="155"/>
      <c r="F8" s="155"/>
    </row>
    <row r="9" ht="18" customHeight="1" spans="1:7">
      <c r="A9" s="153">
        <v>9</v>
      </c>
      <c r="B9" s="154">
        <f>ROUND(5129609,0)</f>
        <v>5129609</v>
      </c>
      <c r="C9" s="157">
        <f>ROUND(11,1)</f>
        <v>11</v>
      </c>
      <c r="D9" s="155"/>
      <c r="E9" s="155"/>
      <c r="F9" s="155"/>
    </row>
    <row r="10" ht="18" customHeight="1" spans="1:7">
      <c r="A10" s="153">
        <v>10</v>
      </c>
      <c r="B10" s="154">
        <f>ROUND(5824115,0)</f>
        <v>5824115</v>
      </c>
      <c r="C10" s="157">
        <f>ROUND(11.5,1)</f>
        <v>11.5</v>
      </c>
      <c r="D10" s="155"/>
      <c r="E10" s="155"/>
      <c r="F10" s="155"/>
    </row>
    <row r="11" spans="1:7">
      <c r="A11" s="153">
        <v>11</v>
      </c>
      <c r="B11" s="154">
        <f>ROUND(6614788,0)</f>
        <v>6614788</v>
      </c>
      <c r="C11" s="157">
        <f>ROUND(11.7,1)</f>
        <v>11.7</v>
      </c>
    </row>
    <row r="12" spans="1:7">
      <c r="A12" s="158">
        <v>12</v>
      </c>
      <c r="B12" s="42">
        <f>ROUND(7665202,0)</f>
        <v>7665202</v>
      </c>
      <c r="C12" s="21">
        <f>ROUND(11.5,1)</f>
        <v>11.5</v>
      </c>
    </row>
    <row r="13" ht="18" customHeight="1" spans="1:7">
      <c r="A13" s="153">
        <v>2017</v>
      </c>
      <c r="B13" s="154"/>
      <c r="C13" s="156"/>
      <c r="D13" s="155"/>
      <c r="E13" s="155"/>
      <c r="F13" s="155"/>
    </row>
    <row r="14" spans="1:7">
      <c r="A14" s="153">
        <v>2</v>
      </c>
      <c r="B14" s="16">
        <f>ROUND(1142507,0)</f>
        <v>1142507</v>
      </c>
      <c r="C14" s="159">
        <f>ROUND(7.5,1)</f>
        <v>7.5</v>
      </c>
    </row>
    <row r="15" spans="1:7">
      <c r="A15" s="15">
        <v>3</v>
      </c>
      <c r="B15" s="16">
        <f>ROUND(1799926,0)</f>
        <v>1799926</v>
      </c>
      <c r="C15" s="21">
        <f>ROUND(7.7,1)</f>
        <v>7.7</v>
      </c>
    </row>
    <row r="16" spans="1:7">
      <c r="A16" s="15">
        <v>4</v>
      </c>
      <c r="B16" s="16">
        <f>ROUND(2404934,0)</f>
        <v>2404934</v>
      </c>
      <c r="C16" s="21">
        <f>ROUND(8.1,1)</f>
        <v>8.1</v>
      </c>
    </row>
    <row r="17" spans="1:256">
      <c r="A17" s="15">
        <v>5</v>
      </c>
      <c r="B17" s="16">
        <f>ROUND(3144236,0)</f>
        <v>3144236</v>
      </c>
      <c r="C17" s="21">
        <f>ROUND(7.5,1)</f>
        <v>7.5</v>
      </c>
    </row>
    <row r="18" spans="1:256">
      <c r="A18" s="15">
        <v>6</v>
      </c>
      <c r="B18" s="16">
        <f>ROUND(4030867,0)</f>
        <v>4030867</v>
      </c>
      <c r="C18" s="21">
        <f>ROUND(8.5,)</f>
        <v>9</v>
      </c>
    </row>
    <row r="19" spans="1:256">
      <c r="A19" s="15">
        <v>7</v>
      </c>
      <c r="B19" s="154">
        <f>ROUND(4819573,0)</f>
        <v>4819573</v>
      </c>
      <c r="C19" s="156">
        <f>ROUND(8.8,1)</f>
        <v>8.8</v>
      </c>
    </row>
    <row r="20" spans="1:256">
      <c r="A20" s="160">
        <v>8</v>
      </c>
      <c r="B20" s="42">
        <f>ROUND(5627416,0)</f>
        <v>5627416</v>
      </c>
      <c r="C20" s="21">
        <f>ROUND(9.1,1)</f>
        <v>9.1</v>
      </c>
    </row>
    <row r="21" spans="1:256">
      <c r="A21" s="160">
        <v>9</v>
      </c>
      <c r="B21" s="42">
        <f>ROUND(6503597,0)</f>
        <v>6503597</v>
      </c>
      <c r="C21" s="156">
        <f>ROUND(9.6,1)</f>
        <v>9.6</v>
      </c>
    </row>
    <row r="22" spans="1:256">
      <c r="A22" s="160">
        <v>10</v>
      </c>
      <c r="B22" s="42">
        <f>ROUND(7316245,0)</f>
        <v>7316245</v>
      </c>
      <c r="C22" s="21">
        <f>ROUND(9.3,1)</f>
        <v>9.3</v>
      </c>
    </row>
    <row r="23" spans="1:256">
      <c r="A23" s="161">
        <v>11</v>
      </c>
      <c r="B23" s="16">
        <f>ROUND(8208997,0)</f>
        <v>8208997</v>
      </c>
      <c r="C23" s="21">
        <f>ROUND(9.1,1)</f>
        <v>9.1</v>
      </c>
    </row>
    <row r="24" spans="1:256">
      <c r="A24" s="161">
        <v>12</v>
      </c>
      <c r="B24" s="16">
        <f>ROUND(8357945,0)</f>
        <v>8357945</v>
      </c>
      <c r="C24" s="21">
        <f>ROUND(8.5,1)</f>
        <v>8.5</v>
      </c>
    </row>
    <row r="25" spans="1:256">
      <c r="A25" s="15">
        <v>2018</v>
      </c>
      <c r="B25" s="16"/>
      <c r="C25" s="21"/>
    </row>
    <row r="26" spans="1:256">
      <c r="A26" s="15">
        <v>2</v>
      </c>
      <c r="B26" s="16">
        <f>ROUND(1129112,0)</f>
        <v>1129112</v>
      </c>
      <c r="C26" s="21">
        <f>ROUND(0.2,1)</f>
        <v>0.2</v>
      </c>
    </row>
    <row r="27" spans="1:256">
      <c r="A27" s="15">
        <v>3</v>
      </c>
      <c r="B27" s="16">
        <f>ROUND(1788963,0)</f>
        <v>1788963</v>
      </c>
      <c r="C27" s="21">
        <f>ROUND(2.9,1)</f>
        <v>2.9</v>
      </c>
    </row>
    <row r="28" spans="1:256">
      <c r="A28" s="15">
        <v>4</v>
      </c>
      <c r="B28" s="42">
        <f>ROUND(2439875,0)</f>
        <v>2439875</v>
      </c>
      <c r="C28" s="21">
        <f>ROUND(3.8,1)</f>
        <v>3.8</v>
      </c>
    </row>
    <row r="29" spans="1:256">
      <c r="A29" s="15">
        <v>5</v>
      </c>
      <c r="B29" s="42">
        <v>3086749</v>
      </c>
      <c r="C29" s="21">
        <v>4.1</v>
      </c>
    </row>
    <row r="30" spans="1:256">
      <c r="A30" s="22">
        <v>6</v>
      </c>
      <c r="B30" s="43">
        <v>3845140</v>
      </c>
      <c r="C30" s="24">
        <v>4.7</v>
      </c>
    </row>
    <row r="31" spans="1:256"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0"/>
      <c r="AP31" s="160"/>
      <c r="AQ31" s="160"/>
      <c r="AR31" s="160"/>
      <c r="AS31" s="160"/>
      <c r="AT31" s="160"/>
      <c r="AU31" s="160"/>
      <c r="AV31" s="160"/>
      <c r="AW31" s="160"/>
      <c r="AX31" s="160"/>
      <c r="AY31" s="160"/>
      <c r="AZ31" s="160"/>
      <c r="BA31" s="160"/>
      <c r="BB31" s="160"/>
      <c r="BC31" s="160"/>
      <c r="BD31" s="160"/>
      <c r="BE31" s="160"/>
      <c r="BF31" s="160"/>
      <c r="BG31" s="160"/>
      <c r="BH31" s="160"/>
      <c r="BI31" s="160"/>
      <c r="BJ31" s="160"/>
      <c r="BK31" s="160"/>
      <c r="BL31" s="160"/>
      <c r="BM31" s="160"/>
      <c r="BN31" s="160"/>
      <c r="BO31" s="160"/>
      <c r="BP31" s="160"/>
      <c r="BQ31" s="160"/>
      <c r="BR31" s="160"/>
      <c r="BS31" s="160"/>
      <c r="BT31" s="160"/>
      <c r="BU31" s="160"/>
      <c r="BV31" s="160"/>
      <c r="BW31" s="160"/>
      <c r="BX31" s="160"/>
      <c r="BY31" s="160"/>
      <c r="BZ31" s="160"/>
      <c r="CA31" s="160"/>
      <c r="CB31" s="160"/>
      <c r="CC31" s="160"/>
      <c r="CD31" s="160"/>
      <c r="CE31" s="160"/>
      <c r="CF31" s="160"/>
      <c r="CG31" s="160"/>
      <c r="CH31" s="160"/>
      <c r="CI31" s="160"/>
      <c r="CJ31" s="160"/>
      <c r="CK31" s="160"/>
      <c r="CL31" s="160"/>
      <c r="CM31" s="160"/>
      <c r="CN31" s="160"/>
      <c r="CO31" s="160"/>
      <c r="CP31" s="160"/>
      <c r="CQ31" s="160"/>
      <c r="CR31" s="160"/>
      <c r="CS31" s="160"/>
      <c r="CT31" s="160"/>
      <c r="CU31" s="160"/>
      <c r="CV31" s="160"/>
      <c r="CW31" s="160"/>
      <c r="CX31" s="160"/>
      <c r="CY31" s="160"/>
      <c r="CZ31" s="160"/>
      <c r="DA31" s="160"/>
      <c r="DB31" s="160"/>
      <c r="DC31" s="160"/>
      <c r="DD31" s="160"/>
      <c r="DE31" s="160"/>
      <c r="DF31" s="160"/>
      <c r="DG31" s="160"/>
      <c r="DH31" s="160"/>
      <c r="DI31" s="160"/>
      <c r="DJ31" s="160"/>
      <c r="DK31" s="160"/>
      <c r="DL31" s="160"/>
      <c r="DM31" s="160"/>
      <c r="DN31" s="160"/>
      <c r="DO31" s="160"/>
      <c r="DP31" s="160"/>
      <c r="DQ31" s="160"/>
      <c r="DR31" s="160"/>
      <c r="DS31" s="160"/>
      <c r="DT31" s="160"/>
      <c r="DU31" s="160"/>
      <c r="DV31" s="160"/>
      <c r="DW31" s="160"/>
      <c r="DX31" s="160"/>
      <c r="DY31" s="160"/>
      <c r="DZ31" s="160"/>
      <c r="EA31" s="160"/>
      <c r="EB31" s="160"/>
      <c r="EC31" s="160"/>
      <c r="ED31" s="160"/>
      <c r="EE31" s="160"/>
      <c r="EF31" s="160"/>
      <c r="EG31" s="160"/>
      <c r="EH31" s="160"/>
      <c r="EI31" s="160"/>
      <c r="EJ31" s="160"/>
      <c r="EK31" s="160"/>
      <c r="EL31" s="160"/>
      <c r="EM31" s="160"/>
      <c r="EN31" s="160"/>
      <c r="EO31" s="160"/>
      <c r="EP31" s="160"/>
      <c r="EQ31" s="160"/>
      <c r="ER31" s="160"/>
      <c r="ES31" s="160"/>
      <c r="ET31" s="160"/>
      <c r="EU31" s="160"/>
      <c r="EV31" s="160"/>
      <c r="EW31" s="160"/>
      <c r="EX31" s="160"/>
      <c r="EY31" s="160"/>
      <c r="EZ31" s="160"/>
      <c r="FA31" s="160"/>
      <c r="FB31" s="160"/>
      <c r="FC31" s="160"/>
      <c r="FD31" s="160"/>
      <c r="FE31" s="160"/>
      <c r="FF31" s="160"/>
      <c r="FG31" s="160"/>
      <c r="FH31" s="160"/>
      <c r="FI31" s="160"/>
      <c r="FJ31" s="160"/>
      <c r="FK31" s="160"/>
      <c r="FL31" s="160"/>
      <c r="FM31" s="160"/>
      <c r="FN31" s="160"/>
      <c r="FO31" s="160"/>
      <c r="FP31" s="160"/>
      <c r="FQ31" s="160"/>
      <c r="FR31" s="160"/>
      <c r="FS31" s="160"/>
      <c r="FT31" s="160"/>
      <c r="FU31" s="160"/>
      <c r="FV31" s="160"/>
      <c r="FW31" s="160"/>
      <c r="FX31" s="160"/>
      <c r="FY31" s="160"/>
      <c r="FZ31" s="160"/>
      <c r="GA31" s="160"/>
      <c r="GB31" s="160"/>
      <c r="GC31" s="160"/>
      <c r="GD31" s="160"/>
      <c r="GE31" s="160"/>
      <c r="GF31" s="160"/>
      <c r="GG31" s="160"/>
      <c r="GH31" s="160"/>
      <c r="GI31" s="160"/>
      <c r="GJ31" s="160"/>
      <c r="GK31" s="160"/>
      <c r="GL31" s="160"/>
      <c r="GM31" s="160"/>
      <c r="GN31" s="160"/>
      <c r="GO31" s="160"/>
      <c r="GP31" s="160"/>
      <c r="GQ31" s="160"/>
      <c r="GR31" s="160"/>
      <c r="GS31" s="160"/>
      <c r="GT31" s="160"/>
      <c r="GU31" s="160"/>
      <c r="GV31" s="160"/>
      <c r="GW31" s="160"/>
      <c r="GX31" s="160"/>
      <c r="GY31" s="160"/>
      <c r="GZ31" s="160"/>
      <c r="HA31" s="160"/>
      <c r="HB31" s="160"/>
      <c r="HC31" s="160"/>
      <c r="HD31" s="160"/>
      <c r="HE31" s="160"/>
      <c r="HF31" s="160"/>
      <c r="HG31" s="160"/>
      <c r="HH31" s="160"/>
      <c r="HI31" s="160"/>
      <c r="HJ31" s="160"/>
      <c r="HK31" s="160"/>
      <c r="HL31" s="160"/>
      <c r="HM31" s="160"/>
      <c r="HN31" s="160"/>
      <c r="HO31" s="160"/>
      <c r="HP31" s="160"/>
      <c r="HQ31" s="160"/>
      <c r="HR31" s="160"/>
      <c r="HS31" s="160"/>
      <c r="HT31" s="160"/>
      <c r="HU31" s="160"/>
      <c r="HV31" s="160"/>
      <c r="HW31" s="160"/>
      <c r="HX31" s="160"/>
      <c r="HY31" s="160"/>
      <c r="HZ31" s="160"/>
      <c r="IA31" s="160"/>
      <c r="IB31" s="160"/>
      <c r="IC31" s="160"/>
      <c r="ID31" s="160"/>
      <c r="IE31" s="160"/>
      <c r="IF31" s="160"/>
      <c r="IG31" s="160"/>
      <c r="IH31" s="160"/>
      <c r="II31" s="160"/>
      <c r="IJ31" s="160"/>
      <c r="IK31" s="160"/>
      <c r="IL31" s="160"/>
      <c r="IM31" s="160"/>
      <c r="IN31" s="160"/>
      <c r="IO31" s="160"/>
      <c r="IP31" s="160"/>
      <c r="IQ31" s="160"/>
      <c r="IR31" s="160"/>
      <c r="IS31" s="160"/>
      <c r="IT31" s="160"/>
      <c r="IU31" s="160"/>
      <c r="IV31" s="160"/>
    </row>
  </sheetData>
  <mergeCells count="4">
    <mergeCell ref="A1:F1"/>
    <mergeCell ref="C2:F2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J24" sqref="J24"/>
    </sheetView>
  </sheetViews>
  <sheetFormatPr defaultColWidth="9" defaultRowHeight="14.25" outlineLevelCol="4"/>
  <cols>
    <col min="1" max="1" width="9" style="127"/>
    <col min="2" max="2" width="12.375" style="127" customWidth="1"/>
    <col min="3" max="3" width="10.375" style="127" customWidth="1"/>
    <col min="4" max="4" width="14.125" style="127" customWidth="1"/>
    <col min="5" max="5" width="10.125" style="127" customWidth="1"/>
    <col min="6" max="16384" width="9" style="127"/>
  </cols>
  <sheetData>
    <row r="1" ht="28.5" customHeight="1" spans="1:5">
      <c r="A1" s="86" t="s">
        <v>10</v>
      </c>
      <c r="B1" s="86"/>
      <c r="C1" s="86"/>
      <c r="D1" s="86"/>
      <c r="E1" s="86"/>
    </row>
    <row r="2" ht="18" customHeight="1" spans="1:5">
      <c r="A2" s="88"/>
      <c r="B2" s="88"/>
      <c r="C2" s="88"/>
      <c r="D2" s="88"/>
      <c r="E2" s="90" t="s">
        <v>35</v>
      </c>
    </row>
    <row r="3" ht="18" customHeight="1" spans="1:5">
      <c r="A3" s="91" t="s">
        <v>544</v>
      </c>
      <c r="B3" s="92" t="s">
        <v>545</v>
      </c>
      <c r="C3" s="92"/>
      <c r="D3" s="92" t="s">
        <v>546</v>
      </c>
      <c r="E3" s="140"/>
    </row>
    <row r="4" ht="18" customHeight="1" spans="1:5">
      <c r="A4" s="95"/>
      <c r="B4" s="96" t="s">
        <v>547</v>
      </c>
      <c r="C4" s="96" t="s">
        <v>548</v>
      </c>
      <c r="D4" s="96" t="s">
        <v>547</v>
      </c>
      <c r="E4" s="141" t="s">
        <v>548</v>
      </c>
    </row>
    <row r="5" spans="1:5">
      <c r="A5" s="99" t="s">
        <v>255</v>
      </c>
      <c r="B5" s="100"/>
      <c r="C5" s="100"/>
      <c r="D5" s="100"/>
      <c r="E5" s="142"/>
    </row>
    <row r="6" spans="1:5">
      <c r="A6" s="99" t="s">
        <v>549</v>
      </c>
      <c r="B6" s="103">
        <v>88.0656</v>
      </c>
      <c r="C6" s="143">
        <v>5.8</v>
      </c>
      <c r="D6" s="103">
        <v>114.2507</v>
      </c>
      <c r="E6" s="144">
        <v>7.5</v>
      </c>
    </row>
    <row r="7" spans="1:5">
      <c r="A7" s="99" t="s">
        <v>550</v>
      </c>
      <c r="B7" s="103">
        <v>139.582</v>
      </c>
      <c r="C7" s="143">
        <v>8.8</v>
      </c>
      <c r="D7" s="103">
        <v>179.9926</v>
      </c>
      <c r="E7" s="144">
        <v>7.7</v>
      </c>
    </row>
    <row r="8" spans="1:5">
      <c r="A8" s="99" t="s">
        <v>551</v>
      </c>
      <c r="B8" s="103">
        <v>185.228</v>
      </c>
      <c r="C8" s="143">
        <v>9.4</v>
      </c>
      <c r="D8" s="103">
        <v>240.4934</v>
      </c>
      <c r="E8" s="144">
        <v>8.1</v>
      </c>
    </row>
    <row r="9" spans="1:5">
      <c r="A9" s="99" t="s">
        <v>552</v>
      </c>
      <c r="B9" s="103">
        <v>242.3485</v>
      </c>
      <c r="C9" s="143">
        <v>10.2</v>
      </c>
      <c r="D9" s="103">
        <v>314.4236</v>
      </c>
      <c r="E9" s="144">
        <v>7.5</v>
      </c>
    </row>
    <row r="10" spans="1:5">
      <c r="A10" s="99" t="s">
        <v>553</v>
      </c>
      <c r="B10" s="106">
        <v>314.3799</v>
      </c>
      <c r="C10" s="143">
        <v>10.5</v>
      </c>
      <c r="D10" s="107">
        <v>403.0867</v>
      </c>
      <c r="E10" s="108">
        <v>9</v>
      </c>
    </row>
    <row r="11" spans="1:5">
      <c r="A11" s="99" t="s">
        <v>554</v>
      </c>
      <c r="B11" s="106">
        <v>378.8981</v>
      </c>
      <c r="C11" s="143">
        <v>10.6</v>
      </c>
      <c r="D11" s="107">
        <v>481.9573</v>
      </c>
      <c r="E11" s="144">
        <v>8.8</v>
      </c>
    </row>
    <row r="12" spans="1:5">
      <c r="A12" s="99" t="s">
        <v>555</v>
      </c>
      <c r="B12" s="106">
        <v>443.1853</v>
      </c>
      <c r="C12" s="143">
        <v>10.6</v>
      </c>
      <c r="D12" s="107">
        <v>562.7416</v>
      </c>
      <c r="E12" s="144">
        <v>9.1</v>
      </c>
    </row>
    <row r="13" spans="1:5">
      <c r="A13" s="99" t="s">
        <v>556</v>
      </c>
      <c r="B13" s="106">
        <v>512.9609</v>
      </c>
      <c r="C13" s="109">
        <v>11</v>
      </c>
      <c r="D13" s="107">
        <v>650.3597</v>
      </c>
      <c r="E13" s="144">
        <v>9.6</v>
      </c>
    </row>
    <row r="14" spans="1:5">
      <c r="A14" s="99" t="s">
        <v>557</v>
      </c>
      <c r="B14" s="103">
        <v>582.4115</v>
      </c>
      <c r="C14" s="143">
        <v>11.5</v>
      </c>
      <c r="D14" s="103">
        <v>731.6245</v>
      </c>
      <c r="E14" s="144">
        <v>9.3</v>
      </c>
    </row>
    <row r="15" spans="1:5">
      <c r="A15" s="99" t="s">
        <v>558</v>
      </c>
      <c r="B15" s="103">
        <v>661.4788</v>
      </c>
      <c r="C15" s="143">
        <v>11.7</v>
      </c>
      <c r="D15" s="103">
        <v>820.8997</v>
      </c>
      <c r="E15" s="144">
        <v>9.1</v>
      </c>
    </row>
    <row r="16" spans="1:5">
      <c r="A16" s="99" t="s">
        <v>559</v>
      </c>
      <c r="B16" s="103">
        <v>766.5202</v>
      </c>
      <c r="C16" s="143">
        <v>11.5</v>
      </c>
      <c r="D16" s="103">
        <v>835.7945</v>
      </c>
      <c r="E16" s="144">
        <v>8.5</v>
      </c>
    </row>
    <row r="17" ht="18" customHeight="1" spans="1:5">
      <c r="A17" s="95" t="s">
        <v>544</v>
      </c>
      <c r="B17" s="96" t="s">
        <v>3</v>
      </c>
      <c r="C17" s="96"/>
      <c r="D17" s="96" t="s">
        <v>560</v>
      </c>
      <c r="E17" s="141"/>
    </row>
    <row r="18" ht="18" customHeight="1" spans="1:5">
      <c r="A18" s="95"/>
      <c r="B18" s="96" t="s">
        <v>547</v>
      </c>
      <c r="C18" s="96" t="s">
        <v>548</v>
      </c>
      <c r="D18" s="96" t="s">
        <v>547</v>
      </c>
      <c r="E18" s="141" t="s">
        <v>548</v>
      </c>
    </row>
    <row r="19" spans="1:5">
      <c r="A19" s="112" t="s">
        <v>255</v>
      </c>
      <c r="B19" s="136"/>
      <c r="C19" s="136"/>
      <c r="D19" s="138"/>
      <c r="E19" s="145"/>
    </row>
    <row r="20" spans="1:5">
      <c r="A20" s="112" t="s">
        <v>549</v>
      </c>
      <c r="B20" s="116">
        <v>112.9112</v>
      </c>
      <c r="C20" s="117">
        <v>0.2</v>
      </c>
      <c r="D20" s="118"/>
      <c r="E20" s="119"/>
    </row>
    <row r="21" spans="1:5">
      <c r="A21" s="112" t="s">
        <v>550</v>
      </c>
      <c r="B21" s="116">
        <v>178.8963</v>
      </c>
      <c r="C21" s="117">
        <v>2.9</v>
      </c>
      <c r="D21" s="118"/>
      <c r="E21" s="119"/>
    </row>
    <row r="22" spans="1:5">
      <c r="A22" s="112" t="s">
        <v>551</v>
      </c>
      <c r="B22" s="116">
        <v>243.9875</v>
      </c>
      <c r="C22" s="117">
        <v>3.8</v>
      </c>
      <c r="D22" s="118"/>
      <c r="E22" s="119"/>
    </row>
    <row r="23" spans="1:5">
      <c r="A23" s="112" t="s">
        <v>552</v>
      </c>
      <c r="B23" s="116">
        <v>308.6749</v>
      </c>
      <c r="C23" s="117">
        <v>4.1</v>
      </c>
      <c r="D23" s="118"/>
      <c r="E23" s="119"/>
    </row>
    <row r="24" spans="1:5">
      <c r="A24" s="112" t="s">
        <v>553</v>
      </c>
      <c r="B24" s="116">
        <v>384.514</v>
      </c>
      <c r="C24" s="117">
        <v>4.7</v>
      </c>
      <c r="D24" s="118"/>
      <c r="E24" s="119"/>
    </row>
    <row r="25" spans="1:5">
      <c r="A25" s="112" t="s">
        <v>554</v>
      </c>
      <c r="B25" s="116">
        <v>452.674</v>
      </c>
      <c r="C25" s="117">
        <v>3.7</v>
      </c>
      <c r="D25" s="118"/>
      <c r="E25" s="119"/>
    </row>
    <row r="26" spans="1:5">
      <c r="A26" s="112" t="s">
        <v>555</v>
      </c>
      <c r="B26" s="116">
        <v>518.2177</v>
      </c>
      <c r="C26" s="117">
        <v>2.2</v>
      </c>
      <c r="D26" s="118"/>
      <c r="E26" s="119"/>
    </row>
    <row r="27" spans="1:5">
      <c r="A27" s="112" t="s">
        <v>556</v>
      </c>
      <c r="B27" s="116">
        <v>593.4615</v>
      </c>
      <c r="C27" s="117">
        <v>4.1</v>
      </c>
      <c r="D27" s="118"/>
      <c r="E27" s="120"/>
    </row>
    <row r="28" spans="1:5">
      <c r="A28" s="112" t="s">
        <v>557</v>
      </c>
      <c r="B28" s="116">
        <v>635.9812</v>
      </c>
      <c r="C28" s="117">
        <v>4.3</v>
      </c>
      <c r="D28" s="118"/>
      <c r="E28" s="120"/>
    </row>
    <row r="29" spans="1:5">
      <c r="A29" s="112" t="s">
        <v>558</v>
      </c>
      <c r="B29" s="116">
        <v>705.7427</v>
      </c>
      <c r="C29" s="117">
        <v>4.8</v>
      </c>
      <c r="D29" s="118"/>
      <c r="E29" s="120"/>
    </row>
    <row r="30" ht="15" spans="1:5">
      <c r="A30" s="122" t="s">
        <v>559</v>
      </c>
      <c r="B30" s="123">
        <v>769.97</v>
      </c>
      <c r="C30" s="124">
        <v>5</v>
      </c>
      <c r="D30" s="125"/>
      <c r="E30" s="126"/>
    </row>
  </sheetData>
  <mergeCells count="7">
    <mergeCell ref="A1:E1"/>
    <mergeCell ref="B3:C3"/>
    <mergeCell ref="D3:E3"/>
    <mergeCell ref="B17:C17"/>
    <mergeCell ref="D17:E17"/>
    <mergeCell ref="A3:A4"/>
    <mergeCell ref="A17:A18"/>
  </mergeCells>
  <pageMargins left="0.75" right="0.75" top="1" bottom="1" header="0.509027777777778" footer="0.509027777777778"/>
  <pageSetup paperSize="9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A1" sqref="A1:E1"/>
    </sheetView>
  </sheetViews>
  <sheetFormatPr defaultColWidth="9" defaultRowHeight="14.25" outlineLevelCol="4"/>
  <cols>
    <col min="1" max="1" width="9" style="127"/>
    <col min="2" max="2" width="12.375" style="127" customWidth="1"/>
    <col min="3" max="3" width="10.375" style="128" customWidth="1"/>
    <col min="4" max="4" width="14.125" style="127" customWidth="1"/>
    <col min="5" max="5" width="10.125" style="128" customWidth="1"/>
    <col min="6" max="16384" width="9" style="127"/>
  </cols>
  <sheetData>
    <row r="1" ht="28.5" customHeight="1" spans="1:5">
      <c r="A1" s="86" t="s">
        <v>11</v>
      </c>
      <c r="B1" s="86"/>
      <c r="C1" s="87"/>
      <c r="D1" s="86"/>
      <c r="E1" s="87"/>
    </row>
    <row r="2" ht="18" customHeight="1" spans="1:5">
      <c r="A2" s="88"/>
      <c r="B2" s="88"/>
      <c r="C2" s="89"/>
      <c r="D2" s="88"/>
      <c r="E2" s="129" t="s">
        <v>35</v>
      </c>
    </row>
    <row r="3" ht="18" customHeight="1" spans="1:5">
      <c r="A3" s="91" t="s">
        <v>544</v>
      </c>
      <c r="B3" s="92" t="s">
        <v>545</v>
      </c>
      <c r="C3" s="93"/>
      <c r="D3" s="92" t="s">
        <v>546</v>
      </c>
      <c r="E3" s="94"/>
    </row>
    <row r="4" ht="18" customHeight="1" spans="1:5">
      <c r="A4" s="95"/>
      <c r="B4" s="96" t="s">
        <v>547</v>
      </c>
      <c r="C4" s="110" t="s">
        <v>548</v>
      </c>
      <c r="D4" s="96" t="s">
        <v>547</v>
      </c>
      <c r="E4" s="111" t="s">
        <v>548</v>
      </c>
    </row>
    <row r="5" spans="1:5">
      <c r="A5" s="99" t="s">
        <v>255</v>
      </c>
      <c r="B5" s="100"/>
      <c r="C5" s="101"/>
      <c r="D5" s="100"/>
      <c r="E5" s="102"/>
    </row>
    <row r="6" spans="1:5">
      <c r="A6" s="99" t="s">
        <v>549</v>
      </c>
      <c r="B6" s="103">
        <v>75.6403</v>
      </c>
      <c r="C6" s="104">
        <v>11.1</v>
      </c>
      <c r="D6" s="103">
        <v>79.6488</v>
      </c>
      <c r="E6" s="105">
        <v>5.3</v>
      </c>
    </row>
    <row r="7" spans="1:5">
      <c r="A7" s="99" t="s">
        <v>550</v>
      </c>
      <c r="B7" s="103">
        <v>146.0309</v>
      </c>
      <c r="C7" s="104">
        <v>6</v>
      </c>
      <c r="D7" s="103">
        <v>157.5746</v>
      </c>
      <c r="E7" s="105">
        <v>7.9</v>
      </c>
    </row>
    <row r="8" spans="1:5">
      <c r="A8" s="99" t="s">
        <v>551</v>
      </c>
      <c r="B8" s="103">
        <v>207.1341</v>
      </c>
      <c r="C8" s="104">
        <v>5</v>
      </c>
      <c r="D8" s="103">
        <v>205.6743</v>
      </c>
      <c r="E8" s="105">
        <v>-0.7</v>
      </c>
    </row>
    <row r="9" spans="1:5">
      <c r="A9" s="99" t="s">
        <v>552</v>
      </c>
      <c r="B9" s="103">
        <v>307.9283</v>
      </c>
      <c r="C9" s="104">
        <v>7.2</v>
      </c>
      <c r="D9" s="103">
        <v>288.9968</v>
      </c>
      <c r="E9" s="105">
        <v>-6.1</v>
      </c>
    </row>
    <row r="10" spans="1:5">
      <c r="A10" s="99" t="s">
        <v>553</v>
      </c>
      <c r="B10" s="106">
        <v>509.6563</v>
      </c>
      <c r="C10" s="104">
        <v>15.1</v>
      </c>
      <c r="D10" s="107">
        <v>560.4382</v>
      </c>
      <c r="E10" s="108">
        <v>10</v>
      </c>
    </row>
    <row r="11" spans="1:5">
      <c r="A11" s="99" t="s">
        <v>554</v>
      </c>
      <c r="B11" s="106">
        <v>626.3505</v>
      </c>
      <c r="C11" s="104">
        <v>16.3</v>
      </c>
      <c r="D11" s="107">
        <v>686.4511</v>
      </c>
      <c r="E11" s="105">
        <v>9.6</v>
      </c>
    </row>
    <row r="12" spans="1:5">
      <c r="A12" s="99" t="s">
        <v>555</v>
      </c>
      <c r="B12" s="106">
        <v>737.2203</v>
      </c>
      <c r="C12" s="104">
        <v>24.8</v>
      </c>
      <c r="D12" s="107">
        <v>809.6944</v>
      </c>
      <c r="E12" s="105">
        <v>9.8</v>
      </c>
    </row>
    <row r="13" spans="1:5">
      <c r="A13" s="99" t="s">
        <v>556</v>
      </c>
      <c r="B13" s="106">
        <v>871.7492</v>
      </c>
      <c r="C13" s="109">
        <v>23.5</v>
      </c>
      <c r="D13" s="107">
        <v>977.2404</v>
      </c>
      <c r="E13" s="105">
        <v>12.1</v>
      </c>
    </row>
    <row r="14" spans="1:5">
      <c r="A14" s="99" t="s">
        <v>557</v>
      </c>
      <c r="B14" s="103">
        <v>1021.5452</v>
      </c>
      <c r="C14" s="104">
        <v>22.6</v>
      </c>
      <c r="D14" s="103">
        <v>1136.7531</v>
      </c>
      <c r="E14" s="105">
        <v>11.3</v>
      </c>
    </row>
    <row r="15" spans="1:5">
      <c r="A15" s="99" t="s">
        <v>558</v>
      </c>
      <c r="B15" s="103">
        <v>1200.0485</v>
      </c>
      <c r="C15" s="104">
        <v>23.9</v>
      </c>
      <c r="D15" s="103">
        <v>1337.6063</v>
      </c>
      <c r="E15" s="105">
        <v>11.5</v>
      </c>
    </row>
    <row r="16" spans="1:5">
      <c r="A16" s="99" t="s">
        <v>559</v>
      </c>
      <c r="B16" s="103">
        <v>1531.5995</v>
      </c>
      <c r="C16" s="104">
        <v>16.6</v>
      </c>
      <c r="D16" s="103">
        <v>1641.5341</v>
      </c>
      <c r="E16" s="105">
        <v>7.2</v>
      </c>
    </row>
    <row r="17" ht="18" customHeight="1" spans="1:5">
      <c r="A17" s="95" t="s">
        <v>544</v>
      </c>
      <c r="B17" s="96" t="s">
        <v>3</v>
      </c>
      <c r="C17" s="110"/>
      <c r="D17" s="96" t="s">
        <v>560</v>
      </c>
      <c r="E17" s="111"/>
    </row>
    <row r="18" ht="18" customHeight="1" spans="1:5">
      <c r="A18" s="95"/>
      <c r="B18" s="96" t="s">
        <v>547</v>
      </c>
      <c r="C18" s="110" t="s">
        <v>548</v>
      </c>
      <c r="D18" s="96" t="s">
        <v>547</v>
      </c>
      <c r="E18" s="111" t="s">
        <v>548</v>
      </c>
    </row>
    <row r="19" spans="1:5">
      <c r="A19" s="112" t="s">
        <v>255</v>
      </c>
      <c r="B19" s="136"/>
      <c r="C19" s="137"/>
      <c r="D19" s="138"/>
      <c r="E19" s="139"/>
    </row>
    <row r="20" spans="1:5">
      <c r="A20" s="112" t="s">
        <v>549</v>
      </c>
      <c r="B20" s="116">
        <v>84.4761</v>
      </c>
      <c r="C20" s="117">
        <v>8.8</v>
      </c>
      <c r="D20" s="118"/>
      <c r="E20" s="119"/>
    </row>
    <row r="21" spans="1:5">
      <c r="A21" s="112" t="s">
        <v>550</v>
      </c>
      <c r="B21" s="116">
        <v>202.0022</v>
      </c>
      <c r="C21" s="117">
        <v>31.6</v>
      </c>
      <c r="D21" s="118"/>
      <c r="E21" s="119"/>
    </row>
    <row r="22" spans="1:5">
      <c r="A22" s="112" t="s">
        <v>551</v>
      </c>
      <c r="B22" s="116">
        <v>263.9275</v>
      </c>
      <c r="C22" s="117">
        <v>31</v>
      </c>
      <c r="D22" s="118"/>
      <c r="E22" s="119"/>
    </row>
    <row r="23" spans="1:5">
      <c r="A23" s="112" t="s">
        <v>552</v>
      </c>
      <c r="B23" s="116">
        <v>339.1968</v>
      </c>
      <c r="C23" s="117">
        <v>19.6</v>
      </c>
      <c r="D23" s="118"/>
      <c r="E23" s="119"/>
    </row>
    <row r="24" spans="1:5">
      <c r="A24" s="112" t="s">
        <v>553</v>
      </c>
      <c r="B24" s="116">
        <v>551.5829</v>
      </c>
      <c r="C24" s="117">
        <v>13.6</v>
      </c>
      <c r="D24" s="118"/>
      <c r="E24" s="119"/>
    </row>
    <row r="25" spans="1:5">
      <c r="A25" s="112" t="s">
        <v>554</v>
      </c>
      <c r="B25" s="116">
        <v>617.6436</v>
      </c>
      <c r="C25" s="117">
        <v>8.1</v>
      </c>
      <c r="D25" s="118"/>
      <c r="E25" s="119"/>
    </row>
    <row r="26" spans="1:5">
      <c r="A26" s="112" t="s">
        <v>555</v>
      </c>
      <c r="B26" s="116">
        <v>691.7895</v>
      </c>
      <c r="C26" s="117">
        <v>6.8</v>
      </c>
      <c r="D26" s="118"/>
      <c r="E26" s="119"/>
    </row>
    <row r="27" spans="1:5">
      <c r="A27" s="112" t="s">
        <v>556</v>
      </c>
      <c r="B27" s="116">
        <v>822.5954</v>
      </c>
      <c r="C27" s="117">
        <v>10.3</v>
      </c>
      <c r="D27" s="118"/>
      <c r="E27" s="120"/>
    </row>
    <row r="28" spans="1:5">
      <c r="A28" s="112" t="s">
        <v>557</v>
      </c>
      <c r="B28" s="116">
        <v>934.2435</v>
      </c>
      <c r="C28" s="117">
        <v>11.3</v>
      </c>
      <c r="D28" s="118"/>
      <c r="E28" s="120"/>
    </row>
    <row r="29" spans="1:5">
      <c r="A29" s="112" t="s">
        <v>558</v>
      </c>
      <c r="B29" s="116">
        <v>1085.1949</v>
      </c>
      <c r="C29" s="117">
        <v>13.7</v>
      </c>
      <c r="D29" s="118"/>
      <c r="E29" s="120"/>
    </row>
    <row r="30" ht="15" spans="1:5">
      <c r="A30" s="122" t="s">
        <v>559</v>
      </c>
      <c r="B30" s="123">
        <v>1260.1176</v>
      </c>
      <c r="C30" s="124">
        <v>12.8</v>
      </c>
      <c r="D30" s="125"/>
      <c r="E30" s="126"/>
    </row>
  </sheetData>
  <mergeCells count="7">
    <mergeCell ref="A1:E1"/>
    <mergeCell ref="B3:C3"/>
    <mergeCell ref="D3:E3"/>
    <mergeCell ref="B17:C17"/>
    <mergeCell ref="D17:E17"/>
    <mergeCell ref="A3:A4"/>
    <mergeCell ref="A17:A18"/>
  </mergeCells>
  <pageMargins left="0.75" right="0.75" top="1" bottom="1" header="0.509027777777778" footer="0.509027777777778"/>
  <pageSetup paperSize="9" orientation="portrait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:E31"/>
    </sheetView>
  </sheetViews>
  <sheetFormatPr defaultColWidth="9" defaultRowHeight="14.25" outlineLevelCol="4"/>
  <cols>
    <col min="1" max="1" width="9" style="127"/>
    <col min="2" max="2" width="12.375" style="127" customWidth="1"/>
    <col min="3" max="3" width="10.375" style="127" customWidth="1"/>
    <col min="4" max="4" width="14.125" style="127" customWidth="1"/>
    <col min="5" max="5" width="10.125" style="127" customWidth="1"/>
    <col min="6" max="16384" width="9" style="127"/>
  </cols>
  <sheetData>
    <row r="1" ht="28.5" customHeight="1" spans="1:5">
      <c r="A1" s="86" t="s">
        <v>15</v>
      </c>
      <c r="B1" s="86"/>
      <c r="C1" s="87"/>
      <c r="D1" s="86"/>
      <c r="E1" s="87"/>
    </row>
    <row r="2" ht="18" customHeight="1" spans="1:5">
      <c r="A2" s="88"/>
      <c r="B2" s="88"/>
      <c r="C2" s="89"/>
      <c r="D2" s="88"/>
      <c r="E2" s="129" t="s">
        <v>35</v>
      </c>
    </row>
    <row r="3" ht="18" customHeight="1" spans="1:5">
      <c r="A3" s="91" t="s">
        <v>544</v>
      </c>
      <c r="B3" s="92" t="s">
        <v>545</v>
      </c>
      <c r="C3" s="93"/>
      <c r="D3" s="92" t="s">
        <v>546</v>
      </c>
      <c r="E3" s="94"/>
    </row>
    <row r="4" ht="18" customHeight="1" spans="1:5">
      <c r="A4" s="95"/>
      <c r="B4" s="96" t="s">
        <v>547</v>
      </c>
      <c r="C4" s="110" t="s">
        <v>548</v>
      </c>
      <c r="D4" s="96" t="s">
        <v>547</v>
      </c>
      <c r="E4" s="111" t="s">
        <v>548</v>
      </c>
    </row>
    <row r="5" spans="1:5">
      <c r="A5" s="99" t="s">
        <v>255</v>
      </c>
      <c r="B5" s="100"/>
      <c r="C5" s="101"/>
      <c r="D5" s="100"/>
      <c r="E5" s="102"/>
    </row>
    <row r="6" spans="1:5">
      <c r="A6" s="99" t="s">
        <v>549</v>
      </c>
      <c r="B6" s="103">
        <v>223.3322</v>
      </c>
      <c r="C6" s="104">
        <v>9</v>
      </c>
      <c r="D6" s="103">
        <v>252.0522</v>
      </c>
      <c r="E6" s="105">
        <v>12</v>
      </c>
    </row>
    <row r="7" spans="1:5">
      <c r="A7" s="99" t="s">
        <v>550</v>
      </c>
      <c r="B7" s="103">
        <v>331.636</v>
      </c>
      <c r="C7" s="104">
        <v>9</v>
      </c>
      <c r="D7" s="103">
        <v>375.5066</v>
      </c>
      <c r="E7" s="105">
        <v>12.1</v>
      </c>
    </row>
    <row r="8" spans="1:5">
      <c r="A8" s="99" t="s">
        <v>551</v>
      </c>
      <c r="B8" s="103">
        <v>440.1999</v>
      </c>
      <c r="C8" s="104">
        <v>8.9</v>
      </c>
      <c r="D8" s="103">
        <v>496.8495</v>
      </c>
      <c r="E8" s="105">
        <v>11.8</v>
      </c>
    </row>
    <row r="9" spans="1:5">
      <c r="A9" s="99" t="s">
        <v>552</v>
      </c>
      <c r="B9" s="103">
        <v>557.7986</v>
      </c>
      <c r="C9" s="104">
        <v>8.9</v>
      </c>
      <c r="D9" s="103">
        <v>624.7711</v>
      </c>
      <c r="E9" s="105">
        <v>11.5</v>
      </c>
    </row>
    <row r="10" spans="1:5">
      <c r="A10" s="99" t="s">
        <v>553</v>
      </c>
      <c r="B10" s="106">
        <v>676.0206</v>
      </c>
      <c r="C10" s="104">
        <v>8.8</v>
      </c>
      <c r="D10" s="107">
        <v>754.3984</v>
      </c>
      <c r="E10" s="108">
        <v>11.1</v>
      </c>
    </row>
    <row r="11" spans="1:5">
      <c r="A11" s="99" t="s">
        <v>554</v>
      </c>
      <c r="B11" s="106">
        <v>797.589</v>
      </c>
      <c r="C11" s="104">
        <v>9</v>
      </c>
      <c r="D11" s="107">
        <v>886.5132</v>
      </c>
      <c r="E11" s="105">
        <v>10.8</v>
      </c>
    </row>
    <row r="12" spans="1:5">
      <c r="A12" s="99" t="s">
        <v>555</v>
      </c>
      <c r="B12" s="106">
        <v>919.3703</v>
      </c>
      <c r="C12" s="104">
        <v>8.9</v>
      </c>
      <c r="D12" s="107">
        <v>1016.5674</v>
      </c>
      <c r="E12" s="105">
        <v>10.2</v>
      </c>
    </row>
    <row r="13" spans="1:5">
      <c r="A13" s="99" t="s">
        <v>556</v>
      </c>
      <c r="B13" s="106">
        <v>1045.7008</v>
      </c>
      <c r="C13" s="109">
        <v>9.3</v>
      </c>
      <c r="D13" s="107">
        <v>1155.8877</v>
      </c>
      <c r="E13" s="105">
        <v>10.2</v>
      </c>
    </row>
    <row r="14" spans="1:5">
      <c r="A14" s="99" t="s">
        <v>557</v>
      </c>
      <c r="B14" s="103">
        <v>1178.216</v>
      </c>
      <c r="C14" s="104">
        <v>9.5</v>
      </c>
      <c r="D14" s="103">
        <v>1296.2204</v>
      </c>
      <c r="E14" s="105">
        <v>10.2</v>
      </c>
    </row>
    <row r="15" spans="1:5">
      <c r="A15" s="99" t="s">
        <v>558</v>
      </c>
      <c r="B15" s="103">
        <v>1302.5842</v>
      </c>
      <c r="C15" s="104">
        <v>9.4</v>
      </c>
      <c r="D15" s="103">
        <v>1433.9245</v>
      </c>
      <c r="E15" s="105">
        <v>10.2</v>
      </c>
    </row>
    <row r="16" spans="1:5">
      <c r="A16" s="99" t="s">
        <v>559</v>
      </c>
      <c r="B16" s="103">
        <v>1432.957</v>
      </c>
      <c r="C16" s="104">
        <v>9.5</v>
      </c>
      <c r="D16" s="103">
        <v>1578.0802</v>
      </c>
      <c r="E16" s="105">
        <v>10.1</v>
      </c>
    </row>
    <row r="17" ht="18" customHeight="1" spans="1:5">
      <c r="A17" s="95" t="s">
        <v>544</v>
      </c>
      <c r="B17" s="96" t="s">
        <v>3</v>
      </c>
      <c r="C17" s="110"/>
      <c r="D17" s="96" t="s">
        <v>560</v>
      </c>
      <c r="E17" s="111"/>
    </row>
    <row r="18" ht="18" customHeight="1" spans="1:5">
      <c r="A18" s="95"/>
      <c r="B18" s="96" t="s">
        <v>547</v>
      </c>
      <c r="C18" s="110" t="s">
        <v>548</v>
      </c>
      <c r="D18" s="96" t="s">
        <v>547</v>
      </c>
      <c r="E18" s="111" t="s">
        <v>548</v>
      </c>
    </row>
    <row r="19" spans="1:5">
      <c r="A19" s="112" t="s">
        <v>255</v>
      </c>
      <c r="B19" s="136"/>
      <c r="C19" s="137"/>
      <c r="D19" s="138"/>
      <c r="E19" s="139"/>
    </row>
    <row r="20" spans="1:5">
      <c r="A20" s="112" t="s">
        <v>549</v>
      </c>
      <c r="B20" s="116">
        <v>276.1961</v>
      </c>
      <c r="C20" s="117">
        <v>10.1</v>
      </c>
      <c r="D20" s="118"/>
      <c r="E20" s="119"/>
    </row>
    <row r="21" spans="1:5">
      <c r="A21" s="112" t="s">
        <v>550</v>
      </c>
      <c r="B21" s="116">
        <v>412.0563</v>
      </c>
      <c r="C21" s="117">
        <v>10.1</v>
      </c>
      <c r="D21" s="118"/>
      <c r="E21" s="119"/>
    </row>
    <row r="22" spans="1:5">
      <c r="A22" s="112" t="s">
        <v>551</v>
      </c>
      <c r="B22" s="116">
        <v>546.284</v>
      </c>
      <c r="C22" s="117">
        <v>10.1</v>
      </c>
      <c r="D22" s="118"/>
      <c r="E22" s="119"/>
    </row>
    <row r="23" spans="1:5">
      <c r="A23" s="112" t="s">
        <v>552</v>
      </c>
      <c r="B23" s="116">
        <v>682.9174</v>
      </c>
      <c r="C23" s="117">
        <v>10</v>
      </c>
      <c r="D23" s="118"/>
      <c r="E23" s="119"/>
    </row>
    <row r="24" spans="1:5">
      <c r="A24" s="112" t="s">
        <v>553</v>
      </c>
      <c r="B24" s="116">
        <v>821.4416</v>
      </c>
      <c r="C24" s="117">
        <v>10</v>
      </c>
      <c r="D24" s="118"/>
      <c r="E24" s="119"/>
    </row>
    <row r="25" spans="1:5">
      <c r="A25" s="112" t="s">
        <v>554</v>
      </c>
      <c r="B25" s="116">
        <v>965.6007</v>
      </c>
      <c r="C25" s="117">
        <v>10.2</v>
      </c>
      <c r="D25" s="118"/>
      <c r="E25" s="119"/>
    </row>
    <row r="26" spans="1:5">
      <c r="A26" s="112" t="s">
        <v>555</v>
      </c>
      <c r="B26" s="116">
        <v>1106.5086</v>
      </c>
      <c r="C26" s="117">
        <v>10.3</v>
      </c>
      <c r="D26" s="118"/>
      <c r="E26" s="119"/>
    </row>
    <row r="27" spans="1:5">
      <c r="A27" s="112" t="s">
        <v>556</v>
      </c>
      <c r="B27" s="116">
        <v>1255.6134</v>
      </c>
      <c r="C27" s="117">
        <v>10.4</v>
      </c>
      <c r="D27" s="118"/>
      <c r="E27" s="120"/>
    </row>
    <row r="28" spans="1:5">
      <c r="A28" s="112" t="s">
        <v>557</v>
      </c>
      <c r="B28" s="116">
        <v>1404.109</v>
      </c>
      <c r="C28" s="117">
        <v>10.3</v>
      </c>
      <c r="D28" s="118"/>
      <c r="E28" s="120"/>
    </row>
    <row r="29" spans="1:5">
      <c r="A29" s="112" t="s">
        <v>558</v>
      </c>
      <c r="B29" s="116">
        <v>1549.0711</v>
      </c>
      <c r="C29" s="117">
        <v>10.3</v>
      </c>
      <c r="D29" s="118"/>
      <c r="E29" s="120"/>
    </row>
    <row r="30" ht="15" spans="1:5">
      <c r="A30" s="122" t="s">
        <v>559</v>
      </c>
      <c r="B30" s="123">
        <v>1697.3</v>
      </c>
      <c r="C30" s="124">
        <v>10.3</v>
      </c>
      <c r="D30" s="125"/>
      <c r="E30" s="126"/>
    </row>
    <row r="31" spans="1:5">
      <c r="C31" s="128"/>
      <c r="E31" s="128"/>
    </row>
  </sheetData>
  <mergeCells count="7">
    <mergeCell ref="A1:E1"/>
    <mergeCell ref="B3:C3"/>
    <mergeCell ref="D3:E3"/>
    <mergeCell ref="B17:C17"/>
    <mergeCell ref="D17:E17"/>
    <mergeCell ref="A3:A4"/>
    <mergeCell ref="A17:A18"/>
  </mergeCells>
  <pageMargins left="0.75" right="0.75" top="1" bottom="1" header="0.509027777777778" footer="0.509027777777778"/>
  <pageSetup paperSize="9" orientation="portrait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:E31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1.25" customWidth="1"/>
  </cols>
  <sheetData>
    <row r="1" ht="28.5" customHeight="1" spans="1:5">
      <c r="A1" s="86" t="s">
        <v>561</v>
      </c>
      <c r="B1" s="86"/>
      <c r="C1" s="87"/>
      <c r="D1" s="86"/>
      <c r="E1" s="87"/>
    </row>
    <row r="2" ht="18" customHeight="1" spans="1:5">
      <c r="A2" s="88"/>
      <c r="B2" s="88"/>
      <c r="C2" s="89"/>
      <c r="D2" s="88"/>
      <c r="E2" s="129" t="s">
        <v>562</v>
      </c>
    </row>
    <row r="3" ht="18" customHeight="1" spans="1:5">
      <c r="A3" s="91" t="s">
        <v>544</v>
      </c>
      <c r="B3" s="92" t="s">
        <v>545</v>
      </c>
      <c r="C3" s="93"/>
      <c r="D3" s="92" t="s">
        <v>546</v>
      </c>
      <c r="E3" s="94"/>
    </row>
    <row r="4" ht="18" customHeight="1" spans="1:5">
      <c r="A4" s="95"/>
      <c r="B4" s="96" t="s">
        <v>547</v>
      </c>
      <c r="C4" s="110" t="s">
        <v>548</v>
      </c>
      <c r="D4" s="96" t="s">
        <v>547</v>
      </c>
      <c r="E4" s="111" t="s">
        <v>548</v>
      </c>
    </row>
    <row r="5" spans="1:5">
      <c r="A5" s="99" t="s">
        <v>255</v>
      </c>
      <c r="B5" s="100"/>
      <c r="C5" s="101"/>
      <c r="D5" s="100"/>
      <c r="E5" s="102"/>
    </row>
    <row r="6" spans="1:5">
      <c r="A6" s="99" t="s">
        <v>549</v>
      </c>
      <c r="B6" s="103">
        <v>38.2733</v>
      </c>
      <c r="C6" s="104">
        <v>-12.3</v>
      </c>
      <c r="D6" s="103">
        <v>41.5396</v>
      </c>
      <c r="E6" s="105">
        <v>14</v>
      </c>
    </row>
    <row r="7" spans="1:5">
      <c r="A7" s="99" t="s">
        <v>550</v>
      </c>
      <c r="B7" s="103">
        <v>58.0649</v>
      </c>
      <c r="C7" s="104">
        <v>-7.6</v>
      </c>
      <c r="D7" s="103">
        <v>72.8464</v>
      </c>
      <c r="E7" s="105">
        <v>29.6</v>
      </c>
    </row>
    <row r="8" spans="1:5">
      <c r="A8" s="99" t="s">
        <v>551</v>
      </c>
      <c r="B8" s="103">
        <v>74.7649</v>
      </c>
      <c r="C8" s="104">
        <v>-13.4</v>
      </c>
      <c r="D8" s="103">
        <v>100.1592</v>
      </c>
      <c r="E8" s="105">
        <v>37.3</v>
      </c>
    </row>
    <row r="9" spans="1:5">
      <c r="A9" s="99" t="s">
        <v>552</v>
      </c>
      <c r="B9" s="103">
        <v>97.3433</v>
      </c>
      <c r="C9" s="104">
        <v>-16.3</v>
      </c>
      <c r="D9" s="103">
        <v>134.1854</v>
      </c>
      <c r="E9" s="105">
        <v>40.5</v>
      </c>
    </row>
    <row r="10" spans="1:5">
      <c r="A10" s="99" t="s">
        <v>553</v>
      </c>
      <c r="B10" s="106">
        <v>120.4325</v>
      </c>
      <c r="C10" s="104">
        <v>-20.8</v>
      </c>
      <c r="D10" s="107">
        <v>163.9816</v>
      </c>
      <c r="E10" s="108">
        <v>38.3</v>
      </c>
    </row>
    <row r="11" spans="1:5">
      <c r="A11" s="99" t="s">
        <v>554</v>
      </c>
      <c r="B11" s="106">
        <v>147.2935</v>
      </c>
      <c r="C11" s="104">
        <v>-19.6</v>
      </c>
      <c r="D11" s="107">
        <v>196.4922</v>
      </c>
      <c r="E11" s="105">
        <v>35.1</v>
      </c>
    </row>
    <row r="12" spans="1:5">
      <c r="A12" s="99" t="s">
        <v>555</v>
      </c>
      <c r="B12" s="106">
        <v>177.3237</v>
      </c>
      <c r="C12" s="104">
        <v>-18.1</v>
      </c>
      <c r="D12" s="107">
        <v>225.0708</v>
      </c>
      <c r="E12" s="105">
        <v>28.2</v>
      </c>
    </row>
    <row r="13" spans="1:5">
      <c r="A13" s="99" t="s">
        <v>556</v>
      </c>
      <c r="B13" s="106">
        <v>213.1449</v>
      </c>
      <c r="C13" s="109">
        <v>-11.9</v>
      </c>
      <c r="D13" s="107">
        <v>249.3223</v>
      </c>
      <c r="E13" s="105">
        <v>18</v>
      </c>
    </row>
    <row r="14" spans="1:5">
      <c r="A14" s="99" t="s">
        <v>557</v>
      </c>
      <c r="B14" s="103">
        <v>240.9083</v>
      </c>
      <c r="C14" s="104">
        <v>-8.6</v>
      </c>
      <c r="D14" s="103">
        <v>271.8035</v>
      </c>
      <c r="E14" s="105">
        <v>13.7</v>
      </c>
    </row>
    <row r="15" spans="1:5">
      <c r="A15" s="99" t="s">
        <v>558</v>
      </c>
      <c r="B15" s="103">
        <v>271.3898</v>
      </c>
      <c r="C15" s="104">
        <v>-5.2</v>
      </c>
      <c r="D15" s="103">
        <v>302.6274</v>
      </c>
      <c r="E15" s="105">
        <v>11.5</v>
      </c>
    </row>
    <row r="16" spans="1:5">
      <c r="A16" s="99" t="s">
        <v>559</v>
      </c>
      <c r="B16" s="103">
        <v>304.4443</v>
      </c>
      <c r="C16" s="104">
        <v>-4.6</v>
      </c>
      <c r="D16" s="103">
        <v>345.6404</v>
      </c>
      <c r="E16" s="105">
        <v>13.5</v>
      </c>
    </row>
    <row r="17" ht="18" customHeight="1" spans="1:5">
      <c r="A17" s="95" t="s">
        <v>544</v>
      </c>
      <c r="B17" s="96" t="s">
        <v>3</v>
      </c>
      <c r="C17" s="110"/>
      <c r="D17" s="96" t="s">
        <v>560</v>
      </c>
      <c r="E17" s="111"/>
    </row>
    <row r="18" ht="18" customHeight="1" spans="1:5">
      <c r="A18" s="95"/>
      <c r="B18" s="96" t="s">
        <v>547</v>
      </c>
      <c r="C18" s="110" t="s">
        <v>548</v>
      </c>
      <c r="D18" s="96" t="s">
        <v>547</v>
      </c>
      <c r="E18" s="111" t="s">
        <v>548</v>
      </c>
    </row>
    <row r="19" spans="1:5">
      <c r="A19" s="112" t="s">
        <v>255</v>
      </c>
      <c r="B19" s="136"/>
      <c r="C19" s="137"/>
      <c r="D19" s="138"/>
      <c r="E19" s="139"/>
    </row>
    <row r="20" spans="1:5">
      <c r="A20" s="112" t="s">
        <v>549</v>
      </c>
      <c r="B20" s="116">
        <v>44.6469</v>
      </c>
      <c r="C20" s="117">
        <v>7.4167</v>
      </c>
      <c r="D20" s="118"/>
      <c r="E20" s="119"/>
    </row>
    <row r="21" spans="1:5">
      <c r="A21" s="112" t="s">
        <v>550</v>
      </c>
      <c r="B21" s="116">
        <v>69.3423</v>
      </c>
      <c r="C21" s="117">
        <v>-4.9</v>
      </c>
      <c r="D21" s="118"/>
      <c r="E21" s="119"/>
    </row>
    <row r="22" spans="1:5">
      <c r="A22" s="112" t="s">
        <v>551</v>
      </c>
      <c r="B22" s="116">
        <v>94.2513</v>
      </c>
      <c r="C22" s="117">
        <v>-6</v>
      </c>
      <c r="D22" s="118"/>
      <c r="E22" s="119"/>
    </row>
    <row r="23" spans="1:5">
      <c r="A23" s="112" t="s">
        <v>552</v>
      </c>
      <c r="B23" s="116">
        <v>128.9132</v>
      </c>
      <c r="C23" s="117">
        <v>-4</v>
      </c>
      <c r="D23" s="118"/>
      <c r="E23" s="119"/>
    </row>
    <row r="24" spans="1:5">
      <c r="A24" s="112" t="s">
        <v>553</v>
      </c>
      <c r="B24" s="116">
        <v>165.2306</v>
      </c>
      <c r="C24" s="117">
        <v>0.7</v>
      </c>
      <c r="D24" s="118"/>
      <c r="E24" s="119"/>
    </row>
    <row r="25" spans="1:5">
      <c r="A25" s="112" t="s">
        <v>554</v>
      </c>
      <c r="B25" s="116">
        <v>202.0126</v>
      </c>
      <c r="C25" s="117">
        <v>2.8</v>
      </c>
      <c r="D25" s="118"/>
      <c r="E25" s="119"/>
    </row>
    <row r="26" spans="1:5">
      <c r="A26" s="112" t="s">
        <v>555</v>
      </c>
      <c r="B26" s="116">
        <v>238.4131</v>
      </c>
      <c r="C26" s="117">
        <v>5.9</v>
      </c>
      <c r="D26" s="118"/>
      <c r="E26" s="119"/>
    </row>
    <row r="27" spans="1:5">
      <c r="A27" s="112" t="s">
        <v>556</v>
      </c>
      <c r="B27" s="116">
        <v>270.612</v>
      </c>
      <c r="C27" s="117">
        <v>8.5</v>
      </c>
      <c r="D27" s="118"/>
      <c r="E27" s="120"/>
    </row>
    <row r="28" spans="1:5">
      <c r="A28" s="112" t="s">
        <v>557</v>
      </c>
      <c r="B28" s="116">
        <v>304.2856</v>
      </c>
      <c r="C28" s="117">
        <v>11.9</v>
      </c>
      <c r="D28" s="118"/>
      <c r="E28" s="120"/>
    </row>
    <row r="29" spans="1:5">
      <c r="A29" s="112" t="s">
        <v>558</v>
      </c>
      <c r="B29" s="116">
        <v>341.42</v>
      </c>
      <c r="C29" s="117">
        <v>12.8</v>
      </c>
      <c r="D29" s="118"/>
      <c r="E29" s="120"/>
    </row>
    <row r="30" ht="15" spans="1:5">
      <c r="A30" s="122" t="s">
        <v>559</v>
      </c>
      <c r="B30" s="123">
        <v>377.03</v>
      </c>
      <c r="C30" s="124">
        <v>9</v>
      </c>
      <c r="D30" s="125"/>
      <c r="E30" s="126"/>
    </row>
    <row r="31" spans="1:5">
      <c r="A31" s="135" t="s">
        <v>563</v>
      </c>
      <c r="B31" s="135"/>
      <c r="C31" s="135"/>
      <c r="D31" s="135"/>
      <c r="E31" s="135"/>
    </row>
  </sheetData>
  <mergeCells count="8">
    <mergeCell ref="A1:E1"/>
    <mergeCell ref="B3:C3"/>
    <mergeCell ref="D3:E3"/>
    <mergeCell ref="B17:C17"/>
    <mergeCell ref="D17:E17"/>
    <mergeCell ref="A31:E31"/>
    <mergeCell ref="A3:A4"/>
    <mergeCell ref="A17:A18"/>
  </mergeCells>
  <pageMargins left="0.75" right="0.75" top="1" bottom="1" header="0.509027777777778" footer="0.509027777777778"/>
  <pageSetup paperSize="9" orientation="portrait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:E31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  <col min="7" max="10" width="9.375" customWidth="1"/>
  </cols>
  <sheetData>
    <row r="1" ht="28.5" customHeight="1" spans="1:5">
      <c r="A1" s="86" t="s">
        <v>564</v>
      </c>
      <c r="B1" s="86"/>
      <c r="C1" s="87"/>
      <c r="D1" s="86"/>
      <c r="E1" s="87"/>
    </row>
    <row r="2" ht="18" customHeight="1" spans="1:5">
      <c r="A2" s="88"/>
      <c r="B2" s="88"/>
      <c r="C2" s="89"/>
      <c r="D2" s="88"/>
      <c r="E2" s="129" t="s">
        <v>35</v>
      </c>
    </row>
    <row r="3" ht="18" customHeight="1" spans="1:5">
      <c r="A3" s="91" t="s">
        <v>544</v>
      </c>
      <c r="B3" s="92" t="s">
        <v>545</v>
      </c>
      <c r="C3" s="93"/>
      <c r="D3" s="92" t="s">
        <v>546</v>
      </c>
      <c r="E3" s="94"/>
    </row>
    <row r="4" ht="18" customHeight="1" spans="1:5">
      <c r="A4" s="95"/>
      <c r="B4" s="96" t="s">
        <v>547</v>
      </c>
      <c r="C4" s="110" t="s">
        <v>548</v>
      </c>
      <c r="D4" s="96" t="s">
        <v>547</v>
      </c>
      <c r="E4" s="111" t="s">
        <v>548</v>
      </c>
    </row>
    <row r="5" spans="1:5">
      <c r="A5" s="99" t="s">
        <v>255</v>
      </c>
      <c r="B5" s="100"/>
      <c r="C5" s="101"/>
      <c r="D5" s="100"/>
      <c r="E5" s="102"/>
    </row>
    <row r="6" spans="1:5">
      <c r="A6" s="99" t="s">
        <v>549</v>
      </c>
      <c r="B6" s="103">
        <v>14.3618</v>
      </c>
      <c r="C6" s="104">
        <v>13.1</v>
      </c>
      <c r="D6" s="103">
        <v>16.8865</v>
      </c>
      <c r="E6" s="105">
        <v>21.3</v>
      </c>
    </row>
    <row r="7" spans="1:5">
      <c r="A7" s="99" t="s">
        <v>550</v>
      </c>
      <c r="B7" s="103">
        <v>22.2812</v>
      </c>
      <c r="C7" s="104">
        <v>9.6</v>
      </c>
      <c r="D7" s="103">
        <v>24.8142</v>
      </c>
      <c r="E7" s="105">
        <v>15.8</v>
      </c>
    </row>
    <row r="8" spans="1:5">
      <c r="A8" s="99" t="s">
        <v>551</v>
      </c>
      <c r="B8" s="103">
        <v>31.7363</v>
      </c>
      <c r="C8" s="104">
        <v>14</v>
      </c>
      <c r="D8" s="103">
        <v>32.5815</v>
      </c>
      <c r="E8" s="105">
        <v>7.38333558548909</v>
      </c>
    </row>
    <row r="9" spans="1:5">
      <c r="A9" s="99" t="s">
        <v>552</v>
      </c>
      <c r="B9" s="103">
        <v>41.3127</v>
      </c>
      <c r="C9" s="104">
        <v>8.7</v>
      </c>
      <c r="D9" s="103">
        <v>40.1635</v>
      </c>
      <c r="E9" s="105">
        <v>2.1</v>
      </c>
    </row>
    <row r="10" spans="1:5">
      <c r="A10" s="99" t="s">
        <v>553</v>
      </c>
      <c r="B10" s="106">
        <v>56.6175</v>
      </c>
      <c r="C10" s="104">
        <v>5</v>
      </c>
      <c r="D10" s="107">
        <v>58.3819</v>
      </c>
      <c r="E10" s="108">
        <v>6.8</v>
      </c>
    </row>
    <row r="11" spans="1:5">
      <c r="A11" s="99" t="s">
        <v>554</v>
      </c>
      <c r="B11" s="106">
        <v>66.3904</v>
      </c>
      <c r="C11" s="104">
        <v>7.7</v>
      </c>
      <c r="D11" s="107">
        <v>67.2492</v>
      </c>
      <c r="E11" s="105">
        <v>4.4</v>
      </c>
    </row>
    <row r="12" spans="1:5">
      <c r="A12" s="99" t="s">
        <v>555</v>
      </c>
      <c r="B12" s="106">
        <v>73.539</v>
      </c>
      <c r="C12" s="104">
        <v>7.7</v>
      </c>
      <c r="D12" s="107">
        <v>74.5911</v>
      </c>
      <c r="E12" s="105">
        <v>4.2</v>
      </c>
    </row>
    <row r="13" spans="1:5">
      <c r="A13" s="99" t="s">
        <v>556</v>
      </c>
      <c r="B13" s="106">
        <v>81.5736</v>
      </c>
      <c r="C13" s="109">
        <v>7.2</v>
      </c>
      <c r="D13" s="107">
        <v>86.9421</v>
      </c>
      <c r="E13" s="105">
        <v>9.2</v>
      </c>
    </row>
    <row r="14" spans="1:5">
      <c r="A14" s="99" t="s">
        <v>557</v>
      </c>
      <c r="B14" s="103">
        <v>89.4414</v>
      </c>
      <c r="C14" s="104">
        <v>7.4</v>
      </c>
      <c r="D14" s="103">
        <v>119.6191</v>
      </c>
      <c r="E14" s="105">
        <v>36.8</v>
      </c>
    </row>
    <row r="15" spans="1:5">
      <c r="A15" s="99" t="s">
        <v>558</v>
      </c>
      <c r="B15" s="103">
        <v>96.6337</v>
      </c>
      <c r="C15" s="104">
        <v>3.8</v>
      </c>
      <c r="D15" s="103">
        <v>126.085</v>
      </c>
      <c r="E15" s="105">
        <v>32.4</v>
      </c>
    </row>
    <row r="16" spans="1:5">
      <c r="A16" s="99" t="s">
        <v>559</v>
      </c>
      <c r="B16" s="103">
        <v>112.9713</v>
      </c>
      <c r="C16" s="104">
        <v>-4.8</v>
      </c>
      <c r="D16" s="103">
        <v>134.9958</v>
      </c>
      <c r="E16" s="105">
        <v>21</v>
      </c>
    </row>
    <row r="17" ht="18" customHeight="1" spans="1:5">
      <c r="A17" s="95" t="s">
        <v>544</v>
      </c>
      <c r="B17" s="96" t="s">
        <v>3</v>
      </c>
      <c r="C17" s="110"/>
      <c r="D17" s="96" t="s">
        <v>560</v>
      </c>
      <c r="E17" s="111"/>
    </row>
    <row r="18" ht="18" customHeight="1" spans="1:5">
      <c r="A18" s="95"/>
      <c r="B18" s="96" t="s">
        <v>547</v>
      </c>
      <c r="C18" s="110" t="s">
        <v>548</v>
      </c>
      <c r="D18" s="96" t="s">
        <v>547</v>
      </c>
      <c r="E18" s="111" t="s">
        <v>548</v>
      </c>
    </row>
    <row r="19" spans="1:5">
      <c r="A19" s="112" t="s">
        <v>255</v>
      </c>
      <c r="B19" s="113">
        <v>13.1471</v>
      </c>
      <c r="C19" s="114">
        <v>33.5</v>
      </c>
      <c r="D19" s="134">
        <v>17.38</v>
      </c>
      <c r="E19" s="115">
        <v>32.2</v>
      </c>
    </row>
    <row r="20" spans="1:5">
      <c r="A20" s="112" t="s">
        <v>549</v>
      </c>
      <c r="B20" s="116">
        <v>22.2479</v>
      </c>
      <c r="C20" s="117">
        <v>31.7</v>
      </c>
      <c r="D20" s="118"/>
      <c r="E20" s="119"/>
    </row>
    <row r="21" spans="1:5">
      <c r="A21" s="112" t="s">
        <v>550</v>
      </c>
      <c r="B21" s="116">
        <v>30.2572</v>
      </c>
      <c r="C21" s="117">
        <v>21.9</v>
      </c>
      <c r="D21" s="118"/>
      <c r="E21" s="119"/>
    </row>
    <row r="22" spans="1:5">
      <c r="A22" s="112" t="s">
        <v>551</v>
      </c>
      <c r="B22" s="116">
        <v>40.3634</v>
      </c>
      <c r="C22" s="117">
        <v>23.9</v>
      </c>
      <c r="D22" s="118"/>
      <c r="E22" s="119"/>
    </row>
    <row r="23" spans="1:5">
      <c r="A23" s="112" t="s">
        <v>552</v>
      </c>
      <c r="B23" s="116">
        <v>49.9011</v>
      </c>
      <c r="C23" s="117">
        <v>24.2448989754379</v>
      </c>
      <c r="D23" s="118"/>
      <c r="E23" s="119"/>
    </row>
    <row r="24" spans="1:5">
      <c r="A24" s="112" t="s">
        <v>553</v>
      </c>
      <c r="B24" s="116">
        <v>64.7923</v>
      </c>
      <c r="C24" s="117">
        <v>11</v>
      </c>
      <c r="D24" s="118"/>
      <c r="E24" s="119"/>
    </row>
    <row r="25" spans="1:5">
      <c r="A25" s="112" t="s">
        <v>554</v>
      </c>
      <c r="B25" s="116">
        <v>75.1173</v>
      </c>
      <c r="C25" s="117">
        <v>11.7</v>
      </c>
      <c r="D25" s="118"/>
      <c r="E25" s="119"/>
    </row>
    <row r="26" spans="1:5">
      <c r="A26" s="112" t="s">
        <v>555</v>
      </c>
      <c r="B26" s="116">
        <v>83.6834</v>
      </c>
      <c r="C26" s="117">
        <v>12.2</v>
      </c>
      <c r="D26" s="118"/>
      <c r="E26" s="119"/>
    </row>
    <row r="27" spans="1:5">
      <c r="A27" s="112" t="s">
        <v>556</v>
      </c>
      <c r="B27" s="116">
        <v>92.195</v>
      </c>
      <c r="C27" s="117">
        <v>12.7</v>
      </c>
      <c r="D27" s="118"/>
      <c r="E27" s="120"/>
    </row>
    <row r="28" spans="1:5">
      <c r="A28" s="112" t="s">
        <v>557</v>
      </c>
      <c r="B28" s="116">
        <v>100.4627</v>
      </c>
      <c r="C28" s="117">
        <v>11.4</v>
      </c>
      <c r="D28" s="118"/>
      <c r="E28" s="120"/>
    </row>
    <row r="29" spans="1:5">
      <c r="A29" s="112" t="s">
        <v>558</v>
      </c>
      <c r="B29" s="116">
        <v>107.827</v>
      </c>
      <c r="C29" s="117">
        <v>11.6</v>
      </c>
      <c r="D29" s="118"/>
      <c r="E29" s="120"/>
    </row>
    <row r="30" ht="15" spans="1:5">
      <c r="A30" s="122" t="s">
        <v>559</v>
      </c>
      <c r="B30" s="123">
        <v>121.83</v>
      </c>
      <c r="C30" s="124">
        <v>15.4</v>
      </c>
      <c r="D30" s="125"/>
      <c r="E30" s="126"/>
    </row>
    <row r="31" spans="1:5">
      <c r="A31" s="135" t="s">
        <v>565</v>
      </c>
      <c r="B31" s="135"/>
      <c r="C31" s="135"/>
      <c r="D31" s="135"/>
      <c r="E31" s="135"/>
    </row>
  </sheetData>
  <mergeCells count="8">
    <mergeCell ref="A1:E1"/>
    <mergeCell ref="B3:C3"/>
    <mergeCell ref="D3:E3"/>
    <mergeCell ref="B17:C17"/>
    <mergeCell ref="D17:E17"/>
    <mergeCell ref="A31:E31"/>
    <mergeCell ref="A3:A4"/>
    <mergeCell ref="A17:A18"/>
  </mergeCells>
  <pageMargins left="0.75" right="0.75" top="1" bottom="1" header="0.509027777777778" footer="0.509027777777778"/>
  <pageSetup paperSize="9" orientation="portrait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H25" sqref="H25"/>
    </sheetView>
  </sheetViews>
  <sheetFormatPr defaultColWidth="9" defaultRowHeight="14.25" outlineLevelCol="4"/>
  <cols>
    <col min="1" max="1" width="9" style="127"/>
    <col min="2" max="2" width="12.375" style="128" customWidth="1"/>
    <col min="3" max="3" width="10.375" style="127" customWidth="1"/>
    <col min="4" max="4" width="14.125" style="128" customWidth="1"/>
    <col min="5" max="5" width="10.125" style="127" customWidth="1"/>
    <col min="6" max="16384" width="9" style="127"/>
  </cols>
  <sheetData>
    <row r="1" ht="28.5" customHeight="1" spans="1:5">
      <c r="A1" s="86" t="s">
        <v>27</v>
      </c>
      <c r="B1" s="87"/>
      <c r="C1" s="87"/>
      <c r="D1" s="87"/>
      <c r="E1" s="87"/>
    </row>
    <row r="2" ht="18" customHeight="1" spans="1:5">
      <c r="A2" s="88"/>
      <c r="B2" s="89"/>
      <c r="C2" s="89"/>
      <c r="D2" s="129" t="s">
        <v>419</v>
      </c>
      <c r="E2" s="90"/>
    </row>
    <row r="3" ht="18" customHeight="1" spans="1:5">
      <c r="A3" s="91" t="s">
        <v>544</v>
      </c>
      <c r="B3" s="93" t="s">
        <v>545</v>
      </c>
      <c r="C3" s="93"/>
      <c r="D3" s="93" t="s">
        <v>546</v>
      </c>
      <c r="E3" s="94"/>
    </row>
    <row r="4" ht="30" customHeight="1" spans="1:5">
      <c r="A4" s="95"/>
      <c r="B4" s="110" t="s">
        <v>547</v>
      </c>
      <c r="C4" s="97" t="s">
        <v>566</v>
      </c>
      <c r="D4" s="110" t="s">
        <v>567</v>
      </c>
      <c r="E4" s="98" t="s">
        <v>566</v>
      </c>
    </row>
    <row r="5" spans="1:5">
      <c r="A5" s="99" t="s">
        <v>255</v>
      </c>
      <c r="B5" s="101"/>
      <c r="C5" s="101"/>
      <c r="D5" s="101"/>
      <c r="E5" s="102"/>
    </row>
    <row r="6" spans="1:5">
      <c r="A6" s="99" t="s">
        <v>549</v>
      </c>
      <c r="B6" s="130">
        <v>103</v>
      </c>
      <c r="C6" s="104">
        <v>3</v>
      </c>
      <c r="D6" s="130">
        <v>101.1</v>
      </c>
      <c r="E6" s="105">
        <v>1.1</v>
      </c>
    </row>
    <row r="7" spans="1:5">
      <c r="A7" s="99" t="s">
        <v>550</v>
      </c>
      <c r="B7" s="130">
        <v>102.8</v>
      </c>
      <c r="C7" s="104">
        <v>2.8</v>
      </c>
      <c r="D7" s="130">
        <v>101</v>
      </c>
      <c r="E7" s="105">
        <v>1</v>
      </c>
    </row>
    <row r="8" spans="1:5">
      <c r="A8" s="99" t="s">
        <v>551</v>
      </c>
      <c r="B8" s="130">
        <v>102.9</v>
      </c>
      <c r="C8" s="104">
        <v>2.9</v>
      </c>
      <c r="D8" s="130">
        <v>101</v>
      </c>
      <c r="E8" s="105">
        <v>1</v>
      </c>
    </row>
    <row r="9" spans="1:5">
      <c r="A9" s="99" t="s">
        <v>552</v>
      </c>
      <c r="B9" s="130">
        <v>102.8</v>
      </c>
      <c r="C9" s="104">
        <v>2.8</v>
      </c>
      <c r="D9" s="130">
        <v>101.1</v>
      </c>
      <c r="E9" s="105">
        <v>1.1</v>
      </c>
    </row>
    <row r="10" spans="1:5">
      <c r="A10" s="99" t="s">
        <v>553</v>
      </c>
      <c r="B10" s="131">
        <v>102.7</v>
      </c>
      <c r="C10" s="104">
        <v>2.7</v>
      </c>
      <c r="D10" s="109">
        <v>101.1</v>
      </c>
      <c r="E10" s="108">
        <v>1.1</v>
      </c>
    </row>
    <row r="11" spans="1:5">
      <c r="A11" s="99" t="s">
        <v>554</v>
      </c>
      <c r="B11" s="131">
        <v>102.6</v>
      </c>
      <c r="C11" s="104">
        <v>2.6</v>
      </c>
      <c r="D11" s="109">
        <v>101.2</v>
      </c>
      <c r="E11" s="105">
        <v>1.2</v>
      </c>
    </row>
    <row r="12" spans="1:5">
      <c r="A12" s="99" t="s">
        <v>555</v>
      </c>
      <c r="B12" s="131">
        <v>102.5</v>
      </c>
      <c r="C12" s="104">
        <v>2.5</v>
      </c>
      <c r="D12" s="109">
        <v>101.3</v>
      </c>
      <c r="E12" s="105">
        <v>1.3</v>
      </c>
    </row>
    <row r="13" spans="1:5">
      <c r="A13" s="99" t="s">
        <v>556</v>
      </c>
      <c r="B13" s="131">
        <v>102.4</v>
      </c>
      <c r="C13" s="109">
        <v>2.40000000000001</v>
      </c>
      <c r="D13" s="109">
        <v>101.2</v>
      </c>
      <c r="E13" s="105">
        <v>1.2</v>
      </c>
    </row>
    <row r="14" spans="1:5">
      <c r="A14" s="99" t="s">
        <v>557</v>
      </c>
      <c r="B14" s="130">
        <v>102.3</v>
      </c>
      <c r="C14" s="104">
        <v>2.3</v>
      </c>
      <c r="D14" s="130">
        <v>101.3</v>
      </c>
      <c r="E14" s="105">
        <v>1.3</v>
      </c>
    </row>
    <row r="15" spans="1:5">
      <c r="A15" s="99" t="s">
        <v>558</v>
      </c>
      <c r="B15" s="130">
        <v>102.3</v>
      </c>
      <c r="C15" s="104">
        <v>2.3</v>
      </c>
      <c r="D15" s="130">
        <v>101.3</v>
      </c>
      <c r="E15" s="105">
        <v>1.3</v>
      </c>
    </row>
    <row r="16" spans="1:5">
      <c r="A16" s="99" t="s">
        <v>559</v>
      </c>
      <c r="B16" s="130">
        <v>102.2</v>
      </c>
      <c r="C16" s="104">
        <v>2.2</v>
      </c>
      <c r="D16" s="130">
        <v>101.3</v>
      </c>
      <c r="E16" s="105">
        <v>1.3</v>
      </c>
    </row>
    <row r="17" ht="18" customHeight="1" spans="1:5">
      <c r="A17" s="95" t="s">
        <v>544</v>
      </c>
      <c r="B17" s="110" t="s">
        <v>3</v>
      </c>
      <c r="C17" s="110"/>
      <c r="D17" s="110" t="s">
        <v>560</v>
      </c>
      <c r="E17" s="111"/>
    </row>
    <row r="18" ht="30" customHeight="1" spans="1:5">
      <c r="A18" s="95"/>
      <c r="B18" s="110" t="s">
        <v>567</v>
      </c>
      <c r="C18" s="97" t="s">
        <v>566</v>
      </c>
      <c r="D18" s="110" t="s">
        <v>567</v>
      </c>
      <c r="E18" s="98" t="s">
        <v>566</v>
      </c>
    </row>
    <row r="19" spans="1:5">
      <c r="A19" s="112" t="s">
        <v>255</v>
      </c>
      <c r="B19" s="114"/>
      <c r="C19" s="114"/>
      <c r="D19" s="114">
        <v>101.9</v>
      </c>
      <c r="E19" s="115">
        <v>1.9</v>
      </c>
    </row>
    <row r="20" spans="1:5">
      <c r="A20" s="112" t="s">
        <v>549</v>
      </c>
      <c r="B20" s="117">
        <v>101.5</v>
      </c>
      <c r="C20" s="117">
        <v>1.5</v>
      </c>
      <c r="D20" s="132"/>
      <c r="E20" s="119"/>
    </row>
    <row r="21" spans="1:5">
      <c r="A21" s="112" t="s">
        <v>550</v>
      </c>
      <c r="B21" s="117">
        <v>101.6</v>
      </c>
      <c r="C21" s="117">
        <v>1.59999999999999</v>
      </c>
      <c r="D21" s="132"/>
      <c r="E21" s="119"/>
    </row>
    <row r="22" spans="1:5">
      <c r="A22" s="112" t="s">
        <v>551</v>
      </c>
      <c r="B22" s="117">
        <v>101.5</v>
      </c>
      <c r="C22" s="117">
        <v>1.5</v>
      </c>
      <c r="D22" s="132"/>
      <c r="E22" s="119"/>
    </row>
    <row r="23" spans="1:5">
      <c r="A23" s="112" t="s">
        <v>552</v>
      </c>
      <c r="B23" s="117">
        <v>101.3</v>
      </c>
      <c r="C23" s="117">
        <v>1.3</v>
      </c>
      <c r="D23" s="132"/>
      <c r="E23" s="119"/>
    </row>
    <row r="24" spans="1:5">
      <c r="A24" s="112" t="s">
        <v>553</v>
      </c>
      <c r="B24" s="117">
        <v>101.3</v>
      </c>
      <c r="C24" s="117">
        <v>1.3</v>
      </c>
      <c r="D24" s="132"/>
      <c r="E24" s="119"/>
    </row>
    <row r="25" spans="1:5">
      <c r="A25" s="112" t="s">
        <v>554</v>
      </c>
      <c r="B25" s="117">
        <v>101.2</v>
      </c>
      <c r="C25" s="117">
        <v>1.2</v>
      </c>
      <c r="D25" s="132"/>
      <c r="E25" s="119"/>
    </row>
    <row r="26" spans="1:5">
      <c r="A26" s="112" t="s">
        <v>555</v>
      </c>
      <c r="B26" s="117">
        <v>101.3</v>
      </c>
      <c r="C26" s="117">
        <v>1.3</v>
      </c>
      <c r="D26" s="132"/>
      <c r="E26" s="119"/>
    </row>
    <row r="27" spans="1:5">
      <c r="A27" s="112" t="s">
        <v>556</v>
      </c>
      <c r="B27" s="117">
        <v>101.4</v>
      </c>
      <c r="C27" s="117">
        <v>1.4</v>
      </c>
      <c r="D27" s="132"/>
      <c r="E27" s="120"/>
    </row>
    <row r="28" spans="1:5">
      <c r="A28" s="112" t="s">
        <v>557</v>
      </c>
      <c r="B28" s="117">
        <v>101.5</v>
      </c>
      <c r="C28" s="117">
        <v>1.5</v>
      </c>
      <c r="D28" s="132"/>
      <c r="E28" s="120"/>
    </row>
    <row r="29" spans="1:5">
      <c r="A29" s="112" t="s">
        <v>558</v>
      </c>
      <c r="B29" s="117">
        <v>101.5</v>
      </c>
      <c r="C29" s="117">
        <v>1.5</v>
      </c>
      <c r="D29" s="132"/>
      <c r="E29" s="120"/>
    </row>
    <row r="30" ht="15" spans="1:5">
      <c r="A30" s="122" t="s">
        <v>559</v>
      </c>
      <c r="B30" s="124">
        <v>101.6</v>
      </c>
      <c r="C30" s="124">
        <v>1.6</v>
      </c>
      <c r="D30" s="133"/>
      <c r="E30" s="126"/>
    </row>
  </sheetData>
  <mergeCells count="8">
    <mergeCell ref="A1:E1"/>
    <mergeCell ref="D2:E2"/>
    <mergeCell ref="B3:C3"/>
    <mergeCell ref="D3:E3"/>
    <mergeCell ref="B17:C17"/>
    <mergeCell ref="D17:E17"/>
    <mergeCell ref="A3:A4"/>
    <mergeCell ref="A17:A18"/>
  </mergeCells>
  <pageMargins left="0.75" right="0.75" top="1" bottom="1" header="0.509027777777778" footer="0.509027777777778"/>
  <pageSetup paperSize="9" orientation="portrait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I31" sqref="I31"/>
    </sheetView>
  </sheetViews>
  <sheetFormatPr defaultColWidth="9" defaultRowHeight="14.25" outlineLevelCol="6"/>
  <cols>
    <col min="2" max="2" width="12.375" customWidth="1"/>
    <col min="3" max="3" width="10.375" customWidth="1"/>
    <col min="4" max="4" width="14.125" customWidth="1"/>
    <col min="5" max="5" width="10.125" customWidth="1"/>
    <col min="7" max="7" width="11.5" customWidth="1"/>
  </cols>
  <sheetData>
    <row r="1" ht="28.5" customHeight="1" spans="1:5">
      <c r="A1" s="86" t="s">
        <v>568</v>
      </c>
      <c r="B1" s="86"/>
      <c r="C1" s="87"/>
      <c r="D1" s="86"/>
      <c r="E1" s="87"/>
    </row>
    <row r="2" ht="18" customHeight="1" spans="1:5">
      <c r="A2" s="88"/>
      <c r="B2" s="88"/>
      <c r="C2" s="89"/>
      <c r="D2" s="90" t="s">
        <v>569</v>
      </c>
      <c r="E2" s="90"/>
    </row>
    <row r="3" ht="18" customHeight="1" spans="1:5">
      <c r="A3" s="91" t="s">
        <v>544</v>
      </c>
      <c r="B3" s="92" t="s">
        <v>545</v>
      </c>
      <c r="C3" s="93"/>
      <c r="D3" s="92" t="s">
        <v>546</v>
      </c>
      <c r="E3" s="94"/>
    </row>
    <row r="4" ht="18" customHeight="1" spans="1:5">
      <c r="A4" s="95"/>
      <c r="B4" s="96" t="s">
        <v>547</v>
      </c>
      <c r="C4" s="97" t="s">
        <v>548</v>
      </c>
      <c r="D4" s="96" t="s">
        <v>547</v>
      </c>
      <c r="E4" s="98" t="s">
        <v>548</v>
      </c>
    </row>
    <row r="5" spans="1:5">
      <c r="A5" s="99" t="s">
        <v>255</v>
      </c>
      <c r="B5" s="100"/>
      <c r="C5" s="101"/>
      <c r="D5" s="100"/>
      <c r="E5" s="102"/>
    </row>
    <row r="6" spans="1:5">
      <c r="A6" s="99" t="s">
        <v>549</v>
      </c>
      <c r="B6" s="103">
        <v>10.66</v>
      </c>
      <c r="C6" s="104">
        <v>9.4</v>
      </c>
      <c r="D6" s="103">
        <v>19.95</v>
      </c>
      <c r="E6" s="105">
        <v>49.7</v>
      </c>
    </row>
    <row r="7" spans="1:5">
      <c r="A7" s="99" t="s">
        <v>550</v>
      </c>
      <c r="B7" s="103">
        <v>15.01</v>
      </c>
      <c r="C7" s="104">
        <v>7.1</v>
      </c>
      <c r="D7" s="103">
        <v>25.02</v>
      </c>
      <c r="E7" s="105">
        <v>66.7</v>
      </c>
    </row>
    <row r="8" spans="1:5">
      <c r="A8" s="99" t="s">
        <v>551</v>
      </c>
      <c r="B8" s="103">
        <v>20.3</v>
      </c>
      <c r="C8" s="104">
        <v>7.2</v>
      </c>
      <c r="D8" s="103">
        <v>34.86</v>
      </c>
      <c r="E8" s="105">
        <v>55.8</v>
      </c>
    </row>
    <row r="9" spans="1:5">
      <c r="A9" s="99" t="s">
        <v>552</v>
      </c>
      <c r="B9" s="103">
        <v>30.03</v>
      </c>
      <c r="C9" s="104">
        <v>22.4</v>
      </c>
      <c r="D9" s="103">
        <v>44.18</v>
      </c>
      <c r="E9" s="105">
        <v>47.1</v>
      </c>
    </row>
    <row r="10" spans="1:5">
      <c r="A10" s="99" t="s">
        <v>553</v>
      </c>
      <c r="B10" s="106">
        <v>38.78</v>
      </c>
      <c r="C10" s="104">
        <v>31.4</v>
      </c>
      <c r="D10" s="107">
        <v>54.94</v>
      </c>
      <c r="E10" s="108">
        <v>41.7</v>
      </c>
    </row>
    <row r="11" spans="1:5">
      <c r="A11" s="99" t="s">
        <v>554</v>
      </c>
      <c r="B11" s="106">
        <v>49.38</v>
      </c>
      <c r="C11" s="104">
        <v>44.3</v>
      </c>
      <c r="D11" s="107">
        <v>64.67</v>
      </c>
      <c r="E11" s="105">
        <v>35.8</v>
      </c>
    </row>
    <row r="12" spans="1:5">
      <c r="A12" s="99" t="s">
        <v>555</v>
      </c>
      <c r="B12" s="106">
        <v>56</v>
      </c>
      <c r="C12" s="104">
        <v>41.9</v>
      </c>
      <c r="D12" s="107">
        <v>75.46</v>
      </c>
      <c r="E12" s="105">
        <v>34.8</v>
      </c>
    </row>
    <row r="13" spans="1:5">
      <c r="A13" s="99" t="s">
        <v>556</v>
      </c>
      <c r="B13" s="106">
        <v>64.1</v>
      </c>
      <c r="C13" s="109">
        <v>44.1</v>
      </c>
      <c r="D13" s="107">
        <v>85.67</v>
      </c>
      <c r="E13" s="105">
        <v>33.7</v>
      </c>
    </row>
    <row r="14" spans="1:5">
      <c r="A14" s="99" t="s">
        <v>557</v>
      </c>
      <c r="B14" s="103">
        <v>72.32</v>
      </c>
      <c r="C14" s="104">
        <v>47.3</v>
      </c>
      <c r="D14" s="103">
        <v>93.88</v>
      </c>
      <c r="E14" s="105">
        <v>29.8</v>
      </c>
    </row>
    <row r="15" spans="1:5">
      <c r="A15" s="99" t="s">
        <v>558</v>
      </c>
      <c r="B15" s="103">
        <v>80.75</v>
      </c>
      <c r="C15" s="104">
        <v>52</v>
      </c>
      <c r="D15" s="103">
        <v>102.83</v>
      </c>
      <c r="E15" s="105">
        <v>27.4</v>
      </c>
    </row>
    <row r="16" spans="1:5">
      <c r="A16" s="99" t="s">
        <v>559</v>
      </c>
      <c r="B16" s="103">
        <v>89.4</v>
      </c>
      <c r="C16" s="104">
        <v>52.9</v>
      </c>
      <c r="D16" s="103">
        <v>112.45</v>
      </c>
      <c r="E16" s="105">
        <v>25.8</v>
      </c>
    </row>
    <row r="17" ht="18" customHeight="1" spans="1:7">
      <c r="A17" s="95" t="s">
        <v>544</v>
      </c>
      <c r="B17" s="96" t="s">
        <v>3</v>
      </c>
      <c r="C17" s="110"/>
      <c r="D17" s="96" t="s">
        <v>560</v>
      </c>
      <c r="E17" s="111"/>
    </row>
    <row r="18" ht="18" customHeight="1" spans="1:7">
      <c r="A18" s="95"/>
      <c r="B18" s="96" t="s">
        <v>547</v>
      </c>
      <c r="C18" s="97" t="s">
        <v>548</v>
      </c>
      <c r="D18" s="96" t="s">
        <v>547</v>
      </c>
      <c r="E18" s="98" t="s">
        <v>548</v>
      </c>
    </row>
    <row r="19" spans="1:7">
      <c r="A19" s="112" t="s">
        <v>255</v>
      </c>
      <c r="B19" s="113"/>
      <c r="C19" s="114"/>
      <c r="D19" s="113">
        <v>9.5556</v>
      </c>
      <c r="E19" s="115">
        <v>4.79</v>
      </c>
    </row>
    <row r="20" spans="1:7">
      <c r="A20" s="112" t="s">
        <v>549</v>
      </c>
      <c r="B20" s="116">
        <v>17.27</v>
      </c>
      <c r="C20" s="117">
        <v>6.3</v>
      </c>
      <c r="D20" s="118"/>
      <c r="E20" s="119"/>
    </row>
    <row r="21" spans="1:7">
      <c r="A21" s="112" t="s">
        <v>550</v>
      </c>
      <c r="B21" s="116">
        <v>26.96</v>
      </c>
      <c r="C21" s="117">
        <v>6.1</v>
      </c>
      <c r="D21" s="118"/>
      <c r="E21" s="119"/>
    </row>
    <row r="22" spans="1:7">
      <c r="A22" s="112" t="s">
        <v>551</v>
      </c>
      <c r="B22" s="116">
        <v>37.45</v>
      </c>
      <c r="C22" s="117">
        <v>5.9</v>
      </c>
      <c r="D22" s="118"/>
      <c r="E22" s="119"/>
    </row>
    <row r="23" spans="1:7">
      <c r="A23" s="112" t="s">
        <v>552</v>
      </c>
      <c r="B23" s="116">
        <v>48.08</v>
      </c>
      <c r="C23" s="117">
        <v>9.1</v>
      </c>
      <c r="D23" s="118"/>
      <c r="E23" s="119"/>
    </row>
    <row r="24" spans="1:7">
      <c r="A24" s="112" t="s">
        <v>553</v>
      </c>
      <c r="B24" s="116">
        <v>58.99</v>
      </c>
      <c r="C24" s="117">
        <v>8.9</v>
      </c>
      <c r="D24" s="118"/>
      <c r="E24" s="119"/>
    </row>
    <row r="25" spans="1:7">
      <c r="A25" s="112" t="s">
        <v>554</v>
      </c>
      <c r="B25" s="116">
        <v>69.33</v>
      </c>
      <c r="C25" s="117">
        <v>8</v>
      </c>
      <c r="D25" s="118"/>
      <c r="E25" s="119"/>
    </row>
    <row r="26" spans="1:7">
      <c r="A26" s="112" t="s">
        <v>555</v>
      </c>
      <c r="B26" s="116">
        <v>79.65</v>
      </c>
      <c r="C26" s="117">
        <v>6.9</v>
      </c>
      <c r="D26" s="118"/>
      <c r="E26" s="119"/>
    </row>
    <row r="27" spans="1:7">
      <c r="A27" s="112" t="s">
        <v>556</v>
      </c>
      <c r="B27" s="116">
        <v>89.42</v>
      </c>
      <c r="C27" s="117">
        <v>5.6</v>
      </c>
      <c r="D27" s="118"/>
      <c r="E27" s="120"/>
    </row>
    <row r="28" spans="1:7">
      <c r="A28" s="112" t="s">
        <v>557</v>
      </c>
      <c r="B28" s="116">
        <v>99.61</v>
      </c>
      <c r="C28" s="117">
        <v>5.9</v>
      </c>
      <c r="D28" s="118"/>
      <c r="E28" s="120"/>
    </row>
    <row r="29" spans="1:7">
      <c r="A29" s="112" t="s">
        <v>558</v>
      </c>
      <c r="B29" s="116">
        <v>109.32</v>
      </c>
      <c r="C29" s="117">
        <v>5.76</v>
      </c>
      <c r="D29" s="118"/>
      <c r="E29" s="120"/>
      <c r="G29" s="121"/>
    </row>
    <row r="30" ht="15" spans="1:7">
      <c r="A30" s="122" t="s">
        <v>559</v>
      </c>
      <c r="B30" s="123">
        <v>119.75</v>
      </c>
      <c r="C30" s="124">
        <v>6</v>
      </c>
      <c r="D30" s="125"/>
      <c r="E30" s="126"/>
    </row>
    <row r="31" spans="1:7">
      <c r="A31" s="127"/>
      <c r="B31" s="127"/>
      <c r="C31" s="127"/>
      <c r="D31" s="127"/>
      <c r="E31" s="127"/>
    </row>
  </sheetData>
  <mergeCells count="8">
    <mergeCell ref="A1:E1"/>
    <mergeCell ref="D2:E2"/>
    <mergeCell ref="B3:C3"/>
    <mergeCell ref="D3:E3"/>
    <mergeCell ref="B17:C17"/>
    <mergeCell ref="D17:E17"/>
    <mergeCell ref="A3:A4"/>
    <mergeCell ref="A17:A18"/>
  </mergeCells>
  <pageMargins left="0.75" right="0.75" top="1" bottom="1" header="0.509027777777778" footer="0.509027777777778"/>
  <pageSetup paperSize="9" orientation="portrait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31"/>
  <sheetViews>
    <sheetView topLeftCell="A7" workbookViewId="0">
      <selection activeCell="B27" sqref="B27:C31"/>
    </sheetView>
  </sheetViews>
  <sheetFormatPr defaultColWidth="9" defaultRowHeight="14.25" outlineLevelCol="6"/>
  <cols>
    <col min="1" max="1" width="14.375" style="45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7">
      <c r="A1" s="3" t="s">
        <v>570</v>
      </c>
      <c r="B1" s="3"/>
      <c r="C1" s="3"/>
      <c r="D1" s="3"/>
      <c r="E1" s="3"/>
      <c r="F1" s="3"/>
      <c r="G1" s="46"/>
    </row>
    <row r="2" ht="20.25" customHeight="1" spans="1:7">
      <c r="A2" s="47"/>
      <c r="B2" s="47"/>
      <c r="C2" s="62" t="s">
        <v>571</v>
      </c>
      <c r="D2" s="62"/>
      <c r="E2" s="62"/>
      <c r="F2" s="62"/>
      <c r="G2" s="46"/>
    </row>
    <row r="3" s="44" customFormat="1" ht="31.5" customHeight="1" spans="1:7">
      <c r="A3" t="s">
        <v>541</v>
      </c>
      <c r="B3" t="s">
        <v>11</v>
      </c>
      <c r="C3"/>
      <c r="D3" s="49"/>
      <c r="E3" s="50"/>
      <c r="F3" s="51"/>
      <c r="G3" s="52"/>
    </row>
    <row r="4" s="44" customFormat="1" ht="31.5" customHeight="1" spans="1:7">
      <c r="A4"/>
      <c r="B4" s="7" t="s">
        <v>542</v>
      </c>
      <c r="C4" s="8" t="s">
        <v>543</v>
      </c>
      <c r="D4" s="53"/>
      <c r="E4" s="54"/>
      <c r="F4" s="55"/>
      <c r="G4" s="52"/>
    </row>
    <row r="5" ht="18" customHeight="1" spans="1:7">
      <c r="A5" s="9">
        <v>2016</v>
      </c>
      <c r="B5" s="79"/>
      <c r="C5" s="11"/>
      <c r="D5" s="56"/>
      <c r="E5" s="56"/>
      <c r="F5" s="56"/>
    </row>
    <row r="6" ht="18" customHeight="1" spans="1:7">
      <c r="A6" s="9">
        <v>5</v>
      </c>
      <c r="B6" s="79">
        <f>ROUND(3079283,0)</f>
        <v>3079283</v>
      </c>
      <c r="C6" s="11">
        <f>ROUND(7.2,1)</f>
        <v>7.2</v>
      </c>
      <c r="D6" s="56"/>
      <c r="E6" s="56"/>
      <c r="F6" s="56"/>
    </row>
    <row r="7" ht="18" customHeight="1" spans="1:7">
      <c r="A7" s="9">
        <v>6</v>
      </c>
      <c r="B7" s="79">
        <f>ROUND(5096563,0)</f>
        <v>5096563</v>
      </c>
      <c r="C7" s="11">
        <f>ROUND(15.1,1)</f>
        <v>15.1</v>
      </c>
      <c r="D7" s="56"/>
      <c r="E7" s="56"/>
      <c r="F7" s="56"/>
    </row>
    <row r="8" ht="18" customHeight="1" spans="1:7">
      <c r="A8" s="9">
        <v>7</v>
      </c>
      <c r="B8" s="79">
        <f>ROUND(6263505,0)</f>
        <v>6263505</v>
      </c>
      <c r="C8" s="80">
        <f>ROUND(16.3,1)</f>
        <v>16.3</v>
      </c>
      <c r="D8" s="56"/>
      <c r="E8" s="56"/>
      <c r="F8" s="56"/>
    </row>
    <row r="9" ht="18" customHeight="1" spans="1:7">
      <c r="A9" s="9">
        <v>8</v>
      </c>
      <c r="B9" s="79">
        <f>ROUND(7372203,0)</f>
        <v>7372203</v>
      </c>
      <c r="C9" s="11">
        <f>ROUND(24.8,1)</f>
        <v>24.8</v>
      </c>
      <c r="D9" s="56"/>
      <c r="E9" s="56"/>
      <c r="F9" s="56"/>
    </row>
    <row r="10" ht="18" customHeight="1" spans="1:7">
      <c r="A10" s="9">
        <v>9</v>
      </c>
      <c r="B10" s="79">
        <f>ROUND(8717492,0)</f>
        <v>8717492</v>
      </c>
      <c r="C10" s="11">
        <f>ROUND(23.5,1)</f>
        <v>23.5</v>
      </c>
      <c r="D10" s="56"/>
      <c r="E10" s="56"/>
      <c r="F10" s="56"/>
    </row>
    <row r="11" ht="18" customHeight="1" spans="1:7">
      <c r="A11" s="9">
        <v>10</v>
      </c>
      <c r="B11" s="79">
        <f>ROUND(10215452,0)</f>
        <v>10215452</v>
      </c>
      <c r="C11" s="11">
        <f>ROUND(22.6,1)</f>
        <v>22.6</v>
      </c>
      <c r="D11" s="56"/>
      <c r="E11" s="56"/>
      <c r="F11" s="56"/>
    </row>
    <row r="12" spans="1:7">
      <c r="A12" s="9">
        <v>11</v>
      </c>
      <c r="B12" s="79">
        <f>ROUND(12000485,0)</f>
        <v>12000485</v>
      </c>
      <c r="C12" s="11">
        <f>ROUND(23.9,1)</f>
        <v>23.9</v>
      </c>
    </row>
    <row r="13" spans="1:7">
      <c r="A13" s="9">
        <v>12</v>
      </c>
      <c r="B13" s="79">
        <f>ROUND(15315995,0)</f>
        <v>15315995</v>
      </c>
      <c r="C13" s="11">
        <f>ROUND(16.6,1)</f>
        <v>16.6</v>
      </c>
    </row>
    <row r="14" spans="1:7">
      <c r="A14" s="9">
        <v>2017</v>
      </c>
      <c r="B14" s="81"/>
      <c r="C14" s="82"/>
    </row>
    <row r="15" spans="1:7">
      <c r="A15" s="9">
        <v>2</v>
      </c>
      <c r="B15" s="79">
        <f>ROUND(796488,0)</f>
        <v>796488</v>
      </c>
      <c r="C15" s="11">
        <f>ROUND(5.3,1)</f>
        <v>5.3</v>
      </c>
    </row>
    <row r="16" spans="1:7">
      <c r="A16" s="9">
        <v>3</v>
      </c>
      <c r="B16" s="81">
        <f>ROUND(1575746,0)</f>
        <v>1575746</v>
      </c>
      <c r="C16" s="11">
        <f>ROUND(7.9,1)</f>
        <v>7.9</v>
      </c>
    </row>
    <row r="17" spans="1:3">
      <c r="A17" s="68">
        <v>4</v>
      </c>
      <c r="B17" s="42">
        <f>ROUND(2056743,0)</f>
        <v>2056743</v>
      </c>
      <c r="C17" s="11">
        <f>ROUND(-0.7,1)</f>
        <v>-0.7</v>
      </c>
    </row>
    <row r="18" spans="1:3">
      <c r="A18" s="68">
        <v>5</v>
      </c>
      <c r="B18" s="16">
        <f>ROUND(2889968,0)</f>
        <v>2889968</v>
      </c>
      <c r="C18" s="11">
        <f>ROUND(-6.1,1)</f>
        <v>-6.1</v>
      </c>
    </row>
    <row r="19" spans="1:3">
      <c r="A19" s="68">
        <v>6</v>
      </c>
      <c r="B19" s="16">
        <f>ROUND(5604382,0)</f>
        <v>5604382</v>
      </c>
      <c r="C19" s="11">
        <f>ROUND(10,1)</f>
        <v>10</v>
      </c>
    </row>
    <row r="20" spans="1:3">
      <c r="A20" s="68">
        <v>7</v>
      </c>
      <c r="B20" s="81">
        <f>ROUND(6864511,0)</f>
        <v>6864511</v>
      </c>
      <c r="C20" s="11">
        <f>ROUND(9.6,1)</f>
        <v>9.6</v>
      </c>
    </row>
    <row r="21" spans="1:3">
      <c r="A21" s="83">
        <v>8</v>
      </c>
      <c r="B21" s="42">
        <f>ROUND(8096944,0)</f>
        <v>8096944</v>
      </c>
      <c r="C21" s="11">
        <f>ROUND(9.8,1)</f>
        <v>9.8</v>
      </c>
    </row>
    <row r="22" spans="1:3">
      <c r="A22" s="83">
        <v>9</v>
      </c>
      <c r="B22" s="42">
        <f>ROUND(9772404,0)</f>
        <v>9772404</v>
      </c>
      <c r="C22" s="11">
        <f>ROUND(12.1010951314896,1)</f>
        <v>12.1</v>
      </c>
    </row>
    <row r="23" spans="1:3">
      <c r="A23" s="83">
        <v>10</v>
      </c>
      <c r="B23" s="42">
        <f>ROUND(11367531,0)</f>
        <v>11367531</v>
      </c>
      <c r="C23" s="11">
        <f>ROUND(11.3,1)</f>
        <v>11.3</v>
      </c>
    </row>
    <row r="24" spans="1:3">
      <c r="A24" s="83">
        <v>11</v>
      </c>
      <c r="B24" s="42">
        <f>ROUND(13376063,0)</f>
        <v>13376063</v>
      </c>
      <c r="C24" s="11">
        <f>ROUND(11.5,1)</f>
        <v>11.5</v>
      </c>
    </row>
    <row r="25" spans="1:3">
      <c r="A25" s="83">
        <v>12</v>
      </c>
      <c r="B25" s="42">
        <f>ROUND(16415341,0)</f>
        <v>16415341</v>
      </c>
      <c r="C25" s="11">
        <f>ROUND(7.2,1)</f>
        <v>7.2</v>
      </c>
    </row>
    <row r="26" spans="1:3">
      <c r="A26" s="15">
        <v>2018</v>
      </c>
      <c r="B26" s="16"/>
      <c r="C26" s="17"/>
    </row>
    <row r="27" spans="1:3">
      <c r="A27" s="15">
        <v>2</v>
      </c>
      <c r="B27" s="16">
        <f>ROUND(844761,0)</f>
        <v>844761</v>
      </c>
      <c r="C27" s="21">
        <f>ROUND(8.8,1)</f>
        <v>8.8</v>
      </c>
    </row>
    <row r="28" spans="1:3">
      <c r="A28" s="15">
        <v>3</v>
      </c>
      <c r="B28" s="16">
        <f>ROUND(2020022,0)</f>
        <v>2020022</v>
      </c>
      <c r="C28" s="21">
        <f>ROUND(31.6,1)</f>
        <v>31.6</v>
      </c>
    </row>
    <row r="29" spans="1:3">
      <c r="A29" s="15">
        <v>4</v>
      </c>
      <c r="B29" s="42">
        <f>ROUND(2639275,0)</f>
        <v>2639275</v>
      </c>
      <c r="C29" s="21">
        <f>ROUND(31,1)</f>
        <v>31</v>
      </c>
    </row>
    <row r="30" spans="1:3">
      <c r="A30" s="15">
        <v>5</v>
      </c>
      <c r="B30" s="42">
        <v>3391968</v>
      </c>
      <c r="C30" s="21">
        <v>19.6</v>
      </c>
    </row>
    <row r="31" spans="1:3">
      <c r="A31" s="22">
        <v>6</v>
      </c>
      <c r="B31" s="84">
        <v>5515829</v>
      </c>
      <c r="C31" s="85">
        <v>13.6</v>
      </c>
    </row>
  </sheetData>
  <mergeCells count="4">
    <mergeCell ref="A1:F1"/>
    <mergeCell ref="C2:F2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22"/>
  <sheetViews>
    <sheetView workbookViewId="0">
      <selection activeCell="H17" sqref="H17"/>
    </sheetView>
  </sheetViews>
  <sheetFormatPr defaultColWidth="9" defaultRowHeight="14.25"/>
  <cols>
    <col min="1" max="1" width="28.625" style="445" customWidth="1"/>
    <col min="2" max="2" width="12" style="445" customWidth="1"/>
    <col min="3" max="3" width="10.625" style="445" customWidth="1"/>
    <col min="4" max="4" width="12.125" style="445" customWidth="1"/>
    <col min="5" max="5" width="11.5" style="445" customWidth="1"/>
    <col min="6" max="6" width="9" style="445"/>
    <col min="7" max="7" width="10.5" style="445" customWidth="1"/>
    <col min="8" max="8" width="9.75" style="445" customWidth="1"/>
    <col min="9" max="9" width="11.75" style="445" customWidth="1"/>
    <col min="10" max="255" width="9" style="445"/>
    <col min="256" max="16384" width="9" style="196"/>
  </cols>
  <sheetData>
    <row r="1" ht="28.5" customHeight="1" spans="1:9">
      <c r="A1" s="504" t="s">
        <v>74</v>
      </c>
      <c r="B1" s="477"/>
      <c r="C1" s="477"/>
      <c r="D1" s="516"/>
      <c r="E1" s="516"/>
    </row>
    <row r="2" ht="19.5" customHeight="1" spans="1:9">
      <c r="A2" s="505"/>
      <c r="B2" s="505"/>
      <c r="C2" s="505"/>
      <c r="D2" s="613" t="s">
        <v>35</v>
      </c>
      <c r="E2" s="220"/>
    </row>
    <row r="3" ht="35.25" customHeight="1" spans="1:9">
      <c r="A3" s="506" t="s">
        <v>36</v>
      </c>
      <c r="B3" s="614">
        <v>43435</v>
      </c>
      <c r="C3" s="615" t="s">
        <v>75</v>
      </c>
      <c r="D3" s="92" t="s">
        <v>3</v>
      </c>
      <c r="E3" s="615" t="s">
        <v>75</v>
      </c>
      <c r="G3" s="463"/>
      <c r="I3" s="463"/>
    </row>
    <row r="4" ht="24.95" customHeight="1" spans="1:9">
      <c r="A4" s="510" t="s">
        <v>76</v>
      </c>
      <c r="B4" s="616">
        <v>236.9853</v>
      </c>
      <c r="C4" s="617">
        <v>0.7</v>
      </c>
      <c r="D4" s="618">
        <v>2372.8477</v>
      </c>
      <c r="E4" s="619">
        <v>5.1</v>
      </c>
      <c r="G4" s="463"/>
      <c r="I4" s="463"/>
    </row>
    <row r="5" ht="24.95" customHeight="1" spans="1:9">
      <c r="A5" s="508" t="s">
        <v>77</v>
      </c>
      <c r="B5" s="616">
        <v>114.1005</v>
      </c>
      <c r="C5" s="620">
        <v>-3.6</v>
      </c>
      <c r="D5" s="618">
        <v>1016.2558</v>
      </c>
      <c r="E5" s="619">
        <v>6.3</v>
      </c>
      <c r="G5" s="463"/>
      <c r="I5" s="463"/>
    </row>
    <row r="6" ht="24.95" customHeight="1" spans="1:9">
      <c r="A6" s="508" t="s">
        <v>78</v>
      </c>
      <c r="B6" s="616">
        <v>122.8848</v>
      </c>
      <c r="C6" s="620">
        <v>5.4</v>
      </c>
      <c r="D6" s="618">
        <v>1356.5919</v>
      </c>
      <c r="E6" s="619">
        <v>4</v>
      </c>
      <c r="G6" s="463"/>
      <c r="I6" s="463"/>
    </row>
    <row r="7" ht="24.95" customHeight="1" spans="1:9">
      <c r="A7" s="510" t="s">
        <v>79</v>
      </c>
      <c r="B7" s="616">
        <v>3.0346</v>
      </c>
      <c r="C7" s="617">
        <v>59.4</v>
      </c>
      <c r="D7" s="618">
        <v>25.5043</v>
      </c>
      <c r="E7" s="619">
        <v>6.5</v>
      </c>
      <c r="G7" s="463"/>
      <c r="I7" s="463"/>
    </row>
    <row r="8" ht="24.95" customHeight="1" spans="1:9">
      <c r="A8" s="510" t="s">
        <v>80</v>
      </c>
      <c r="B8" s="616">
        <v>0.0557</v>
      </c>
      <c r="C8" s="617">
        <v>-68.4</v>
      </c>
      <c r="D8" s="618">
        <v>0.7908</v>
      </c>
      <c r="E8" s="619">
        <v>-31.6</v>
      </c>
      <c r="F8" s="155"/>
      <c r="G8" s="533"/>
      <c r="I8" s="463"/>
    </row>
    <row r="9" ht="24.95" customHeight="1" spans="1:9">
      <c r="A9" s="510" t="s">
        <v>81</v>
      </c>
      <c r="B9" s="616">
        <v>0</v>
      </c>
      <c r="C9" s="617">
        <v>0</v>
      </c>
      <c r="D9" s="618">
        <v>0</v>
      </c>
      <c r="E9" s="619">
        <v>0</v>
      </c>
      <c r="F9" s="155"/>
      <c r="G9" s="463"/>
      <c r="I9" s="463"/>
    </row>
    <row r="10" ht="24.95" customHeight="1" spans="1:9">
      <c r="A10" s="510" t="s">
        <v>82</v>
      </c>
      <c r="B10" s="616">
        <v>168.2178</v>
      </c>
      <c r="C10" s="617">
        <v>5.4</v>
      </c>
      <c r="D10" s="618">
        <v>1603.6066</v>
      </c>
      <c r="E10" s="619">
        <v>6.4</v>
      </c>
      <c r="F10" s="155"/>
      <c r="G10" s="463"/>
      <c r="I10" s="463"/>
    </row>
    <row r="11" ht="24.95" customHeight="1" spans="1:9">
      <c r="A11" s="510" t="s">
        <v>83</v>
      </c>
      <c r="B11" s="616">
        <v>60.5808</v>
      </c>
      <c r="C11" s="617">
        <v>-11.3</v>
      </c>
      <c r="D11" s="618">
        <v>706.2698</v>
      </c>
      <c r="E11" s="619">
        <v>1.5</v>
      </c>
      <c r="G11" s="463"/>
      <c r="I11" s="463"/>
    </row>
    <row r="12" ht="24.95" customHeight="1" spans="1:9">
      <c r="A12" s="510" t="s">
        <v>84</v>
      </c>
      <c r="B12" s="616">
        <v>5.0965</v>
      </c>
      <c r="C12" s="617">
        <v>-3.1</v>
      </c>
      <c r="D12" s="618">
        <v>36.6762</v>
      </c>
      <c r="E12" s="619">
        <v>8.5</v>
      </c>
      <c r="G12" s="463"/>
      <c r="I12" s="463"/>
    </row>
    <row r="13" ht="24.95" customHeight="1" spans="1:9">
      <c r="A13" s="510" t="s">
        <v>85</v>
      </c>
      <c r="B13" s="616">
        <v>86.9647</v>
      </c>
      <c r="C13" s="617">
        <v>2.3</v>
      </c>
      <c r="D13" s="618">
        <v>1019.0833</v>
      </c>
      <c r="E13" s="619">
        <v>1.8</v>
      </c>
      <c r="G13" s="463"/>
      <c r="I13" s="463"/>
    </row>
    <row r="14" ht="24.95" customHeight="1" spans="1:9">
      <c r="A14" s="510" t="s">
        <v>86</v>
      </c>
      <c r="B14" s="616">
        <v>117.5821</v>
      </c>
      <c r="C14" s="617">
        <v>3.9</v>
      </c>
      <c r="D14" s="618">
        <v>1000.0358</v>
      </c>
      <c r="E14" s="619">
        <v>6.6</v>
      </c>
      <c r="G14" s="463"/>
      <c r="I14" s="463"/>
    </row>
    <row r="15" ht="24.95" customHeight="1" spans="1:9">
      <c r="A15" s="510" t="s">
        <v>87</v>
      </c>
      <c r="B15" s="616">
        <v>84.147</v>
      </c>
      <c r="C15" s="617">
        <v>-0.8</v>
      </c>
      <c r="D15" s="618">
        <v>984.9383</v>
      </c>
      <c r="E15" s="619">
        <v>7.2</v>
      </c>
      <c r="G15" s="463"/>
      <c r="I15" s="463"/>
    </row>
    <row r="16" ht="24.95" customHeight="1" spans="1:9">
      <c r="A16" s="510" t="s">
        <v>88</v>
      </c>
      <c r="B16" s="616">
        <v>59.8149</v>
      </c>
      <c r="C16" s="617">
        <v>-0.6</v>
      </c>
      <c r="D16" s="618">
        <v>654.3087</v>
      </c>
      <c r="E16" s="619">
        <v>-0.4</v>
      </c>
      <c r="G16" s="463"/>
      <c r="I16" s="463"/>
    </row>
    <row r="17" ht="24.95" customHeight="1" spans="1:9">
      <c r="A17" s="510" t="s">
        <v>89</v>
      </c>
      <c r="B17" s="616">
        <v>89.2876</v>
      </c>
      <c r="C17" s="617">
        <v>3.3</v>
      </c>
      <c r="D17" s="618">
        <v>705.2265</v>
      </c>
      <c r="E17" s="619">
        <v>7.5</v>
      </c>
      <c r="G17" s="463"/>
      <c r="I17" s="463"/>
    </row>
    <row r="18" ht="24.95" customHeight="1" spans="1:9">
      <c r="A18" s="621" t="s">
        <v>90</v>
      </c>
      <c r="B18" s="622">
        <v>3.7357</v>
      </c>
      <c r="C18" s="623">
        <v>3.8</v>
      </c>
      <c r="D18" s="624">
        <v>28.3743</v>
      </c>
      <c r="E18" s="625">
        <v>-8.2</v>
      </c>
      <c r="G18" s="463"/>
      <c r="I18" s="463"/>
    </row>
    <row r="19" ht="24.95" customHeight="1" spans="1:9">
      <c r="A19" s="626" t="s">
        <v>91</v>
      </c>
      <c r="B19" s="627">
        <v>18.8675</v>
      </c>
      <c r="C19" s="623">
        <v>-41.1</v>
      </c>
      <c r="D19" s="624">
        <v>202.7958</v>
      </c>
      <c r="E19" s="628">
        <v>-20.4</v>
      </c>
      <c r="G19" s="463"/>
      <c r="I19" s="463"/>
    </row>
    <row r="20" ht="31.5" customHeight="1" spans="1:9">
      <c r="A20" s="629"/>
      <c r="B20" s="630" t="s">
        <v>92</v>
      </c>
      <c r="C20" s="631"/>
      <c r="D20" s="632" t="s">
        <v>93</v>
      </c>
      <c r="E20" s="633" t="s">
        <v>94</v>
      </c>
      <c r="G20" s="463"/>
      <c r="I20" s="463"/>
    </row>
    <row r="21" ht="24.95" customHeight="1" spans="1:9">
      <c r="A21" s="634" t="s">
        <v>95</v>
      </c>
      <c r="B21" s="635">
        <v>2339.1361</v>
      </c>
      <c r="C21" s="636"/>
      <c r="D21" s="637">
        <v>98.6</v>
      </c>
      <c r="E21" s="638">
        <v>0.2</v>
      </c>
      <c r="G21" s="463"/>
      <c r="I21" s="463"/>
    </row>
    <row r="22" ht="20.1" customHeight="1" spans="1:9">
      <c r="A22" s="639" t="s">
        <v>96</v>
      </c>
      <c r="B22" s="639"/>
      <c r="C22" s="639"/>
      <c r="D22" s="639"/>
      <c r="E22" s="639"/>
    </row>
  </sheetData>
  <mergeCells count="5">
    <mergeCell ref="A1:E1"/>
    <mergeCell ref="D2:E2"/>
    <mergeCell ref="B20:C20"/>
    <mergeCell ref="B21:C21"/>
    <mergeCell ref="A22:E22"/>
  </mergeCells>
  <printOptions horizontalCentered="1"/>
  <pageMargins left="0.55" right="0.55" top="0.588888888888889" bottom="0.588888888888889" header="0.509027777777778" footer="0.509027777777778"/>
  <pageSetup paperSize="9" orientation="portrait" blackAndWhite="1" horizontalDpi="200" verticalDpi="300"/>
  <headerFooter alignWithMargins="0" scaleWithDoc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30"/>
  <sheetViews>
    <sheetView topLeftCell="A7" workbookViewId="0">
      <selection activeCell="B26" sqref="B26:C30"/>
    </sheetView>
  </sheetViews>
  <sheetFormatPr defaultColWidth="9" defaultRowHeight="14.25" outlineLevelCol="6"/>
  <cols>
    <col min="1" max="1" width="14.375" style="45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7">
      <c r="A1" s="3" t="s">
        <v>572</v>
      </c>
      <c r="B1" s="3"/>
      <c r="C1" s="3"/>
      <c r="D1" s="3"/>
      <c r="E1" s="3"/>
      <c r="F1" s="3"/>
      <c r="G1" s="46"/>
    </row>
    <row r="2" ht="20.25" customHeight="1" spans="1:7">
      <c r="A2" s="47"/>
      <c r="B2" s="47"/>
      <c r="C2" s="62" t="s">
        <v>571</v>
      </c>
      <c r="D2" s="62"/>
      <c r="E2" s="62"/>
      <c r="F2" s="62"/>
      <c r="G2" s="46"/>
    </row>
    <row r="3" s="44" customFormat="1" ht="31.5" customHeight="1" spans="1:7">
      <c r="A3" t="s">
        <v>541</v>
      </c>
      <c r="B3" t="s">
        <v>15</v>
      </c>
      <c r="C3"/>
      <c r="D3" s="49"/>
      <c r="E3" s="50"/>
      <c r="F3" s="51"/>
      <c r="G3" s="52"/>
    </row>
    <row r="4" s="44" customFormat="1" ht="31.5" customHeight="1" spans="1:7">
      <c r="A4"/>
      <c r="B4" s="7" t="s">
        <v>542</v>
      </c>
      <c r="C4" s="8" t="s">
        <v>543</v>
      </c>
      <c r="D4" s="53"/>
      <c r="E4" s="54"/>
      <c r="F4" s="55"/>
      <c r="G4" s="52"/>
    </row>
    <row r="5" ht="18" customHeight="1" spans="1:7">
      <c r="A5" s="9">
        <v>2016</v>
      </c>
      <c r="B5" s="63"/>
      <c r="C5" s="11"/>
      <c r="D5" s="56"/>
      <c r="E5" s="56"/>
      <c r="F5" s="56"/>
    </row>
    <row r="6" ht="18" customHeight="1" spans="1:7">
      <c r="A6" s="9">
        <v>6</v>
      </c>
      <c r="B6" s="64">
        <f>ROUND(6760206,0)</f>
        <v>6760206</v>
      </c>
      <c r="C6" s="65">
        <f>ROUND(8.8,1)</f>
        <v>8.8</v>
      </c>
      <c r="D6" s="56"/>
      <c r="E6" s="56"/>
      <c r="F6" s="56"/>
    </row>
    <row r="7" ht="18" customHeight="1" spans="1:7">
      <c r="A7" s="9">
        <v>7</v>
      </c>
      <c r="B7" s="64">
        <f>ROUND(7975890,0)</f>
        <v>7975890</v>
      </c>
      <c r="C7" s="65">
        <f>ROUND(9,1)</f>
        <v>9</v>
      </c>
      <c r="D7" s="56"/>
      <c r="E7" s="56"/>
      <c r="F7" s="56"/>
    </row>
    <row r="8" ht="18" customHeight="1" spans="1:7">
      <c r="A8" s="9">
        <v>8</v>
      </c>
      <c r="B8" s="64">
        <f>ROUND(9193702.5,0)</f>
        <v>9193703</v>
      </c>
      <c r="C8" s="65">
        <f>ROUND(8.9,1)</f>
        <v>8.9</v>
      </c>
      <c r="D8" s="56"/>
      <c r="E8" s="56"/>
      <c r="F8" s="56"/>
    </row>
    <row r="9" spans="1:7">
      <c r="A9" s="9">
        <v>9</v>
      </c>
      <c r="B9" s="66">
        <f>ROUND(10457008.3,0)</f>
        <v>10457008</v>
      </c>
      <c r="C9" s="65">
        <f>ROUND(9.3,1)</f>
        <v>9.3</v>
      </c>
    </row>
    <row r="10" spans="1:7">
      <c r="A10" s="9">
        <v>10</v>
      </c>
      <c r="B10" s="66">
        <f>ROUND(11782159.5,0)</f>
        <v>11782160</v>
      </c>
      <c r="C10" s="65">
        <f>ROUND(9.5,1)</f>
        <v>9.5</v>
      </c>
    </row>
    <row r="11" spans="1:7">
      <c r="A11" s="9">
        <v>11</v>
      </c>
      <c r="B11" s="67">
        <f>ROUND(13025842,0)</f>
        <v>13025842</v>
      </c>
      <c r="C11" s="65">
        <f>ROUND(9.4,1)</f>
        <v>9.4</v>
      </c>
    </row>
    <row r="12" ht="15.95" customHeight="1" spans="1:7">
      <c r="A12" s="68">
        <v>12</v>
      </c>
      <c r="B12" s="69">
        <f>ROUND(14329570,0)</f>
        <v>14329570</v>
      </c>
      <c r="C12" s="70">
        <f>ROUND(9.5,1)</f>
        <v>9.5</v>
      </c>
    </row>
    <row r="13" ht="15.95" customHeight="1" spans="1:7">
      <c r="A13" s="68">
        <v>2017</v>
      </c>
      <c r="B13" s="69"/>
      <c r="C13" s="70"/>
    </row>
    <row r="14" ht="15.95" customHeight="1" spans="1:7">
      <c r="A14" s="68">
        <v>2</v>
      </c>
      <c r="B14" s="69">
        <f>ROUND(2520522,0)</f>
        <v>2520522</v>
      </c>
      <c r="C14" s="71">
        <f>ROUND(12,1)</f>
        <v>12</v>
      </c>
    </row>
    <row r="15" ht="15.95" customHeight="1" spans="1:7">
      <c r="A15" s="68">
        <v>3</v>
      </c>
      <c r="B15" s="69">
        <f>ROUND(3755066,0)</f>
        <v>3755066</v>
      </c>
      <c r="C15" s="70">
        <f>ROUND(12.1,1)</f>
        <v>12.1</v>
      </c>
    </row>
    <row r="16" ht="15.95" customHeight="1" spans="1:7">
      <c r="A16" s="68">
        <v>4</v>
      </c>
      <c r="B16" s="69">
        <f>ROUND(4968495,0)</f>
        <v>4968495</v>
      </c>
      <c r="C16" s="70">
        <f>ROUND(11.8,1)</f>
        <v>11.8</v>
      </c>
    </row>
    <row r="17" ht="15.95" customHeight="1" spans="1:3">
      <c r="A17" s="68">
        <v>5</v>
      </c>
      <c r="B17" s="69">
        <f>ROUND(6247711,0)</f>
        <v>6247711</v>
      </c>
      <c r="C17" s="70">
        <f>ROUND(11.5,1)</f>
        <v>11.5</v>
      </c>
    </row>
    <row r="18" ht="15.95" customHeight="1" spans="1:3">
      <c r="A18" s="68">
        <v>6</v>
      </c>
      <c r="B18" s="69">
        <f>ROUND(7543984,0)</f>
        <v>7543984</v>
      </c>
      <c r="C18" s="70">
        <f>ROUND(11.1,1)</f>
        <v>11.1</v>
      </c>
    </row>
    <row r="19" ht="15.95" customHeight="1" spans="1:3">
      <c r="A19" s="68">
        <v>7</v>
      </c>
      <c r="B19" s="69">
        <f>ROUND(8865132,0)</f>
        <v>8865132</v>
      </c>
      <c r="C19" s="70">
        <f>ROUND(10.8,1)</f>
        <v>10.8</v>
      </c>
    </row>
    <row r="20" ht="15.95" customHeight="1" spans="1:3">
      <c r="A20" s="72">
        <v>8</v>
      </c>
      <c r="B20" s="73">
        <f>ROUND(10165674.4,0)</f>
        <v>10165674</v>
      </c>
      <c r="C20" s="74">
        <f>ROUND(10.2,1)</f>
        <v>10.2</v>
      </c>
    </row>
    <row r="21" spans="1:3">
      <c r="A21" s="68">
        <v>9</v>
      </c>
      <c r="B21" s="73">
        <f>ROUND(11558876.6,0)</f>
        <v>11558877</v>
      </c>
      <c r="C21" s="74">
        <f>ROUND(10.2,1)</f>
        <v>10.2</v>
      </c>
    </row>
    <row r="22" spans="1:3">
      <c r="A22" s="68">
        <v>10</v>
      </c>
      <c r="B22" s="73">
        <f>ROUND(12962204,0)</f>
        <v>12962204</v>
      </c>
      <c r="C22" s="74">
        <f>ROUND(10.2,1)</f>
        <v>10.2</v>
      </c>
    </row>
    <row r="23" spans="1:3">
      <c r="A23" s="68">
        <v>11</v>
      </c>
      <c r="B23" s="73">
        <f>ROUND(14339244.7,0)</f>
        <v>14339245</v>
      </c>
      <c r="C23" s="75">
        <f>ROUND(10.1873510322444,1)</f>
        <v>10.2</v>
      </c>
    </row>
    <row r="24" spans="1:3">
      <c r="A24" s="68">
        <v>12</v>
      </c>
      <c r="B24" s="73">
        <f>ROUND(15780801.9,0)</f>
        <v>15780802</v>
      </c>
      <c r="C24" s="75">
        <f>ROUND(10.1275297129633,1)</f>
        <v>10.1</v>
      </c>
    </row>
    <row r="25" spans="1:3">
      <c r="A25" s="15">
        <v>2018</v>
      </c>
      <c r="B25" s="16"/>
      <c r="C25" s="17"/>
    </row>
    <row r="26" spans="1:3">
      <c r="A26" s="15">
        <v>2</v>
      </c>
      <c r="B26" s="76">
        <f>ROUND(2761961.2,0)</f>
        <v>2761961</v>
      </c>
      <c r="C26" s="17">
        <f>ROUND(10.1,1)</f>
        <v>10.1</v>
      </c>
    </row>
    <row r="27" spans="1:3">
      <c r="A27" s="15">
        <v>3</v>
      </c>
      <c r="B27" s="76">
        <f>ROUND(4120562.9,0)</f>
        <v>4120563</v>
      </c>
      <c r="C27" s="17">
        <f>ROUND(10.1,1)</f>
        <v>10.1</v>
      </c>
    </row>
    <row r="28" spans="1:3">
      <c r="A28" s="15">
        <v>4</v>
      </c>
      <c r="B28" s="76">
        <f>ROUND(5462840,0)</f>
        <v>5462840</v>
      </c>
      <c r="C28" s="17">
        <f>ROUND(10.1,1)</f>
        <v>10.1</v>
      </c>
    </row>
    <row r="29" spans="1:3">
      <c r="A29" s="15">
        <v>5</v>
      </c>
      <c r="B29" s="76">
        <v>6829174</v>
      </c>
      <c r="C29" s="21">
        <v>10</v>
      </c>
    </row>
    <row r="30" spans="1:3">
      <c r="A30" s="22">
        <v>6</v>
      </c>
      <c r="B30" s="77">
        <v>8214416</v>
      </c>
      <c r="C30" s="78">
        <v>10</v>
      </c>
    </row>
  </sheetData>
  <mergeCells count="4">
    <mergeCell ref="A1:F1"/>
    <mergeCell ref="C2:F2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H32"/>
  <sheetViews>
    <sheetView workbookViewId="0">
      <selection activeCell="J35" sqref="J35"/>
    </sheetView>
  </sheetViews>
  <sheetFormatPr defaultColWidth="9" defaultRowHeight="14.25" outlineLevelCol="7"/>
  <cols>
    <col min="1" max="1" width="14.375" style="45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8">
      <c r="A1" s="3" t="s">
        <v>573</v>
      </c>
      <c r="B1" s="3"/>
      <c r="C1" s="3"/>
      <c r="D1" s="3"/>
      <c r="E1" s="3"/>
      <c r="F1" s="3"/>
      <c r="G1" s="46"/>
    </row>
    <row r="2" ht="20.25" customHeight="1" spans="1:8">
      <c r="A2" s="47"/>
      <c r="C2" s="48" t="s">
        <v>574</v>
      </c>
      <c r="D2" s="48"/>
      <c r="E2" s="48"/>
      <c r="F2" s="48"/>
      <c r="G2" s="48"/>
      <c r="H2" s="48"/>
    </row>
    <row r="3" s="44" customFormat="1" ht="31.5" customHeight="1" spans="1:8">
      <c r="A3" t="s">
        <v>541</v>
      </c>
      <c r="B3" t="s">
        <v>575</v>
      </c>
      <c r="C3"/>
      <c r="D3" s="49"/>
      <c r="E3" s="50"/>
      <c r="F3" s="51"/>
      <c r="G3" s="52"/>
    </row>
    <row r="4" s="44" customFormat="1" ht="31.5" customHeight="1" spans="1:8">
      <c r="A4"/>
      <c r="B4" s="7" t="s">
        <v>542</v>
      </c>
      <c r="C4" s="8" t="s">
        <v>543</v>
      </c>
      <c r="D4" s="53"/>
      <c r="E4" s="54"/>
      <c r="F4" s="55"/>
      <c r="G4" s="52"/>
    </row>
    <row r="5" ht="18" customHeight="1" spans="1:8">
      <c r="A5" s="9">
        <v>2016</v>
      </c>
      <c r="B5" s="28"/>
      <c r="C5" s="11"/>
      <c r="D5" s="56"/>
      <c r="E5" s="56"/>
      <c r="F5" s="56"/>
      <c r="H5" t="s">
        <v>576</v>
      </c>
    </row>
    <row r="6" ht="18" customHeight="1" spans="1:8">
      <c r="A6" s="9">
        <v>5</v>
      </c>
      <c r="B6" s="28">
        <f>ROUND(651964,0)</f>
        <v>651964</v>
      </c>
      <c r="C6" s="57">
        <f>ROUND(4.3,1)</f>
        <v>4.3</v>
      </c>
      <c r="D6" s="56"/>
      <c r="E6" s="56"/>
      <c r="F6" s="56"/>
    </row>
    <row r="7" ht="18" customHeight="1" spans="1:8">
      <c r="A7" s="9">
        <v>6</v>
      </c>
      <c r="B7" s="28">
        <f>ROUND(780476,0)</f>
        <v>780476</v>
      </c>
      <c r="C7" s="11">
        <f>ROUND(-3.8,1)</f>
        <v>-3.8</v>
      </c>
      <c r="D7" s="56"/>
      <c r="E7" s="56"/>
      <c r="F7" s="56"/>
    </row>
    <row r="8" ht="18" customHeight="1" spans="1:8">
      <c r="A8" s="9">
        <v>7</v>
      </c>
      <c r="B8" s="28">
        <f>ROUND(922333.1019,0)</f>
        <v>922333</v>
      </c>
      <c r="C8" s="11">
        <f>ROUND(-3.98796758100968,1)</f>
        <v>-4</v>
      </c>
      <c r="D8" s="56"/>
      <c r="E8" s="56"/>
      <c r="F8" s="56"/>
    </row>
    <row r="9" spans="1:8">
      <c r="A9" s="9">
        <v>8</v>
      </c>
      <c r="B9" s="28">
        <f>ROUND(1118014,0)</f>
        <v>1118014</v>
      </c>
      <c r="C9" s="11">
        <f>ROUND(2.07,1)</f>
        <v>2.1</v>
      </c>
    </row>
    <row r="10" spans="1:8">
      <c r="A10" s="9">
        <v>9</v>
      </c>
      <c r="B10" s="28">
        <f>ROUND(1355582.6735,0)</f>
        <v>1355583</v>
      </c>
      <c r="C10" s="11">
        <f>ROUND(10.8909650955423,1)</f>
        <v>10.9</v>
      </c>
    </row>
    <row r="11" spans="1:8">
      <c r="A11" s="9">
        <v>10</v>
      </c>
      <c r="B11" s="28">
        <f>ROUND(1530438,0)</f>
        <v>1530438</v>
      </c>
      <c r="C11" s="11">
        <f>ROUND(12,1)</f>
        <v>12</v>
      </c>
    </row>
    <row r="12" spans="1:8">
      <c r="A12" s="58">
        <v>11</v>
      </c>
      <c r="B12" s="28">
        <f>ROUND(1711506,0)</f>
        <v>1711506</v>
      </c>
      <c r="C12" s="11">
        <f>ROUND(14,1)</f>
        <v>14</v>
      </c>
    </row>
    <row r="13" spans="1:8">
      <c r="A13" s="58">
        <v>12</v>
      </c>
      <c r="B13" s="28">
        <f>ROUND(1947922,0)</f>
        <v>1947922</v>
      </c>
      <c r="C13" s="11">
        <f>ROUND(11.8,1)</f>
        <v>11.8</v>
      </c>
    </row>
    <row r="14" spans="1:8">
      <c r="A14" s="58">
        <v>2017</v>
      </c>
      <c r="B14" s="28"/>
      <c r="C14" s="11"/>
    </row>
    <row r="15" spans="1:8">
      <c r="A15" s="58">
        <v>1</v>
      </c>
      <c r="B15" s="28">
        <f>ROUND(181359,0)</f>
        <v>181359</v>
      </c>
      <c r="C15" s="11">
        <f>ROUND(-7.6,1)</f>
        <v>-7.6</v>
      </c>
    </row>
    <row r="16" spans="1:8">
      <c r="A16" s="58">
        <v>2</v>
      </c>
      <c r="B16" s="28">
        <f>ROUND(241658,0)</f>
        <v>241658</v>
      </c>
      <c r="C16" s="11">
        <f>ROUND(-11.38,1)</f>
        <v>-11.4</v>
      </c>
    </row>
    <row r="17" spans="1:3">
      <c r="A17" s="58">
        <v>3</v>
      </c>
      <c r="B17" s="28">
        <f>ROUND(415528,0)</f>
        <v>415528</v>
      </c>
      <c r="C17" s="11">
        <f>ROUND(13.9,1)</f>
        <v>13.9</v>
      </c>
    </row>
    <row r="18" spans="1:3">
      <c r="A18" s="58">
        <v>4</v>
      </c>
      <c r="B18" s="28">
        <f>ROUND(594563,0)</f>
        <v>594563</v>
      </c>
      <c r="C18" s="11">
        <f>ROUND(22.2,1)</f>
        <v>22.2</v>
      </c>
    </row>
    <row r="19" spans="1:3">
      <c r="A19" s="58">
        <v>5</v>
      </c>
      <c r="B19" s="28">
        <f>ROUND(815811,0)</f>
        <v>815811</v>
      </c>
      <c r="C19" s="11">
        <f>ROUND(28.7,1)</f>
        <v>28.7</v>
      </c>
    </row>
    <row r="20" spans="1:3">
      <c r="A20" s="58">
        <v>6</v>
      </c>
      <c r="B20" s="28">
        <f>ROUND(1006074,0)</f>
        <v>1006074</v>
      </c>
      <c r="C20" s="11">
        <f>ROUND(32,1)</f>
        <v>32</v>
      </c>
    </row>
    <row r="21" spans="1:3">
      <c r="A21" s="58">
        <v>7</v>
      </c>
      <c r="B21" s="41">
        <f>ROUND(1228741,0)</f>
        <v>1228741</v>
      </c>
      <c r="C21" s="14">
        <f>ROUND(35.9,1)</f>
        <v>35.9</v>
      </c>
    </row>
    <row r="22" spans="1:3">
      <c r="A22" s="58">
        <v>8</v>
      </c>
      <c r="B22" s="41">
        <v>1411285</v>
      </c>
      <c r="C22" s="14">
        <v>28.3</v>
      </c>
    </row>
    <row r="23" spans="1:3">
      <c r="A23" s="58">
        <v>9</v>
      </c>
      <c r="B23" s="41">
        <f>ROUND(1593063,0)</f>
        <v>1593063</v>
      </c>
      <c r="C23" s="14">
        <f>ROUND(19.1,1)</f>
        <v>19.1</v>
      </c>
    </row>
    <row r="24" spans="1:3">
      <c r="A24" s="58">
        <v>10</v>
      </c>
      <c r="B24" s="41">
        <f>ROUND(1750486,0)</f>
        <v>1750486</v>
      </c>
      <c r="C24" s="14">
        <f>ROUND(15.7303,1)</f>
        <v>15.7</v>
      </c>
    </row>
    <row r="25" spans="1:3">
      <c r="A25" s="58">
        <v>11</v>
      </c>
      <c r="B25" s="41">
        <f>ROUND(1923410,0)</f>
        <v>1923410</v>
      </c>
      <c r="C25" s="14">
        <f>ROUND(12.4106,1)</f>
        <v>12.4</v>
      </c>
    </row>
    <row r="26" spans="1:3">
      <c r="A26" s="58">
        <v>12</v>
      </c>
      <c r="B26" s="41">
        <f>ROUND(2170709.6623,0)</f>
        <v>2170710</v>
      </c>
      <c r="C26" s="14">
        <f>ROUND(11.4496,1)</f>
        <v>11.4</v>
      </c>
    </row>
    <row r="27" spans="1:3">
      <c r="A27" s="15">
        <v>2018</v>
      </c>
      <c r="B27" s="16"/>
      <c r="C27" s="17"/>
    </row>
    <row r="28" spans="1:3">
      <c r="A28" s="15">
        <v>1</v>
      </c>
      <c r="B28" s="41">
        <f>ROUND(245060.5487,0)</f>
        <v>245061</v>
      </c>
      <c r="C28" s="14">
        <f>ROUND(-9.2749,1)</f>
        <v>-9.3</v>
      </c>
    </row>
    <row r="29" spans="1:3">
      <c r="A29" s="15">
        <v>2</v>
      </c>
      <c r="B29" s="41">
        <f>ROUND(254273.584,0)</f>
        <v>254274</v>
      </c>
      <c r="C29" s="14">
        <f>ROUND(5.1148,1)</f>
        <v>5.1</v>
      </c>
    </row>
    <row r="30" spans="1:3">
      <c r="A30" s="15">
        <v>3</v>
      </c>
      <c r="B30" s="41">
        <f>ROUND(368490,0)</f>
        <v>368490</v>
      </c>
      <c r="C30" s="59">
        <f>ROUND(-11.4,1)</f>
        <v>-11.4</v>
      </c>
    </row>
    <row r="31" spans="1:3">
      <c r="A31" s="15">
        <v>4</v>
      </c>
      <c r="B31" s="41">
        <v>498314.2314</v>
      </c>
      <c r="C31" s="59">
        <v>-16.2432</v>
      </c>
    </row>
    <row r="32" spans="1:3">
      <c r="A32" s="22">
        <v>5</v>
      </c>
      <c r="B32" s="60">
        <v>696319</v>
      </c>
      <c r="C32" s="61">
        <v>-14.7</v>
      </c>
    </row>
  </sheetData>
  <mergeCells count="3">
    <mergeCell ref="A1:F1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1"/>
  <sheetViews>
    <sheetView topLeftCell="A7" workbookViewId="0">
      <selection activeCell="H36" sqref="H36"/>
    </sheetView>
  </sheetViews>
  <sheetFormatPr defaultColWidth="9" defaultRowHeight="14.25" outlineLevelCol="2"/>
  <cols>
    <col min="1" max="1" width="14.375" customWidth="1"/>
    <col min="2" max="2" width="26.875" customWidth="1"/>
    <col min="3" max="3" width="18.875" customWidth="1"/>
  </cols>
  <sheetData>
    <row r="1" ht="24" spans="1:3">
      <c r="A1" s="40" t="s">
        <v>577</v>
      </c>
      <c r="B1" s="40"/>
      <c r="C1" s="40"/>
    </row>
    <row r="2" ht="24.75" spans="1:3">
      <c r="A2" s="26"/>
      <c r="B2" s="26"/>
      <c r="C2" s="27" t="s">
        <v>571</v>
      </c>
    </row>
    <row r="3" ht="32.1" customHeight="1" spans="1:3">
      <c r="A3" t="s">
        <v>541</v>
      </c>
      <c r="B3" t="s">
        <v>16</v>
      </c>
    </row>
    <row r="4" ht="32.1" customHeight="1" spans="1:3">
      <c r="B4" s="7" t="s">
        <v>542</v>
      </c>
      <c r="C4" s="8" t="s">
        <v>543</v>
      </c>
    </row>
    <row r="5" ht="18" customHeight="1" spans="1:3">
      <c r="A5" s="9">
        <v>2016</v>
      </c>
      <c r="B5" s="28"/>
      <c r="C5" s="11"/>
    </row>
    <row r="6" ht="18" customHeight="1" spans="1:3">
      <c r="A6" s="9">
        <v>6</v>
      </c>
      <c r="B6" s="28">
        <f>ROUND(566175,0)</f>
        <v>566175</v>
      </c>
      <c r="C6" s="11">
        <f>ROUND(5,1)</f>
        <v>5</v>
      </c>
    </row>
    <row r="7" spans="1:3">
      <c r="A7" s="9">
        <v>7</v>
      </c>
      <c r="B7" s="28">
        <f>ROUND(663904,0)</f>
        <v>663904</v>
      </c>
      <c r="C7" s="11">
        <f>ROUND(7.7,1)</f>
        <v>7.7</v>
      </c>
    </row>
    <row r="8" spans="1:3">
      <c r="A8" s="9">
        <v>8</v>
      </c>
      <c r="B8" s="28">
        <f>ROUND(735390,0)</f>
        <v>735390</v>
      </c>
      <c r="C8" s="11">
        <f>ROUND(7.7,1)</f>
        <v>7.7</v>
      </c>
    </row>
    <row r="9" spans="1:3">
      <c r="A9" s="9">
        <v>9</v>
      </c>
      <c r="B9" s="28">
        <f>ROUND(815736,0)</f>
        <v>815736</v>
      </c>
      <c r="C9" s="30">
        <f>ROUND(7.2,1)</f>
        <v>7.2</v>
      </c>
    </row>
    <row r="10" spans="1:3">
      <c r="A10" s="9">
        <v>10</v>
      </c>
      <c r="B10" s="28">
        <f>ROUND(894414,0)</f>
        <v>894414</v>
      </c>
      <c r="C10" s="30">
        <f>ROUND(7.36088408731323,1)</f>
        <v>7.4</v>
      </c>
    </row>
    <row r="11" spans="1:3">
      <c r="A11" s="9">
        <v>11</v>
      </c>
      <c r="B11" s="28">
        <f>ROUND(966337,0)</f>
        <v>966337</v>
      </c>
      <c r="C11" s="31">
        <f>ROUND(3.8,1)</f>
        <v>3.8</v>
      </c>
    </row>
    <row r="12" spans="1:3">
      <c r="A12" s="9">
        <v>12</v>
      </c>
      <c r="B12" s="28">
        <f>ROUND(1129375,0)</f>
        <v>1129375</v>
      </c>
      <c r="C12" s="31">
        <f>ROUND(-4.8,1)</f>
        <v>-4.8</v>
      </c>
    </row>
    <row r="13" spans="1:3">
      <c r="A13" s="9">
        <v>2017</v>
      </c>
      <c r="B13" s="28"/>
      <c r="C13" s="31"/>
    </row>
    <row r="14" spans="1:3">
      <c r="A14" s="9">
        <v>2</v>
      </c>
      <c r="B14" s="28">
        <f>ROUND(168865,0)</f>
        <v>168865</v>
      </c>
      <c r="C14" s="31">
        <f>ROUND(21.3,1)</f>
        <v>21.3</v>
      </c>
    </row>
    <row r="15" spans="1:3">
      <c r="A15" s="9">
        <v>3</v>
      </c>
      <c r="B15" s="28">
        <f>ROUND(248142,0)</f>
        <v>248142</v>
      </c>
      <c r="C15" s="31">
        <f>ROUND(15.8466028595928,1)</f>
        <v>15.8</v>
      </c>
    </row>
    <row r="16" spans="1:3">
      <c r="A16" s="9">
        <v>4</v>
      </c>
      <c r="B16" s="28">
        <f>ROUND(325815,0)</f>
        <v>325815</v>
      </c>
      <c r="C16" s="31">
        <v>7.38333558548909</v>
      </c>
    </row>
    <row r="17" spans="1:3">
      <c r="A17" s="9">
        <v>5</v>
      </c>
      <c r="B17" s="28">
        <f>ROUND(401635,0)</f>
        <v>401635</v>
      </c>
      <c r="C17" s="31">
        <f>ROUND(2.1,1)</f>
        <v>2.1</v>
      </c>
    </row>
    <row r="18" spans="1:3">
      <c r="A18" s="9">
        <v>6</v>
      </c>
      <c r="B18" s="28">
        <f>ROUND(583819,0)</f>
        <v>583819</v>
      </c>
      <c r="C18" s="31">
        <f>ROUND(6.8,1)</f>
        <v>6.8</v>
      </c>
    </row>
    <row r="19" spans="1:3">
      <c r="A19" s="9">
        <v>7</v>
      </c>
      <c r="B19" s="28">
        <f>ROUND(672492,0)</f>
        <v>672492</v>
      </c>
      <c r="C19" s="31">
        <f>ROUND(4.4,1)</f>
        <v>4.4</v>
      </c>
    </row>
    <row r="20" spans="1:3">
      <c r="A20" s="32">
        <v>8</v>
      </c>
      <c r="B20" s="28">
        <f>ROUND(745911,0)</f>
        <v>745911</v>
      </c>
      <c r="C20" s="33">
        <f>ROUND(4.2,1)</f>
        <v>4.2</v>
      </c>
    </row>
    <row r="21" spans="1:3">
      <c r="A21" s="32">
        <v>9</v>
      </c>
      <c r="B21" s="28">
        <f>ROUND(869421,0)</f>
        <v>869421</v>
      </c>
      <c r="C21" s="33">
        <f>ROUND(9.22031343236707,1)</f>
        <v>9.2</v>
      </c>
    </row>
    <row r="22" spans="1:3">
      <c r="A22" s="15">
        <v>10</v>
      </c>
      <c r="B22" s="41">
        <f>ROUND(1196191,0)</f>
        <v>1196191</v>
      </c>
      <c r="C22" s="17">
        <f>ROUND(36.8,1)</f>
        <v>36.8</v>
      </c>
    </row>
    <row r="23" spans="1:3">
      <c r="A23" s="15">
        <v>11</v>
      </c>
      <c r="B23" s="41">
        <f>ROUND(1260850,0)</f>
        <v>1260850</v>
      </c>
      <c r="C23" s="35">
        <f>ROUND(32.3884093336007,1)</f>
        <v>32.4</v>
      </c>
    </row>
    <row r="24" spans="1:3">
      <c r="A24" s="15">
        <v>12</v>
      </c>
      <c r="B24" s="41">
        <f>ROUND(1349958,0)</f>
        <v>1349958</v>
      </c>
      <c r="C24" s="35">
        <f>ROUND(21.0263352533788,1)</f>
        <v>21</v>
      </c>
    </row>
    <row r="25" spans="1:3">
      <c r="A25" s="15">
        <v>2018</v>
      </c>
      <c r="B25" s="16"/>
      <c r="C25" s="17"/>
    </row>
    <row r="26" spans="1:3">
      <c r="A26" s="15">
        <v>1</v>
      </c>
      <c r="B26" s="16">
        <f>ROUND(131471,0)</f>
        <v>131471</v>
      </c>
      <c r="C26" s="35">
        <f>ROUND(33.4500644558807,1)</f>
        <v>33.5</v>
      </c>
    </row>
    <row r="27" spans="1:3">
      <c r="A27" s="15">
        <v>2</v>
      </c>
      <c r="B27" s="16">
        <f>ROUND(222479,0)</f>
        <v>222479</v>
      </c>
      <c r="C27" s="35">
        <f>ROUND(31.7496224794955,1)</f>
        <v>31.7</v>
      </c>
    </row>
    <row r="28" spans="1:3">
      <c r="A28" s="15">
        <v>3</v>
      </c>
      <c r="B28" s="16">
        <f>ROUND(302572,0)</f>
        <v>302572</v>
      </c>
      <c r="C28" s="35">
        <f>ROUND(21.9350210766416,1)</f>
        <v>21.9</v>
      </c>
    </row>
    <row r="29" spans="1:3">
      <c r="A29" s="15">
        <v>4</v>
      </c>
      <c r="B29" s="42">
        <f>ROUND(403634,0)</f>
        <v>403634</v>
      </c>
      <c r="C29" s="21">
        <f>ROUND(23.9,1)</f>
        <v>23.9</v>
      </c>
    </row>
    <row r="30" spans="1:3">
      <c r="A30" s="15">
        <v>5</v>
      </c>
      <c r="B30" s="42">
        <v>499011</v>
      </c>
      <c r="C30" s="21">
        <v>24.2448989754379</v>
      </c>
    </row>
    <row r="31" spans="1:3">
      <c r="A31" s="22">
        <v>6</v>
      </c>
      <c r="B31" s="43">
        <v>647923</v>
      </c>
      <c r="C31" s="24">
        <v>11</v>
      </c>
    </row>
  </sheetData>
  <mergeCells count="3">
    <mergeCell ref="A1:C1"/>
    <mergeCell ref="B3:C3"/>
    <mergeCell ref="A3:A4"/>
  </mergeCells>
  <printOptions horizontalCentered="1"/>
  <pageMargins left="0.75" right="0.75" top="0.979166666666667" bottom="0.979166666666667" header="0.509027777777778" footer="0.509027777777778"/>
  <pageSetup paperSize="9" orientation="portrait"/>
  <headerFooter alignWithMargins="0" scaleWithDoc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0"/>
  <sheetViews>
    <sheetView workbookViewId="0">
      <selection activeCell="F12" sqref="F12"/>
    </sheetView>
  </sheetViews>
  <sheetFormatPr defaultColWidth="9" defaultRowHeight="14.25" outlineLevelCol="2"/>
  <cols>
    <col min="1" max="1" width="14.375" customWidth="1"/>
    <col min="2" max="2" width="26.875" customWidth="1"/>
    <col min="3" max="3" width="18.875" customWidth="1"/>
  </cols>
  <sheetData>
    <row r="1" ht="24" spans="1:3">
      <c r="A1" s="25" t="s">
        <v>578</v>
      </c>
      <c r="B1" s="25"/>
      <c r="C1" s="25"/>
    </row>
    <row r="2" ht="24.75" spans="1:3">
      <c r="A2" s="26"/>
      <c r="B2" s="26"/>
      <c r="C2" s="27" t="s">
        <v>579</v>
      </c>
    </row>
    <row r="3" ht="32.1" customHeight="1" spans="1:3">
      <c r="A3" t="s">
        <v>541</v>
      </c>
      <c r="B3" t="s">
        <v>568</v>
      </c>
    </row>
    <row r="4" ht="32.1" customHeight="1" spans="1:3">
      <c r="B4" s="7" t="s">
        <v>542</v>
      </c>
      <c r="C4" s="8" t="s">
        <v>543</v>
      </c>
    </row>
    <row r="5" ht="18" customHeight="1" spans="1:3">
      <c r="A5" s="9">
        <v>2016</v>
      </c>
      <c r="B5" s="28"/>
      <c r="C5" s="11"/>
    </row>
    <row r="6" ht="18" customHeight="1" spans="1:3">
      <c r="A6" s="9">
        <v>6</v>
      </c>
      <c r="B6" s="29">
        <f>ROUND(38.78,2)</f>
        <v>38.78</v>
      </c>
      <c r="C6" s="11">
        <f>ROUND(31.4,1)</f>
        <v>31.4</v>
      </c>
    </row>
    <row r="7" spans="1:3">
      <c r="A7" s="9">
        <v>7</v>
      </c>
      <c r="B7" s="29">
        <f>ROUND(49.38,2)</f>
        <v>49.38</v>
      </c>
      <c r="C7" s="11">
        <f>ROUND(44.3,1)</f>
        <v>44.3</v>
      </c>
    </row>
    <row r="8" spans="1:3">
      <c r="A8" s="9">
        <v>8</v>
      </c>
      <c r="B8" s="29">
        <f>ROUND(56,2)</f>
        <v>56</v>
      </c>
      <c r="C8" s="11">
        <f>ROUND(41.9,1)</f>
        <v>41.9</v>
      </c>
    </row>
    <row r="9" spans="1:3">
      <c r="A9" s="9">
        <v>9</v>
      </c>
      <c r="B9" s="29">
        <f>ROUND(64.1,2)</f>
        <v>64.1</v>
      </c>
      <c r="C9" s="30">
        <f>ROUND(44.1,1)</f>
        <v>44.1</v>
      </c>
    </row>
    <row r="10" spans="1:3">
      <c r="A10" s="9">
        <v>10</v>
      </c>
      <c r="B10" s="29">
        <f>ROUND(72.32,2)</f>
        <v>72.32</v>
      </c>
      <c r="C10" s="30">
        <f>ROUND(47.3,1)</f>
        <v>47.3</v>
      </c>
    </row>
    <row r="11" spans="1:3">
      <c r="A11" s="9">
        <v>11</v>
      </c>
      <c r="B11" s="29">
        <f>ROUND(80.75,2)</f>
        <v>80.75</v>
      </c>
      <c r="C11" s="31">
        <f>ROUND(52,1)</f>
        <v>52</v>
      </c>
    </row>
    <row r="12" spans="1:3">
      <c r="A12" s="9">
        <v>12</v>
      </c>
      <c r="B12" s="29">
        <f>ROUND(89.4,2)</f>
        <v>89.4</v>
      </c>
      <c r="C12" s="31">
        <f>ROUND(52.9,1)</f>
        <v>52.9</v>
      </c>
    </row>
    <row r="13" spans="1:3">
      <c r="A13" s="9">
        <v>2017</v>
      </c>
      <c r="B13" s="29"/>
      <c r="C13" s="31"/>
    </row>
    <row r="14" spans="1:3">
      <c r="A14" s="9">
        <v>2</v>
      </c>
      <c r="B14" s="29">
        <f>ROUND(19.95,2)</f>
        <v>19.95</v>
      </c>
      <c r="C14" s="31">
        <f>ROUND(49.7,1)</f>
        <v>49.7</v>
      </c>
    </row>
    <row r="15" spans="1:3">
      <c r="A15" s="9">
        <v>3</v>
      </c>
      <c r="B15" s="29">
        <f>ROUND(25.02,2)</f>
        <v>25.02</v>
      </c>
      <c r="C15" s="31">
        <f>ROUND(66.7,1)</f>
        <v>66.7</v>
      </c>
    </row>
    <row r="16" spans="1:3">
      <c r="A16" s="9">
        <v>4</v>
      </c>
      <c r="B16" s="29">
        <f>ROUND(34.86,2)</f>
        <v>34.86</v>
      </c>
      <c r="C16" s="31">
        <f>ROUND(55.8,1)</f>
        <v>55.8</v>
      </c>
    </row>
    <row r="17" spans="1:3">
      <c r="A17" s="9">
        <v>5</v>
      </c>
      <c r="B17" s="29">
        <f>ROUND(44.18,2)</f>
        <v>44.18</v>
      </c>
      <c r="C17" s="31">
        <f>ROUND(47.1,1)</f>
        <v>47.1</v>
      </c>
    </row>
    <row r="18" spans="1:3">
      <c r="A18" s="9">
        <v>6</v>
      </c>
      <c r="B18" s="29">
        <f>ROUND(54.94,2)</f>
        <v>54.94</v>
      </c>
      <c r="C18" s="31">
        <f>ROUND(41.7,1)</f>
        <v>41.7</v>
      </c>
    </row>
    <row r="19" spans="1:3">
      <c r="A19" s="9">
        <v>7</v>
      </c>
      <c r="B19" s="29">
        <f>ROUND(64.67,2)</f>
        <v>64.67</v>
      </c>
      <c r="C19" s="31">
        <f>ROUND(35.8,1)</f>
        <v>35.8</v>
      </c>
    </row>
    <row r="20" spans="1:3">
      <c r="A20" s="32">
        <v>8</v>
      </c>
      <c r="B20" s="29">
        <f>ROUND(75.46,2)</f>
        <v>75.46</v>
      </c>
      <c r="C20" s="33">
        <f>ROUND(34.8,1)</f>
        <v>34.8</v>
      </c>
    </row>
    <row r="21" spans="1:3">
      <c r="A21" s="32">
        <v>9</v>
      </c>
      <c r="B21" s="29">
        <f>ROUND(85.67,2)</f>
        <v>85.67</v>
      </c>
      <c r="C21" s="33">
        <f>ROUND(33.7,1)</f>
        <v>33.7</v>
      </c>
    </row>
    <row r="22" spans="1:3">
      <c r="A22" s="15">
        <v>10</v>
      </c>
      <c r="B22" s="34">
        <f>ROUND(93.88,2)</f>
        <v>93.88</v>
      </c>
      <c r="C22" s="17">
        <f>ROUND(29.8,1)</f>
        <v>29.8</v>
      </c>
    </row>
    <row r="23" spans="1:3">
      <c r="A23" s="15">
        <v>11</v>
      </c>
      <c r="B23" s="34">
        <f>ROUND(102.83,2)</f>
        <v>102.83</v>
      </c>
      <c r="C23" s="35">
        <f>ROUND(27.4,1)</f>
        <v>27.4</v>
      </c>
    </row>
    <row r="24" spans="1:3">
      <c r="A24" s="15">
        <v>12</v>
      </c>
      <c r="B24" s="34">
        <f>ROUND(112.45,2)</f>
        <v>112.45</v>
      </c>
      <c r="C24" s="35">
        <f>ROUND(25.8,1)</f>
        <v>25.8</v>
      </c>
    </row>
    <row r="25" spans="1:3">
      <c r="A25" s="15">
        <v>2018</v>
      </c>
      <c r="B25" s="36"/>
      <c r="C25" s="17"/>
    </row>
    <row r="26" spans="1:3">
      <c r="A26" s="15">
        <v>2</v>
      </c>
      <c r="B26" s="36">
        <f>ROUND(17.26707351,2)</f>
        <v>17.27</v>
      </c>
      <c r="C26" s="35">
        <f>ROUND(6.31,1)</f>
        <v>6.3</v>
      </c>
    </row>
    <row r="27" spans="1:3">
      <c r="A27" s="15">
        <v>3</v>
      </c>
      <c r="B27" s="36">
        <f>ROUND(26.96,2)</f>
        <v>26.96</v>
      </c>
      <c r="C27" s="35">
        <f>ROUND(6.1,1)</f>
        <v>6.1</v>
      </c>
    </row>
    <row r="28" spans="1:3">
      <c r="A28" s="15">
        <v>4</v>
      </c>
      <c r="B28" s="29">
        <f>ROUND(374489.7976/10000,2)</f>
        <v>37.45</v>
      </c>
      <c r="C28" s="37">
        <f>ROUND(5.86,1)</f>
        <v>5.9</v>
      </c>
    </row>
    <row r="29" spans="1:3">
      <c r="A29" s="15">
        <v>5</v>
      </c>
      <c r="B29" s="29">
        <v>48.08</v>
      </c>
      <c r="C29" s="37">
        <v>9.1</v>
      </c>
    </row>
    <row r="30" spans="1:3">
      <c r="A30" s="22">
        <v>6</v>
      </c>
      <c r="B30" s="38">
        <v>58.99</v>
      </c>
      <c r="C30" s="39">
        <v>8.9</v>
      </c>
    </row>
  </sheetData>
  <mergeCells count="3">
    <mergeCell ref="A1:C1"/>
    <mergeCell ref="B3:C3"/>
    <mergeCell ref="A3:A4"/>
  </mergeCells>
  <printOptions horizontalCentered="1"/>
  <pageMargins left="0.75" right="0.75" top="0.979166666666667" bottom="0.979166666666667" header="0.509027777777778" footer="0.509027777777778"/>
  <pageSetup paperSize="9" orientation="portrait"/>
  <headerFooter alignWithMargins="0" scaleWithDoc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V31"/>
  <sheetViews>
    <sheetView topLeftCell="A10" workbookViewId="0">
      <selection activeCell="J41" sqref="J41"/>
    </sheetView>
  </sheetViews>
  <sheetFormatPr defaultColWidth="9" defaultRowHeight="12.75"/>
  <cols>
    <col min="1" max="1" width="14.125" style="2" customWidth="1"/>
    <col min="2" max="2" width="21.375" style="2" customWidth="1"/>
    <col min="3" max="3" width="17.375" style="2" customWidth="1"/>
    <col min="4" max="16384" width="9" style="2"/>
  </cols>
  <sheetData>
    <row r="1" ht="24" customHeight="1" spans="1:256">
      <c r="A1" s="3" t="s">
        <v>27</v>
      </c>
      <c r="B1" s="3"/>
      <c r="C1" s="3"/>
    </row>
    <row r="2" ht="24" customHeight="1" spans="1:256">
      <c r="A2" s="4"/>
      <c r="B2" s="5"/>
      <c r="C2" s="6" t="s">
        <v>580</v>
      </c>
    </row>
    <row r="3" s="1" customFormat="1" ht="32.25" customHeight="1" spans="1:256">
      <c r="A3" t="s">
        <v>541</v>
      </c>
      <c r="B3" t="s">
        <v>27</v>
      </c>
      <c r="C3"/>
    </row>
    <row r="4" s="1" customFormat="1" ht="32.25" customHeight="1" spans="1:256">
      <c r="A4">
        <v>2009</v>
      </c>
      <c r="B4" s="7" t="s">
        <v>581</v>
      </c>
      <c r="C4" s="8" t="s">
        <v>582</v>
      </c>
    </row>
    <row r="5" s="1" customFormat="1" ht="20.1" customHeight="1" spans="1:256">
      <c r="A5" s="9">
        <v>2016</v>
      </c>
      <c r="B5" s="10"/>
      <c r="C5" s="11"/>
    </row>
    <row r="6" s="1" customFormat="1" ht="20.1" customHeight="1" spans="1:256">
      <c r="A6" s="9">
        <v>6</v>
      </c>
      <c r="B6" s="10">
        <f>ROUND(102.3,1)</f>
        <v>102.3</v>
      </c>
      <c r="C6" s="11">
        <f>ROUND(102.7,1)</f>
        <v>102.7</v>
      </c>
    </row>
    <row r="7" s="1" customFormat="1" ht="20.1" customHeight="1" spans="1:256">
      <c r="A7" s="9">
        <v>7</v>
      </c>
      <c r="B7" s="10">
        <f>ROUND(102.1,1)</f>
        <v>102.1</v>
      </c>
      <c r="C7" s="11">
        <f>ROUND(102.6,1)</f>
        <v>102.6</v>
      </c>
    </row>
    <row r="8" s="1" customFormat="1" ht="20.1" customHeight="1" spans="1:256">
      <c r="A8" s="9">
        <v>8</v>
      </c>
      <c r="B8" s="10">
        <f>ROUND(101.4,1)</f>
        <v>101.4</v>
      </c>
      <c r="C8" s="11">
        <f>ROUND(102.5,1)</f>
        <v>102.5</v>
      </c>
    </row>
    <row r="9" s="1" customFormat="1" ht="14.45" customHeight="1" spans="1:256">
      <c r="A9" s="9">
        <v>9</v>
      </c>
      <c r="B9" s="10">
        <f>ROUND(101.82067344,1)</f>
        <v>101.8</v>
      </c>
      <c r="C9" s="11">
        <f>ROUND(102.40761463,1)</f>
        <v>102.4</v>
      </c>
    </row>
    <row r="10" s="1" customFormat="1" ht="14.45" customHeight="1" spans="1:256">
      <c r="A10" s="9">
        <v>10</v>
      </c>
      <c r="B10" s="10">
        <f>ROUND(101.32746357,1)</f>
        <v>101.3</v>
      </c>
      <c r="C10" s="11">
        <f>ROUND(102.29864677,1)</f>
        <v>102.3</v>
      </c>
    </row>
    <row r="11" s="1" customFormat="1" ht="14.45" customHeight="1" spans="1:256">
      <c r="A11" s="9">
        <v>11</v>
      </c>
      <c r="B11" s="10">
        <f>ROUND(102.2,1)</f>
        <v>102.2</v>
      </c>
      <c r="C11" s="11">
        <f>ROUND(102.29864677,1)</f>
        <v>102.3</v>
      </c>
    </row>
    <row r="12" ht="14.25" spans="1:256">
      <c r="A12" s="12">
        <v>12</v>
      </c>
      <c r="B12" s="10">
        <f>ROUND(101.4,1)</f>
        <v>101.4</v>
      </c>
      <c r="C12" s="11">
        <f>ROUND(102.2,1)</f>
        <v>102.2</v>
      </c>
    </row>
    <row r="13" ht="14.25" spans="1:256">
      <c r="A13" s="12">
        <v>2017</v>
      </c>
      <c r="B13" s="10"/>
      <c r="C13" s="11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ht="14.25" spans="1:256">
      <c r="A14" s="12">
        <v>2</v>
      </c>
      <c r="B14" s="10">
        <f>ROUND(99.8,1)</f>
        <v>99.8</v>
      </c>
      <c r="C14" s="11">
        <f>ROUND(101.1,1)</f>
        <v>101.1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ht="14.25" spans="1:256">
      <c r="A15" s="12">
        <v>3</v>
      </c>
      <c r="B15" s="10">
        <f>ROUND(100.57911031,1)</f>
        <v>100.6</v>
      </c>
      <c r="C15" s="11">
        <f>ROUND(100.95612843,1)</f>
        <v>101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ht="14.25" spans="1:256">
      <c r="A16" s="12">
        <v>4</v>
      </c>
      <c r="B16" s="10">
        <f>ROUND(101,1)</f>
        <v>101</v>
      </c>
      <c r="C16" s="11">
        <f>ROUND(100.95612843,1)</f>
        <v>101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ht="14.25" spans="1:256">
      <c r="A17" s="12">
        <v>5</v>
      </c>
      <c r="B17" s="10">
        <f>ROUND(101.5,1)</f>
        <v>101.5</v>
      </c>
      <c r="C17" s="11">
        <f>ROUND(101.1,1)</f>
        <v>101.1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ht="14.25" spans="1:256">
      <c r="A18" s="12">
        <v>6</v>
      </c>
      <c r="B18" s="10">
        <f>ROUND(101.1,1)</f>
        <v>101.1</v>
      </c>
      <c r="C18" s="11">
        <f>ROUND(101.1,1)</f>
        <v>101.1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ht="14.25" spans="1:256">
      <c r="A19" s="12">
        <v>7</v>
      </c>
      <c r="B19" s="10">
        <f>ROUND(101.62395255,1)</f>
        <v>101.6</v>
      </c>
      <c r="C19" s="11">
        <f>ROUND(101.16440126,1)</f>
        <v>101.2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ht="14.25" spans="1:256">
      <c r="A20" s="13">
        <v>8</v>
      </c>
      <c r="B20" s="10">
        <f>ROUND(101.91687646,1)</f>
        <v>101.9</v>
      </c>
      <c r="C20" s="14">
        <f>ROUND(101.25801138,1)</f>
        <v>101.3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ht="14.25" spans="1:256">
      <c r="A21" s="12">
        <v>9</v>
      </c>
      <c r="B21" s="10">
        <f>ROUND(101.03765598,1)</f>
        <v>101</v>
      </c>
      <c r="C21" s="14">
        <f>ROUND(101.23346012,1)</f>
        <v>101.2</v>
      </c>
    </row>
    <row r="22" ht="14.25" spans="1:256">
      <c r="A22" s="12">
        <v>10</v>
      </c>
      <c r="B22" s="10">
        <f>ROUND(101.8,1)</f>
        <v>101.8</v>
      </c>
      <c r="C22" s="14">
        <f>ROUND(101.3,1)</f>
        <v>101.3</v>
      </c>
    </row>
    <row r="23" ht="14.25" spans="1:256">
      <c r="A23" s="12">
        <v>11</v>
      </c>
      <c r="B23" s="10">
        <f>ROUND(101.32934401,1)</f>
        <v>101.3</v>
      </c>
      <c r="C23" s="14">
        <f>ROUND(101.29138171,1)</f>
        <v>101.3</v>
      </c>
    </row>
    <row r="24" ht="14.25" spans="1:256">
      <c r="A24" s="12">
        <v>12</v>
      </c>
      <c r="B24" s="10">
        <f>ROUND(101.93633331,1)</f>
        <v>101.9</v>
      </c>
      <c r="C24" s="14">
        <f>ROUND(101.34501843,1)</f>
        <v>101.3</v>
      </c>
    </row>
    <row r="25" ht="14.25" spans="1:256">
      <c r="A25" s="15">
        <v>2018</v>
      </c>
      <c r="B25" s="16"/>
      <c r="C25" s="17"/>
    </row>
    <row r="26" ht="14.25" spans="1:256">
      <c r="A26" s="15">
        <v>1</v>
      </c>
      <c r="B26" s="10">
        <f>ROUND(100.4833835,1)</f>
        <v>100.5</v>
      </c>
      <c r="C26" s="14">
        <f>ROUND(100.4833835,1)</f>
        <v>100.5</v>
      </c>
    </row>
    <row r="27" ht="14.25" spans="1:256">
      <c r="A27" s="15">
        <v>2</v>
      </c>
      <c r="B27" s="18">
        <f>ROUND(102.58323309,1)</f>
        <v>102.6</v>
      </c>
      <c r="C27" s="19">
        <f>ROUND(101.53370061,1)</f>
        <v>101.5</v>
      </c>
    </row>
    <row r="28" ht="14.25" spans="1:256">
      <c r="A28" s="15">
        <v>3</v>
      </c>
      <c r="B28" s="10">
        <f>ROUND(101.8,1)</f>
        <v>101.8</v>
      </c>
      <c r="C28" s="19">
        <f>ROUND(101.6,1)</f>
        <v>101.6</v>
      </c>
    </row>
    <row r="29" ht="14.25" spans="1:256">
      <c r="A29" s="15">
        <v>4</v>
      </c>
      <c r="B29" s="20">
        <f>ROUND(101,1)</f>
        <v>101</v>
      </c>
      <c r="C29" s="21">
        <f>ROUND(101.45789835,1)</f>
        <v>101.5</v>
      </c>
    </row>
    <row r="30" customFormat="1" ht="14.25" spans="1:256">
      <c r="A30" s="15">
        <v>5</v>
      </c>
      <c r="B30" s="20">
        <v>100.63043043</v>
      </c>
      <c r="C30" s="21">
        <v>101.29245659</v>
      </c>
    </row>
    <row r="31" ht="14.25" spans="1:256">
      <c r="A31" s="22">
        <v>6</v>
      </c>
      <c r="B31" s="23">
        <v>101.2</v>
      </c>
      <c r="C31" s="24">
        <v>101.27416779</v>
      </c>
    </row>
  </sheetData>
  <mergeCells count="3">
    <mergeCell ref="A1:C1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H255"/>
  <sheetViews>
    <sheetView workbookViewId="0">
      <selection activeCell="G8" sqref="G8"/>
    </sheetView>
  </sheetViews>
  <sheetFormatPr defaultColWidth="9" defaultRowHeight="14.25" outlineLevelCol="7"/>
  <cols>
    <col min="1" max="1" width="28.625" style="445" customWidth="1"/>
    <col min="2" max="2" width="12" style="445" customWidth="1"/>
    <col min="3" max="3" width="10.625" style="445" customWidth="1"/>
    <col min="4" max="4" width="12.125" style="445" customWidth="1"/>
    <col min="5" max="5" width="11.5" style="445" customWidth="1"/>
    <col min="6" max="6" width="9" style="445"/>
    <col min="7" max="7" width="10.5" style="445" customWidth="1"/>
    <col min="8" max="8" width="9.75" style="445" customWidth="1"/>
    <col min="9" max="9" width="11.75" style="445" customWidth="1"/>
    <col min="10" max="16384" width="9" style="445"/>
  </cols>
  <sheetData>
    <row r="1" s="196" customFormat="1" ht="28.5" customHeight="1" spans="1:8">
      <c r="A1" s="447" t="s">
        <v>97</v>
      </c>
      <c r="B1" s="448"/>
      <c r="C1" s="448"/>
      <c r="D1" s="603"/>
      <c r="E1" s="603"/>
    </row>
    <row r="2" s="196" customFormat="1" ht="19.5" customHeight="1" spans="1:8">
      <c r="A2" s="570"/>
      <c r="B2" s="570"/>
      <c r="C2" s="570"/>
      <c r="D2" s="571" t="s">
        <v>35</v>
      </c>
      <c r="E2" s="572"/>
    </row>
    <row r="3" s="196" customFormat="1" ht="35.25" customHeight="1" spans="1:8">
      <c r="A3" s="573" t="s">
        <v>36</v>
      </c>
      <c r="B3" s="604">
        <v>43435</v>
      </c>
      <c r="C3" s="605" t="s">
        <v>75</v>
      </c>
      <c r="D3" s="451" t="s">
        <v>3</v>
      </c>
      <c r="E3" s="605" t="s">
        <v>75</v>
      </c>
      <c r="H3" s="577"/>
    </row>
    <row r="4" s="196" customFormat="1" ht="24.95" customHeight="1" spans="1:8">
      <c r="A4" s="452" t="s">
        <v>98</v>
      </c>
      <c r="B4" s="606">
        <v>74.3532</v>
      </c>
      <c r="C4" s="607">
        <v>6.2</v>
      </c>
      <c r="D4" s="606">
        <v>769.9671</v>
      </c>
      <c r="E4" s="455">
        <v>5</v>
      </c>
      <c r="H4" s="608"/>
    </row>
    <row r="5" s="196" customFormat="1" ht="24.95" customHeight="1" spans="1:8">
      <c r="A5" s="452" t="s">
        <v>77</v>
      </c>
      <c r="B5" s="609">
        <v>26.4908</v>
      </c>
      <c r="C5" s="549">
        <v>-2.8</v>
      </c>
      <c r="D5" s="609">
        <v>236.7794</v>
      </c>
      <c r="E5" s="395">
        <v>8.1</v>
      </c>
      <c r="H5" s="608"/>
    </row>
    <row r="6" s="196" customFormat="1" ht="24.95" customHeight="1" spans="1:8">
      <c r="A6" s="464" t="s">
        <v>78</v>
      </c>
      <c r="B6" s="609">
        <v>47.8624</v>
      </c>
      <c r="C6" s="549">
        <v>12.4</v>
      </c>
      <c r="D6" s="609">
        <v>533.1877</v>
      </c>
      <c r="E6" s="395">
        <v>3.5</v>
      </c>
      <c r="H6" s="608"/>
    </row>
    <row r="7" s="196" customFormat="1" ht="24.95" customHeight="1" spans="1:8">
      <c r="A7" s="464" t="s">
        <v>79</v>
      </c>
      <c r="B7" s="609">
        <v>0.6596</v>
      </c>
      <c r="C7" s="549">
        <v>54.4</v>
      </c>
      <c r="D7" s="609">
        <v>5.8093</v>
      </c>
      <c r="E7" s="395">
        <v>7.3</v>
      </c>
      <c r="H7" s="608"/>
    </row>
    <row r="8" s="196" customFormat="1" ht="24.95" customHeight="1" spans="1:8">
      <c r="A8" s="464" t="s">
        <v>80</v>
      </c>
      <c r="B8" s="609">
        <v>0.0213</v>
      </c>
      <c r="C8" s="549">
        <v>-60.6</v>
      </c>
      <c r="D8" s="609">
        <v>0.2941</v>
      </c>
      <c r="E8" s="395">
        <v>-26.3</v>
      </c>
      <c r="H8" s="608"/>
    </row>
    <row r="9" s="196" customFormat="1" ht="24.95" customHeight="1" spans="1:8">
      <c r="A9" s="464" t="s">
        <v>81</v>
      </c>
      <c r="B9" s="609">
        <v>0</v>
      </c>
      <c r="C9" s="550">
        <v>0</v>
      </c>
      <c r="D9" s="609">
        <v>0</v>
      </c>
      <c r="E9" s="395">
        <v>0</v>
      </c>
      <c r="H9" s="608"/>
    </row>
    <row r="10" s="196" customFormat="1" ht="24.95" customHeight="1" spans="1:8">
      <c r="A10" s="464" t="s">
        <v>82</v>
      </c>
      <c r="B10" s="609">
        <v>39.5026</v>
      </c>
      <c r="C10" s="550">
        <v>9</v>
      </c>
      <c r="D10" s="609">
        <v>370.2067</v>
      </c>
      <c r="E10" s="395">
        <v>7.8</v>
      </c>
      <c r="H10" s="608"/>
    </row>
    <row r="11" s="196" customFormat="1" ht="24.95" customHeight="1" spans="1:8">
      <c r="A11" s="464" t="s">
        <v>83</v>
      </c>
      <c r="B11" s="609">
        <v>32.9012</v>
      </c>
      <c r="C11" s="550">
        <v>3</v>
      </c>
      <c r="D11" s="609">
        <v>385.2782</v>
      </c>
      <c r="E11" s="395">
        <v>2</v>
      </c>
      <c r="H11" s="608"/>
    </row>
    <row r="12" s="196" customFormat="1" ht="24.95" customHeight="1" spans="1:8">
      <c r="A12" s="464" t="s">
        <v>84</v>
      </c>
      <c r="B12" s="609">
        <v>1.2685</v>
      </c>
      <c r="C12" s="550">
        <v>0</v>
      </c>
      <c r="D12" s="609">
        <v>8.3788</v>
      </c>
      <c r="E12" s="395">
        <v>7.7</v>
      </c>
      <c r="H12" s="608"/>
    </row>
    <row r="13" s="196" customFormat="1" ht="24.95" customHeight="1" spans="1:8">
      <c r="A13" s="464" t="s">
        <v>85</v>
      </c>
      <c r="B13" s="609">
        <v>25.794</v>
      </c>
      <c r="C13" s="550">
        <v>4.6</v>
      </c>
      <c r="D13" s="609">
        <v>307.5668</v>
      </c>
      <c r="E13" s="395">
        <v>2.2</v>
      </c>
      <c r="H13" s="608"/>
    </row>
    <row r="14" s="196" customFormat="1" ht="24.95" customHeight="1" spans="1:8">
      <c r="A14" s="464" t="s">
        <v>86</v>
      </c>
      <c r="B14" s="609">
        <v>27.7795</v>
      </c>
      <c r="C14" s="550">
        <v>4.8</v>
      </c>
      <c r="D14" s="609">
        <v>231.9037</v>
      </c>
      <c r="E14" s="395">
        <v>6.6</v>
      </c>
      <c r="H14" s="608"/>
    </row>
    <row r="15" s="196" customFormat="1" ht="24.95" customHeight="1" spans="1:8">
      <c r="A15" s="464" t="s">
        <v>87</v>
      </c>
      <c r="B15" s="609">
        <v>32.6041</v>
      </c>
      <c r="C15" s="550">
        <v>13.7</v>
      </c>
      <c r="D15" s="609">
        <v>373.9529</v>
      </c>
      <c r="E15" s="395">
        <v>7</v>
      </c>
      <c r="H15" s="608"/>
    </row>
    <row r="16" s="196" customFormat="1" ht="24.95" customHeight="1" spans="1:8">
      <c r="A16" s="464" t="s">
        <v>88</v>
      </c>
      <c r="B16" s="609">
        <v>18.7378</v>
      </c>
      <c r="C16" s="550">
        <v>-3.8</v>
      </c>
      <c r="D16" s="609">
        <v>216.7597</v>
      </c>
      <c r="E16" s="395">
        <v>-0.8</v>
      </c>
      <c r="H16" s="608"/>
    </row>
    <row r="17" s="196" customFormat="1" ht="24.95" customHeight="1" spans="1:8">
      <c r="A17" s="464" t="s">
        <v>89</v>
      </c>
      <c r="B17" s="609">
        <v>22.017</v>
      </c>
      <c r="C17" s="550">
        <v>5.6</v>
      </c>
      <c r="D17" s="609">
        <v>171.9031</v>
      </c>
      <c r="E17" s="395">
        <v>8.7</v>
      </c>
      <c r="H17" s="608"/>
    </row>
    <row r="18" s="196" customFormat="1" ht="24.95" customHeight="1" spans="1:8">
      <c r="A18" s="610" t="s">
        <v>90</v>
      </c>
      <c r="B18" s="611">
        <v>0.9943</v>
      </c>
      <c r="C18" s="612">
        <v>3.3</v>
      </c>
      <c r="D18" s="611">
        <v>7.3515</v>
      </c>
      <c r="E18" s="406">
        <v>-9.8</v>
      </c>
      <c r="H18" s="608"/>
    </row>
    <row r="19" s="196" customFormat="1" spans="1:8">
      <c r="H19" s="608"/>
    </row>
    <row r="20" s="196" customFormat="1" spans="1:8">
      <c r="H20" s="608"/>
    </row>
    <row r="21" s="196" customFormat="1" spans="1:8">
      <c r="H21" s="608"/>
    </row>
    <row r="22" s="196" customFormat="1" spans="1:8">
      <c r="H22" s="608"/>
    </row>
    <row r="23" s="196" customFormat="1" spans="1:8">
      <c r="H23" s="608"/>
    </row>
    <row r="24" s="196" customFormat="1"/>
    <row r="25" s="196" customFormat="1"/>
    <row r="26" s="196" customFormat="1"/>
    <row r="27" s="196" customFormat="1"/>
    <row r="28" s="196" customFormat="1"/>
    <row r="29" s="196" customFormat="1"/>
    <row r="30" s="196" customFormat="1"/>
    <row r="31" s="196" customFormat="1"/>
    <row r="32" s="196" customFormat="1"/>
    <row r="33" s="196" customFormat="1"/>
    <row r="34" s="196" customFormat="1"/>
    <row r="35" s="196" customFormat="1"/>
    <row r="36" s="196" customFormat="1"/>
    <row r="37" s="196" customFormat="1"/>
    <row r="38" s="196" customFormat="1"/>
    <row r="39" s="196" customFormat="1"/>
    <row r="40" s="196" customFormat="1"/>
    <row r="41" s="196" customFormat="1"/>
    <row r="42" s="196" customFormat="1"/>
    <row r="43" s="196" customFormat="1"/>
    <row r="44" s="196" customFormat="1"/>
    <row r="45" s="196" customFormat="1"/>
    <row r="46" s="196" customFormat="1"/>
    <row r="47" s="196" customFormat="1"/>
    <row r="48" s="196" customFormat="1"/>
    <row r="49" s="196" customFormat="1"/>
    <row r="50" s="196" customFormat="1"/>
    <row r="51" s="196" customFormat="1"/>
    <row r="52" s="196" customFormat="1"/>
    <row r="53" s="196" customFormat="1"/>
    <row r="54" s="196" customFormat="1"/>
    <row r="55" s="196" customFormat="1"/>
    <row r="56" s="196" customFormat="1"/>
    <row r="57" s="196" customFormat="1"/>
    <row r="58" s="196" customFormat="1"/>
    <row r="59" s="196" customFormat="1"/>
    <row r="60" s="196" customFormat="1"/>
    <row r="61" s="196" customFormat="1"/>
    <row r="62" s="196" customFormat="1"/>
    <row r="63" s="196" customFormat="1"/>
    <row r="64" s="196" customFormat="1"/>
    <row r="65" s="196" customFormat="1"/>
    <row r="66" s="196" customFormat="1"/>
    <row r="67" s="196" customFormat="1"/>
    <row r="68" s="196" customFormat="1"/>
    <row r="69" s="196" customFormat="1"/>
    <row r="70" s="196" customFormat="1"/>
    <row r="71" s="196" customFormat="1"/>
    <row r="72" s="196" customFormat="1"/>
    <row r="73" s="196" customFormat="1"/>
    <row r="74" s="196" customFormat="1"/>
    <row r="75" s="196" customFormat="1"/>
    <row r="76" s="196" customFormat="1"/>
    <row r="77" s="196" customFormat="1"/>
    <row r="78" s="196" customFormat="1"/>
    <row r="79" s="196" customFormat="1"/>
    <row r="80" s="196" customFormat="1"/>
    <row r="81" s="196" customFormat="1"/>
    <row r="82" s="196" customFormat="1"/>
    <row r="83" s="196" customFormat="1"/>
    <row r="84" s="196" customFormat="1"/>
    <row r="85" s="196" customFormat="1"/>
    <row r="86" s="196" customFormat="1"/>
    <row r="87" s="196" customFormat="1"/>
    <row r="88" s="196" customFormat="1"/>
    <row r="89" s="196" customFormat="1"/>
    <row r="90" s="196" customFormat="1"/>
    <row r="91" s="196" customFormat="1"/>
    <row r="92" s="196" customFormat="1"/>
    <row r="93" s="196" customFormat="1"/>
    <row r="94" s="196" customFormat="1"/>
    <row r="95" s="196" customFormat="1"/>
    <row r="96" s="196" customFormat="1"/>
    <row r="97" s="196" customFormat="1"/>
    <row r="98" s="196" customFormat="1"/>
    <row r="99" s="196" customFormat="1"/>
    <row r="100" s="196" customFormat="1"/>
    <row r="101" s="196" customFormat="1"/>
    <row r="102" s="196" customFormat="1"/>
    <row r="103" s="196" customFormat="1"/>
    <row r="104" s="196" customFormat="1"/>
    <row r="105" s="196" customFormat="1"/>
    <row r="106" s="196" customFormat="1"/>
    <row r="107" s="196" customFormat="1"/>
    <row r="108" s="196" customFormat="1"/>
    <row r="109" s="196" customFormat="1"/>
    <row r="110" s="196" customFormat="1"/>
    <row r="111" s="196" customFormat="1"/>
    <row r="112" s="196" customFormat="1"/>
    <row r="113" s="196" customFormat="1"/>
    <row r="114" s="196" customFormat="1"/>
    <row r="115" s="196" customFormat="1"/>
    <row r="116" s="196" customFormat="1"/>
    <row r="117" s="196" customFormat="1"/>
    <row r="118" s="196" customFormat="1"/>
    <row r="119" s="196" customFormat="1"/>
    <row r="120" s="196" customFormat="1"/>
    <row r="121" s="196" customFormat="1"/>
    <row r="122" s="196" customFormat="1"/>
    <row r="123" s="196" customFormat="1"/>
    <row r="124" s="196" customFormat="1"/>
    <row r="125" s="196" customFormat="1"/>
    <row r="126" s="196" customFormat="1"/>
    <row r="127" s="196" customFormat="1"/>
    <row r="128" s="196" customFormat="1"/>
    <row r="129" s="196" customFormat="1"/>
    <row r="130" s="196" customFormat="1"/>
    <row r="131" s="196" customFormat="1"/>
    <row r="132" s="196" customFormat="1"/>
    <row r="133" s="196" customFormat="1"/>
    <row r="134" s="196" customFormat="1"/>
    <row r="135" s="196" customFormat="1"/>
    <row r="136" s="196" customFormat="1"/>
    <row r="137" s="196" customFormat="1"/>
    <row r="138" s="196" customFormat="1"/>
    <row r="139" s="196" customFormat="1"/>
    <row r="140" s="196" customFormat="1"/>
    <row r="141" s="196" customFormat="1"/>
    <row r="142" s="196" customFormat="1"/>
    <row r="143" s="196" customFormat="1"/>
    <row r="144" s="196" customFormat="1"/>
    <row r="145" s="196" customFormat="1"/>
    <row r="146" s="196" customFormat="1"/>
    <row r="147" s="196" customFormat="1"/>
    <row r="148" s="196" customFormat="1"/>
    <row r="149" s="196" customFormat="1"/>
    <row r="150" s="196" customFormat="1"/>
    <row r="151" s="196" customFormat="1"/>
    <row r="152" s="196" customFormat="1"/>
    <row r="153" s="196" customFormat="1"/>
    <row r="154" s="196" customFormat="1"/>
    <row r="155" s="196" customFormat="1"/>
    <row r="156" s="196" customFormat="1"/>
    <row r="157" s="196" customFormat="1"/>
    <row r="158" s="196" customFormat="1"/>
    <row r="159" s="196" customFormat="1"/>
    <row r="160" s="196" customFormat="1"/>
    <row r="161" s="196" customFormat="1"/>
    <row r="162" s="196" customFormat="1"/>
    <row r="163" s="196" customFormat="1"/>
    <row r="164" s="196" customFormat="1"/>
    <row r="165" s="196" customFormat="1"/>
    <row r="166" s="196" customFormat="1"/>
    <row r="167" s="196" customFormat="1"/>
    <row r="168" s="196" customFormat="1"/>
    <row r="169" s="196" customFormat="1"/>
    <row r="170" s="196" customFormat="1"/>
    <row r="171" s="196" customFormat="1"/>
    <row r="172" s="196" customFormat="1"/>
    <row r="173" s="196" customFormat="1"/>
    <row r="174" s="196" customFormat="1"/>
    <row r="175" s="196" customFormat="1"/>
    <row r="176" s="196" customFormat="1"/>
    <row r="177" s="196" customFormat="1"/>
    <row r="178" s="196" customFormat="1"/>
    <row r="179" s="196" customFormat="1"/>
    <row r="180" s="196" customFormat="1"/>
    <row r="181" s="196" customFormat="1"/>
    <row r="182" s="196" customFormat="1"/>
    <row r="183" s="196" customFormat="1"/>
    <row r="184" s="196" customFormat="1"/>
    <row r="185" s="196" customFormat="1"/>
    <row r="186" s="196" customFormat="1"/>
    <row r="187" s="196" customFormat="1"/>
    <row r="188" s="196" customFormat="1"/>
    <row r="189" s="196" customFormat="1"/>
    <row r="190" s="196" customFormat="1"/>
    <row r="191" s="196" customFormat="1"/>
    <row r="192" s="196" customFormat="1"/>
    <row r="193" s="196" customFormat="1"/>
    <row r="194" s="196" customFormat="1"/>
    <row r="195" s="196" customFormat="1"/>
    <row r="196" s="196" customFormat="1"/>
    <row r="197" s="196" customFormat="1"/>
    <row r="198" s="196" customFormat="1"/>
    <row r="199" s="196" customFormat="1"/>
    <row r="200" s="196" customFormat="1"/>
    <row r="201" s="196" customFormat="1"/>
    <row r="202" s="196" customFormat="1"/>
    <row r="203" s="196" customFormat="1"/>
    <row r="204" s="196" customFormat="1"/>
    <row r="205" s="196" customFormat="1"/>
    <row r="206" s="196" customFormat="1"/>
    <row r="207" s="196" customFormat="1"/>
    <row r="208" s="196" customFormat="1"/>
    <row r="209" s="196" customFormat="1"/>
    <row r="210" s="196" customFormat="1"/>
    <row r="211" s="196" customFormat="1"/>
    <row r="212" s="196" customFormat="1"/>
    <row r="213" s="196" customFormat="1"/>
    <row r="214" s="196" customFormat="1"/>
    <row r="215" s="196" customFormat="1"/>
    <row r="216" s="196" customFormat="1"/>
    <row r="217" s="196" customFormat="1"/>
    <row r="218" s="196" customFormat="1"/>
    <row r="219" s="196" customFormat="1"/>
    <row r="220" s="196" customFormat="1"/>
    <row r="221" s="196" customFormat="1"/>
    <row r="222" s="196" customFormat="1"/>
    <row r="223" s="196" customFormat="1"/>
    <row r="224" s="196" customFormat="1"/>
    <row r="225" s="196" customFormat="1"/>
    <row r="226" s="196" customFormat="1"/>
    <row r="227" s="196" customFormat="1"/>
    <row r="228" s="196" customFormat="1"/>
    <row r="229" s="196" customFormat="1"/>
    <row r="230" s="196" customFormat="1"/>
    <row r="231" s="196" customFormat="1"/>
    <row r="232" s="196" customFormat="1"/>
    <row r="233" s="196" customFormat="1"/>
    <row r="234" s="196" customFormat="1"/>
    <row r="235" s="196" customFormat="1"/>
    <row r="236" s="196" customFormat="1"/>
    <row r="237" s="196" customFormat="1"/>
    <row r="238" s="196" customFormat="1"/>
    <row r="239" s="196" customFormat="1"/>
    <row r="240" s="196" customFormat="1"/>
    <row r="241" s="196" customFormat="1"/>
    <row r="242" s="196" customFormat="1"/>
    <row r="243" s="196" customFormat="1"/>
    <row r="244" s="196" customFormat="1"/>
    <row r="245" s="196" customFormat="1"/>
    <row r="246" s="196" customFormat="1"/>
    <row r="247" s="196" customFormat="1"/>
    <row r="248" s="196" customFormat="1"/>
    <row r="249" s="196" customFormat="1"/>
    <row r="250" s="196" customFormat="1"/>
    <row r="251" s="196" customFormat="1"/>
    <row r="252" s="196" customFormat="1"/>
    <row r="253" s="196" customFormat="1"/>
    <row r="254" s="196" customFormat="1"/>
    <row r="255" s="196" customFormat="1"/>
  </sheetData>
  <mergeCells count="2">
    <mergeCell ref="A1:E1"/>
    <mergeCell ref="D2:E2"/>
  </mergeCells>
  <pageMargins left="0.75" right="0.75" top="1" bottom="1" header="0.5" footer="0.5"/>
  <pageSetup paperSize="9" orientation="portrait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254"/>
  <sheetViews>
    <sheetView workbookViewId="0">
      <selection activeCell="F18" sqref="F18"/>
    </sheetView>
  </sheetViews>
  <sheetFormatPr defaultColWidth="9" defaultRowHeight="14.25" outlineLevelCol="3"/>
  <cols>
    <col min="1" max="1" width="36" style="127" customWidth="1"/>
    <col min="2" max="2" width="11.125" style="591" customWidth="1"/>
    <col min="3" max="4" width="14.625" style="127" customWidth="1"/>
    <col min="5" max="16384" width="9" style="127"/>
  </cols>
  <sheetData>
    <row r="1" ht="28.5" customHeight="1" spans="1:4">
      <c r="A1" s="448" t="s">
        <v>99</v>
      </c>
      <c r="B1" s="448"/>
      <c r="C1" s="448"/>
      <c r="D1" s="86"/>
    </row>
    <row r="2" s="590" customFormat="1" ht="35.25" customHeight="1" spans="1:4">
      <c r="A2" s="592" t="s">
        <v>36</v>
      </c>
      <c r="B2" s="451" t="s">
        <v>100</v>
      </c>
      <c r="C2" s="593" t="s">
        <v>3</v>
      </c>
      <c r="D2" s="594" t="s">
        <v>5</v>
      </c>
    </row>
    <row r="3" ht="24.95" customHeight="1" spans="1:4">
      <c r="A3" s="595" t="s">
        <v>101</v>
      </c>
      <c r="B3" s="596" t="s">
        <v>102</v>
      </c>
      <c r="C3" s="597">
        <v>891</v>
      </c>
      <c r="D3" s="460">
        <v>1.8</v>
      </c>
    </row>
    <row r="4" ht="24.95" customHeight="1" spans="1:4">
      <c r="A4" s="595" t="s">
        <v>103</v>
      </c>
      <c r="B4" s="596" t="s">
        <v>102</v>
      </c>
      <c r="C4" s="597">
        <v>132</v>
      </c>
      <c r="D4" s="460">
        <v>5.6</v>
      </c>
    </row>
    <row r="5" ht="24.95" customHeight="1" spans="1:4">
      <c r="A5" s="595" t="s">
        <v>104</v>
      </c>
      <c r="B5" s="596" t="s">
        <v>7</v>
      </c>
      <c r="C5" s="418">
        <v>20.06</v>
      </c>
      <c r="D5" s="460">
        <v>60</v>
      </c>
    </row>
    <row r="6" ht="24.95" customHeight="1" spans="1:4">
      <c r="A6" s="595" t="s">
        <v>105</v>
      </c>
      <c r="B6" s="596" t="s">
        <v>7</v>
      </c>
      <c r="C6" s="418">
        <v>2392.7391</v>
      </c>
      <c r="D6" s="460">
        <v>6.98</v>
      </c>
    </row>
    <row r="7" ht="24.95" customHeight="1" spans="1:4">
      <c r="A7" s="595" t="s">
        <v>106</v>
      </c>
      <c r="B7" s="596" t="s">
        <v>7</v>
      </c>
      <c r="C7" s="418">
        <v>422.26</v>
      </c>
      <c r="D7" s="460">
        <v>24.6</v>
      </c>
    </row>
    <row r="8" ht="24.95" customHeight="1" spans="1:4">
      <c r="A8" s="595" t="s">
        <v>107</v>
      </c>
      <c r="B8" s="596" t="s">
        <v>7</v>
      </c>
      <c r="C8" s="418">
        <v>232.6</v>
      </c>
      <c r="D8" s="460">
        <v>39.7</v>
      </c>
    </row>
    <row r="9" ht="24.95" customHeight="1" spans="1:4">
      <c r="A9" s="595" t="s">
        <v>108</v>
      </c>
      <c r="B9" s="596" t="s">
        <v>7</v>
      </c>
      <c r="C9" s="418">
        <v>2630.68</v>
      </c>
      <c r="D9" s="460">
        <v>3.3</v>
      </c>
    </row>
    <row r="10" ht="24.95" customHeight="1" spans="1:4">
      <c r="A10" s="595" t="s">
        <v>109</v>
      </c>
      <c r="B10" s="596" t="s">
        <v>7</v>
      </c>
      <c r="C10" s="418">
        <v>1734.07</v>
      </c>
      <c r="D10" s="460">
        <v>-2.7</v>
      </c>
    </row>
    <row r="11" ht="24.95" customHeight="1" spans="1:4">
      <c r="A11" s="595" t="s">
        <v>110</v>
      </c>
      <c r="B11" s="596" t="s">
        <v>7</v>
      </c>
      <c r="C11" s="418">
        <v>161.11</v>
      </c>
      <c r="D11" s="460">
        <v>-6.8</v>
      </c>
    </row>
    <row r="12" ht="24.95" customHeight="1" spans="1:4">
      <c r="A12" s="595" t="s">
        <v>111</v>
      </c>
      <c r="B12" s="596" t="s">
        <v>7</v>
      </c>
      <c r="C12" s="418">
        <v>80.13</v>
      </c>
      <c r="D12" s="460">
        <v>-7.7</v>
      </c>
    </row>
    <row r="13" ht="24.95" customHeight="1" spans="1:4">
      <c r="A13" s="595" t="s">
        <v>112</v>
      </c>
      <c r="B13" s="596" t="s">
        <v>7</v>
      </c>
      <c r="C13" s="418">
        <v>33.18</v>
      </c>
      <c r="D13" s="460">
        <v>13.9</v>
      </c>
    </row>
    <row r="14" ht="24.95" customHeight="1" spans="1:4">
      <c r="A14" s="595" t="s">
        <v>113</v>
      </c>
      <c r="B14" s="596" t="s">
        <v>114</v>
      </c>
      <c r="C14" s="418">
        <v>12.4</v>
      </c>
      <c r="D14" s="460">
        <v>-7.9</v>
      </c>
    </row>
    <row r="15" ht="24.95" customHeight="1" spans="1:4">
      <c r="A15" s="598" t="s">
        <v>115</v>
      </c>
      <c r="B15" s="596" t="s">
        <v>28</v>
      </c>
      <c r="C15" s="599">
        <v>514.77</v>
      </c>
      <c r="D15" s="460">
        <v>89.2</v>
      </c>
    </row>
    <row r="16" ht="24.95" customHeight="1" spans="1:4">
      <c r="A16" s="595" t="s">
        <v>116</v>
      </c>
      <c r="B16" s="596" t="s">
        <v>28</v>
      </c>
      <c r="C16" s="599">
        <v>17.46</v>
      </c>
      <c r="D16" s="460">
        <v>2.8</v>
      </c>
    </row>
    <row r="17" ht="24.95" customHeight="1" spans="1:4">
      <c r="A17" s="595" t="s">
        <v>117</v>
      </c>
      <c r="B17" s="596" t="s">
        <v>28</v>
      </c>
      <c r="C17" s="599">
        <v>117.35</v>
      </c>
      <c r="D17" s="460">
        <v>-2.6</v>
      </c>
    </row>
    <row r="18" ht="24.95" customHeight="1" spans="1:4">
      <c r="A18" s="595" t="s">
        <v>118</v>
      </c>
      <c r="B18" s="596" t="s">
        <v>28</v>
      </c>
      <c r="C18" s="599">
        <v>65.92</v>
      </c>
      <c r="D18" s="460">
        <v>-4.1</v>
      </c>
    </row>
    <row r="19" ht="24.95" customHeight="1" spans="1:4">
      <c r="A19" s="595" t="s">
        <v>119</v>
      </c>
      <c r="B19" s="596" t="s">
        <v>120</v>
      </c>
      <c r="C19" s="471">
        <v>2.37</v>
      </c>
      <c r="D19" s="460">
        <v>0</v>
      </c>
    </row>
    <row r="20" ht="24.95" customHeight="1" spans="1:4">
      <c r="A20" s="595" t="s">
        <v>121</v>
      </c>
      <c r="B20" s="596" t="s">
        <v>28</v>
      </c>
      <c r="C20" s="599">
        <v>11.44</v>
      </c>
      <c r="D20" s="460">
        <v>2.9</v>
      </c>
    </row>
    <row r="21" ht="24.95" customHeight="1" spans="1:4">
      <c r="A21" s="595" t="s">
        <v>122</v>
      </c>
      <c r="B21" s="596" t="s">
        <v>123</v>
      </c>
      <c r="C21" s="418">
        <v>62.1</v>
      </c>
      <c r="D21" s="460">
        <v>23.7</v>
      </c>
    </row>
    <row r="22" ht="24.95" customHeight="1" spans="1:4">
      <c r="A22" s="600" t="s">
        <v>124</v>
      </c>
      <c r="B22" s="601" t="s">
        <v>28</v>
      </c>
      <c r="C22" s="602">
        <v>98.58</v>
      </c>
      <c r="D22" s="475">
        <v>0.2</v>
      </c>
    </row>
    <row r="23" spans="1:4">
      <c r="B23" s="127"/>
    </row>
    <row r="24" spans="1:4">
      <c r="B24" s="127"/>
    </row>
    <row r="25" spans="1:4">
      <c r="B25" s="127"/>
    </row>
    <row r="26" spans="1:4">
      <c r="B26" s="127"/>
    </row>
    <row r="27" spans="1:4">
      <c r="B27" s="127"/>
    </row>
    <row r="28" spans="1:4">
      <c r="B28" s="127"/>
    </row>
    <row r="29" spans="1:4">
      <c r="B29" s="127"/>
    </row>
    <row r="30" spans="1:4">
      <c r="B30" s="127"/>
    </row>
    <row r="31" spans="1:4">
      <c r="B31" s="127"/>
    </row>
    <row r="32" spans="1:4">
      <c r="B32" s="127"/>
    </row>
    <row r="33" spans="2:2">
      <c r="B33" s="127"/>
    </row>
    <row r="34" spans="2:2">
      <c r="B34" s="127"/>
    </row>
    <row r="35" spans="2:2">
      <c r="B35" s="127"/>
    </row>
    <row r="36" spans="2:2">
      <c r="B36" s="127"/>
    </row>
    <row r="37" spans="2:2">
      <c r="B37" s="127"/>
    </row>
    <row r="38" spans="2:2">
      <c r="B38" s="127"/>
    </row>
    <row r="39" spans="2:2">
      <c r="B39" s="127"/>
    </row>
    <row r="40" spans="2:2">
      <c r="B40" s="127"/>
    </row>
    <row r="41" spans="2:2">
      <c r="B41" s="127"/>
    </row>
    <row r="42" spans="2:2">
      <c r="B42" s="127"/>
    </row>
    <row r="43" spans="2:2">
      <c r="B43" s="127"/>
    </row>
    <row r="44" spans="2:2">
      <c r="B44" s="127"/>
    </row>
    <row r="45" spans="2:2">
      <c r="B45" s="127"/>
    </row>
    <row r="46" spans="2:2">
      <c r="B46" s="127"/>
    </row>
    <row r="47" spans="2:2">
      <c r="B47" s="127"/>
    </row>
    <row r="48" spans="2:2">
      <c r="B48" s="127"/>
    </row>
    <row r="49" spans="2:2">
      <c r="B49" s="127"/>
    </row>
    <row r="50" spans="2:2">
      <c r="B50" s="127"/>
    </row>
    <row r="51" spans="2:2">
      <c r="B51" s="127"/>
    </row>
    <row r="52" spans="2:2">
      <c r="B52" s="127"/>
    </row>
    <row r="53" spans="2:2">
      <c r="B53" s="127"/>
    </row>
    <row r="54" spans="2:2">
      <c r="B54" s="127"/>
    </row>
    <row r="55" spans="2:2">
      <c r="B55" s="127"/>
    </row>
    <row r="56" spans="2:2">
      <c r="B56" s="127"/>
    </row>
    <row r="57" spans="2:2">
      <c r="B57" s="127"/>
    </row>
    <row r="58" spans="2:2">
      <c r="B58" s="127"/>
    </row>
    <row r="59" spans="2:2">
      <c r="B59" s="127"/>
    </row>
    <row r="60" spans="2:2">
      <c r="B60" s="127"/>
    </row>
    <row r="61" spans="2:2">
      <c r="B61" s="127"/>
    </row>
    <row r="62" spans="2:2">
      <c r="B62" s="127"/>
    </row>
    <row r="63" spans="2:2">
      <c r="B63" s="127"/>
    </row>
    <row r="64" spans="2:2">
      <c r="B64" s="127"/>
    </row>
    <row r="65" spans="2:2">
      <c r="B65" s="127"/>
    </row>
    <row r="66" spans="2:2">
      <c r="B66" s="127"/>
    </row>
    <row r="67" spans="2:2">
      <c r="B67" s="127"/>
    </row>
    <row r="68" spans="2:2">
      <c r="B68" s="127"/>
    </row>
    <row r="69" spans="2:2">
      <c r="B69" s="127"/>
    </row>
    <row r="70" spans="2:2">
      <c r="B70" s="127"/>
    </row>
    <row r="71" spans="2:2">
      <c r="B71" s="127"/>
    </row>
    <row r="72" spans="2:2">
      <c r="B72" s="127"/>
    </row>
    <row r="73" spans="2:2">
      <c r="B73" s="127"/>
    </row>
    <row r="74" spans="2:2">
      <c r="B74" s="127"/>
    </row>
    <row r="75" spans="2:2">
      <c r="B75" s="127"/>
    </row>
    <row r="76" spans="2:2">
      <c r="B76" s="127"/>
    </row>
    <row r="77" spans="2:2">
      <c r="B77" s="127"/>
    </row>
    <row r="78" spans="2:2">
      <c r="B78" s="127"/>
    </row>
    <row r="79" spans="2:2">
      <c r="B79" s="127"/>
    </row>
    <row r="80" spans="2:2">
      <c r="B80" s="127"/>
    </row>
    <row r="81" spans="2:2">
      <c r="B81" s="127"/>
    </row>
    <row r="82" spans="2:2">
      <c r="B82" s="127"/>
    </row>
    <row r="83" spans="2:2">
      <c r="B83" s="127"/>
    </row>
    <row r="84" spans="2:2">
      <c r="B84" s="127"/>
    </row>
    <row r="85" spans="2:2">
      <c r="B85" s="127"/>
    </row>
    <row r="86" spans="2:2">
      <c r="B86" s="127"/>
    </row>
    <row r="87" spans="2:2">
      <c r="B87" s="127"/>
    </row>
    <row r="88" spans="2:2">
      <c r="B88" s="127"/>
    </row>
    <row r="89" spans="2:2">
      <c r="B89" s="127"/>
    </row>
    <row r="90" spans="2:2">
      <c r="B90" s="127"/>
    </row>
    <row r="91" spans="2:2">
      <c r="B91" s="127"/>
    </row>
    <row r="92" spans="2:2">
      <c r="B92" s="127"/>
    </row>
    <row r="93" spans="2:2">
      <c r="B93" s="127"/>
    </row>
    <row r="94" spans="2:2">
      <c r="B94" s="127"/>
    </row>
    <row r="95" spans="2:2">
      <c r="B95" s="127"/>
    </row>
    <row r="96" spans="2:2">
      <c r="B96" s="127"/>
    </row>
    <row r="97" spans="2:2">
      <c r="B97" s="127"/>
    </row>
    <row r="98" spans="2:2">
      <c r="B98" s="127"/>
    </row>
    <row r="99" spans="2:2">
      <c r="B99" s="127"/>
    </row>
    <row r="100" spans="2:2">
      <c r="B100" s="127"/>
    </row>
    <row r="101" spans="2:2">
      <c r="B101" s="127"/>
    </row>
    <row r="102" spans="2:2">
      <c r="B102" s="127"/>
    </row>
    <row r="103" spans="2:2">
      <c r="B103" s="127"/>
    </row>
    <row r="104" spans="2:2">
      <c r="B104" s="127"/>
    </row>
    <row r="105" spans="2:2">
      <c r="B105" s="127"/>
    </row>
    <row r="106" spans="2:2">
      <c r="B106" s="127"/>
    </row>
    <row r="107" spans="2:2">
      <c r="B107" s="127"/>
    </row>
    <row r="108" spans="2:2">
      <c r="B108" s="127"/>
    </row>
    <row r="109" spans="2:2">
      <c r="B109" s="127"/>
    </row>
    <row r="110" spans="2:2">
      <c r="B110" s="127"/>
    </row>
    <row r="111" spans="2:2">
      <c r="B111" s="127"/>
    </row>
    <row r="112" spans="2:2">
      <c r="B112" s="127"/>
    </row>
    <row r="113" spans="2:2">
      <c r="B113" s="127"/>
    </row>
    <row r="114" spans="2:2">
      <c r="B114" s="127"/>
    </row>
    <row r="115" spans="2:2">
      <c r="B115" s="127"/>
    </row>
    <row r="116" spans="2:2">
      <c r="B116" s="127"/>
    </row>
    <row r="117" spans="2:2">
      <c r="B117" s="127"/>
    </row>
    <row r="118" spans="2:2">
      <c r="B118" s="127"/>
    </row>
    <row r="119" spans="2:2">
      <c r="B119" s="127"/>
    </row>
    <row r="120" spans="2:2">
      <c r="B120" s="127"/>
    </row>
    <row r="121" spans="2:2">
      <c r="B121" s="127"/>
    </row>
    <row r="122" spans="2:2">
      <c r="B122" s="127"/>
    </row>
    <row r="123" spans="2:2">
      <c r="B123" s="127"/>
    </row>
    <row r="124" spans="2:2">
      <c r="B124" s="127"/>
    </row>
    <row r="125" spans="2:2">
      <c r="B125" s="127"/>
    </row>
    <row r="126" spans="2:2">
      <c r="B126" s="127"/>
    </row>
    <row r="127" spans="2:2">
      <c r="B127" s="127"/>
    </row>
    <row r="128" spans="2:2">
      <c r="B128" s="127"/>
    </row>
    <row r="129" spans="2:2">
      <c r="B129" s="127"/>
    </row>
    <row r="130" spans="2:2">
      <c r="B130" s="127"/>
    </row>
    <row r="131" spans="2:2">
      <c r="B131" s="127"/>
    </row>
    <row r="132" spans="2:2">
      <c r="B132" s="127"/>
    </row>
    <row r="133" spans="2:2">
      <c r="B133" s="127"/>
    </row>
    <row r="134" spans="2:2">
      <c r="B134" s="127"/>
    </row>
    <row r="135" spans="2:2">
      <c r="B135" s="127"/>
    </row>
    <row r="136" spans="2:2">
      <c r="B136" s="127"/>
    </row>
    <row r="137" spans="2:2">
      <c r="B137" s="127"/>
    </row>
    <row r="138" spans="2:2">
      <c r="B138" s="127"/>
    </row>
    <row r="139" spans="2:2">
      <c r="B139" s="127"/>
    </row>
    <row r="140" spans="2:2">
      <c r="B140" s="127"/>
    </row>
    <row r="141" spans="2:2">
      <c r="B141" s="127"/>
    </row>
    <row r="142" spans="2:2">
      <c r="B142" s="127"/>
    </row>
    <row r="143" spans="2:2">
      <c r="B143" s="127"/>
    </row>
    <row r="144" spans="2:2">
      <c r="B144" s="127"/>
    </row>
    <row r="145" spans="2:2">
      <c r="B145" s="127"/>
    </row>
    <row r="146" spans="2:2">
      <c r="B146" s="127"/>
    </row>
    <row r="147" spans="2:2">
      <c r="B147" s="127"/>
    </row>
    <row r="148" spans="2:2">
      <c r="B148" s="127"/>
    </row>
    <row r="149" spans="2:2">
      <c r="B149" s="127"/>
    </row>
    <row r="150" spans="2:2">
      <c r="B150" s="127"/>
    </row>
    <row r="151" spans="2:2">
      <c r="B151" s="127"/>
    </row>
    <row r="152" spans="2:2">
      <c r="B152" s="127"/>
    </row>
    <row r="153" spans="2:2">
      <c r="B153" s="127"/>
    </row>
    <row r="154" spans="2:2">
      <c r="B154" s="127"/>
    </row>
    <row r="155" spans="2:2">
      <c r="B155" s="127"/>
    </row>
    <row r="156" spans="2:2">
      <c r="B156" s="127"/>
    </row>
    <row r="157" spans="2:2">
      <c r="B157" s="127"/>
    </row>
    <row r="158" spans="2:2">
      <c r="B158" s="127"/>
    </row>
    <row r="159" spans="2:2">
      <c r="B159" s="127"/>
    </row>
    <row r="160" spans="2:2">
      <c r="B160" s="127"/>
    </row>
    <row r="161" spans="2:2">
      <c r="B161" s="127"/>
    </row>
    <row r="162" spans="2:2">
      <c r="B162" s="127"/>
    </row>
    <row r="163" spans="2:2">
      <c r="B163" s="127"/>
    </row>
    <row r="164" spans="2:2">
      <c r="B164" s="127"/>
    </row>
    <row r="165" spans="2:2">
      <c r="B165" s="127"/>
    </row>
    <row r="166" spans="2:2">
      <c r="B166" s="127"/>
    </row>
    <row r="167" spans="2:2">
      <c r="B167" s="127"/>
    </row>
    <row r="168" spans="2:2">
      <c r="B168" s="127"/>
    </row>
    <row r="169" spans="2:2">
      <c r="B169" s="127"/>
    </row>
    <row r="170" spans="2:2">
      <c r="B170" s="127"/>
    </row>
    <row r="171" spans="2:2">
      <c r="B171" s="127"/>
    </row>
    <row r="172" spans="2:2">
      <c r="B172" s="127"/>
    </row>
    <row r="173" spans="2:2">
      <c r="B173" s="127"/>
    </row>
    <row r="174" spans="2:2">
      <c r="B174" s="127"/>
    </row>
    <row r="175" spans="2:2">
      <c r="B175" s="127"/>
    </row>
    <row r="176" spans="2:2">
      <c r="B176" s="127"/>
    </row>
    <row r="177" spans="2:2">
      <c r="B177" s="127"/>
    </row>
    <row r="178" spans="2:2">
      <c r="B178" s="127"/>
    </row>
    <row r="179" spans="2:2">
      <c r="B179" s="127"/>
    </row>
    <row r="180" spans="2:2">
      <c r="B180" s="127"/>
    </row>
    <row r="181" spans="2:2">
      <c r="B181" s="127"/>
    </row>
    <row r="182" spans="2:2">
      <c r="B182" s="127"/>
    </row>
    <row r="183" spans="2:2">
      <c r="B183" s="127"/>
    </row>
    <row r="184" spans="2:2">
      <c r="B184" s="127"/>
    </row>
    <row r="185" spans="2:2">
      <c r="B185" s="127"/>
    </row>
    <row r="186" spans="2:2">
      <c r="B186" s="127"/>
    </row>
    <row r="187" spans="2:2">
      <c r="B187" s="127"/>
    </row>
    <row r="188" spans="2:2">
      <c r="B188" s="127"/>
    </row>
    <row r="189" spans="2:2">
      <c r="B189" s="127"/>
    </row>
    <row r="190" spans="2:2">
      <c r="B190" s="127"/>
    </row>
    <row r="191" spans="2:2">
      <c r="B191" s="127"/>
    </row>
    <row r="192" spans="2:2">
      <c r="B192" s="127"/>
    </row>
    <row r="193" spans="2:2">
      <c r="B193" s="127"/>
    </row>
    <row r="194" spans="2:2">
      <c r="B194" s="127"/>
    </row>
    <row r="195" spans="2:2">
      <c r="B195" s="127"/>
    </row>
    <row r="196" spans="2:2">
      <c r="B196" s="127"/>
    </row>
    <row r="197" spans="2:2">
      <c r="B197" s="127"/>
    </row>
    <row r="198" spans="2:2">
      <c r="B198" s="127"/>
    </row>
    <row r="199" spans="2:2">
      <c r="B199" s="127"/>
    </row>
    <row r="200" spans="2:2">
      <c r="B200" s="127"/>
    </row>
    <row r="201" spans="2:2">
      <c r="B201" s="127"/>
    </row>
    <row r="202" spans="2:2">
      <c r="B202" s="127"/>
    </row>
    <row r="203" spans="2:2">
      <c r="B203" s="127"/>
    </row>
    <row r="204" spans="2:2">
      <c r="B204" s="127"/>
    </row>
    <row r="205" spans="2:2">
      <c r="B205" s="127"/>
    </row>
    <row r="206" spans="2:2">
      <c r="B206" s="127"/>
    </row>
    <row r="207" spans="2:2">
      <c r="B207" s="127"/>
    </row>
    <row r="208" spans="2:2">
      <c r="B208" s="127"/>
    </row>
    <row r="209" spans="2:2">
      <c r="B209" s="127"/>
    </row>
    <row r="210" spans="2:2">
      <c r="B210" s="127"/>
    </row>
    <row r="211" spans="2:2">
      <c r="B211" s="127"/>
    </row>
    <row r="212" spans="2:2">
      <c r="B212" s="127"/>
    </row>
    <row r="213" spans="2:2">
      <c r="B213" s="127"/>
    </row>
    <row r="214" spans="2:2">
      <c r="B214" s="127"/>
    </row>
    <row r="215" spans="2:2">
      <c r="B215" s="127"/>
    </row>
    <row r="216" spans="2:2">
      <c r="B216" s="127"/>
    </row>
    <row r="217" spans="2:2">
      <c r="B217" s="127"/>
    </row>
    <row r="218" spans="2:2">
      <c r="B218" s="127"/>
    </row>
    <row r="219" spans="2:2">
      <c r="B219" s="127"/>
    </row>
    <row r="220" spans="2:2">
      <c r="B220" s="127"/>
    </row>
    <row r="221" spans="2:2">
      <c r="B221" s="127"/>
    </row>
    <row r="222" spans="2:2">
      <c r="B222" s="127"/>
    </row>
    <row r="223" spans="2:2">
      <c r="B223" s="127"/>
    </row>
    <row r="224" spans="2:2">
      <c r="B224" s="127"/>
    </row>
    <row r="225" spans="2:2">
      <c r="B225" s="127"/>
    </row>
    <row r="226" spans="2:2">
      <c r="B226" s="127"/>
    </row>
    <row r="227" spans="2:2">
      <c r="B227" s="127"/>
    </row>
    <row r="228" spans="2:2">
      <c r="B228" s="127"/>
    </row>
    <row r="229" spans="2:2">
      <c r="B229" s="127"/>
    </row>
    <row r="230" spans="2:2">
      <c r="B230" s="127"/>
    </row>
    <row r="231" spans="2:2">
      <c r="B231" s="127"/>
    </row>
    <row r="232" spans="2:2">
      <c r="B232" s="127"/>
    </row>
    <row r="233" spans="2:2">
      <c r="B233" s="127"/>
    </row>
    <row r="234" spans="2:2">
      <c r="B234" s="127"/>
    </row>
    <row r="235" spans="2:2">
      <c r="B235" s="127"/>
    </row>
    <row r="236" spans="2:2">
      <c r="B236" s="127"/>
    </row>
    <row r="237" spans="2:2">
      <c r="B237" s="127"/>
    </row>
    <row r="238" spans="2:2">
      <c r="B238" s="127"/>
    </row>
    <row r="239" spans="2:2">
      <c r="B239" s="127"/>
    </row>
    <row r="240" spans="2:2">
      <c r="B240" s="127"/>
    </row>
    <row r="241" spans="2:2">
      <c r="B241" s="127"/>
    </row>
    <row r="242" spans="2:2">
      <c r="B242" s="127"/>
    </row>
    <row r="243" spans="2:2">
      <c r="B243" s="127"/>
    </row>
    <row r="244" spans="2:2">
      <c r="B244" s="127"/>
    </row>
    <row r="245" spans="2:2">
      <c r="B245" s="127"/>
    </row>
    <row r="246" spans="2:2">
      <c r="B246" s="127"/>
    </row>
    <row r="247" spans="2:2">
      <c r="B247" s="127"/>
    </row>
    <row r="248" spans="2:2">
      <c r="B248" s="127"/>
    </row>
    <row r="249" spans="2:2">
      <c r="B249" s="127"/>
    </row>
    <row r="250" spans="2:2">
      <c r="B250" s="127"/>
    </row>
    <row r="251" spans="2:2">
      <c r="B251" s="127"/>
    </row>
    <row r="252" spans="2:2">
      <c r="B252" s="127"/>
    </row>
    <row r="253" spans="2:2">
      <c r="B253" s="127"/>
    </row>
    <row r="254" spans="2:2">
      <c r="B254" s="127"/>
    </row>
  </sheetData>
  <mergeCells count="1">
    <mergeCell ref="A1:D1"/>
  </mergeCells>
  <printOptions horizontalCentered="1"/>
  <pageMargins left="0.75" right="0.75" top="0.788888888888889" bottom="0.588888888888889" header="0.509027777777778" footer="0.509027777777778"/>
  <pageSetup paperSize="9" orientation="portrait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254"/>
  <sheetViews>
    <sheetView zoomScale="90" zoomScaleNormal="90" workbookViewId="0">
      <selection activeCell="I13" sqref="I13"/>
    </sheetView>
  </sheetViews>
  <sheetFormatPr defaultColWidth="9" defaultRowHeight="14.25"/>
  <cols>
    <col min="1" max="1" width="30.125" style="445" customWidth="1"/>
    <col min="2" max="2" width="12" style="445" customWidth="1"/>
    <col min="3" max="3" width="10.625" style="445" customWidth="1"/>
    <col min="4" max="4" width="12.125" style="445" customWidth="1"/>
    <col min="5" max="5" width="10.625" style="445" customWidth="1"/>
    <col min="6" max="6" width="9" style="445"/>
    <col min="7" max="7" width="10.5" style="445" customWidth="1"/>
    <col min="8" max="8" width="9.75" style="445" customWidth="1"/>
    <col min="9" max="9" width="11.75" style="445" customWidth="1"/>
    <col min="10" max="16384" width="9" style="445"/>
  </cols>
  <sheetData>
    <row r="1" s="196" customFormat="1" ht="28.5" customHeight="1" spans="1:9">
      <c r="A1" s="448" t="s">
        <v>125</v>
      </c>
      <c r="B1" s="448"/>
      <c r="C1" s="448"/>
      <c r="D1" s="448"/>
      <c r="E1" s="448"/>
    </row>
    <row r="2" s="196" customFormat="1" ht="19.5" customHeight="1" spans="1:9">
      <c r="A2" s="570"/>
      <c r="B2" s="570"/>
      <c r="C2" s="570"/>
      <c r="D2" s="571" t="s">
        <v>35</v>
      </c>
      <c r="E2" s="572"/>
    </row>
    <row r="3" s="196" customFormat="1" ht="35.25" customHeight="1" spans="1:9">
      <c r="A3" s="573" t="s">
        <v>36</v>
      </c>
      <c r="B3" s="574">
        <v>43435</v>
      </c>
      <c r="C3" s="575" t="s">
        <v>75</v>
      </c>
      <c r="D3" s="576" t="s">
        <v>3</v>
      </c>
      <c r="E3" s="575" t="s">
        <v>75</v>
      </c>
      <c r="G3" s="577"/>
      <c r="I3" s="577"/>
    </row>
    <row r="4" s="196" customFormat="1" ht="24.95" customHeight="1" spans="1:9">
      <c r="A4" s="578" t="s">
        <v>126</v>
      </c>
      <c r="B4" s="579">
        <v>236.9853</v>
      </c>
      <c r="C4" s="580">
        <v>0.7</v>
      </c>
      <c r="D4" s="581">
        <v>2372.8477</v>
      </c>
      <c r="E4" s="582">
        <v>5.1</v>
      </c>
      <c r="G4" s="577"/>
      <c r="I4" s="577"/>
    </row>
    <row r="5" s="196" customFormat="1" ht="24.95" customHeight="1" spans="1:9">
      <c r="A5" s="521" t="s">
        <v>127</v>
      </c>
      <c r="B5" s="424">
        <v>0.0561</v>
      </c>
      <c r="C5" s="524">
        <v>1.8</v>
      </c>
      <c r="D5" s="436">
        <v>0.8013</v>
      </c>
      <c r="E5" s="526">
        <v>156.8</v>
      </c>
      <c r="G5" s="577"/>
      <c r="I5" s="577"/>
    </row>
    <row r="6" s="196" customFormat="1" ht="24.95" customHeight="1" spans="1:9">
      <c r="A6" s="521" t="s">
        <v>128</v>
      </c>
      <c r="B6" s="424">
        <v>0.4503</v>
      </c>
      <c r="C6" s="524">
        <v>124.6</v>
      </c>
      <c r="D6" s="436">
        <v>2.7609</v>
      </c>
      <c r="E6" s="526">
        <v>47.1</v>
      </c>
      <c r="G6" s="577"/>
      <c r="I6" s="577"/>
    </row>
    <row r="7" s="196" customFormat="1" ht="24.95" customHeight="1" spans="1:9">
      <c r="A7" s="521" t="s">
        <v>129</v>
      </c>
      <c r="B7" s="424">
        <v>1.2947</v>
      </c>
      <c r="C7" s="524">
        <v>6.7</v>
      </c>
      <c r="D7" s="436">
        <v>12.1358</v>
      </c>
      <c r="E7" s="526">
        <v>5.7</v>
      </c>
      <c r="G7" s="577"/>
      <c r="I7" s="577"/>
    </row>
    <row r="8" s="196" customFormat="1" ht="24.95" customHeight="1" spans="1:9">
      <c r="A8" s="521" t="s">
        <v>130</v>
      </c>
      <c r="B8" s="424">
        <v>1.6364</v>
      </c>
      <c r="C8" s="524">
        <v>5.6</v>
      </c>
      <c r="D8" s="436">
        <v>6.1558</v>
      </c>
      <c r="E8" s="526">
        <v>12.1</v>
      </c>
      <c r="G8" s="577"/>
      <c r="I8" s="577"/>
    </row>
    <row r="9" s="196" customFormat="1" ht="24.95" customHeight="1" spans="1:9">
      <c r="A9" s="521" t="s">
        <v>131</v>
      </c>
      <c r="B9" s="424">
        <v>0</v>
      </c>
      <c r="C9" s="524">
        <v>0</v>
      </c>
      <c r="D9" s="436">
        <v>0</v>
      </c>
      <c r="E9" s="526">
        <v>0</v>
      </c>
      <c r="G9" s="577"/>
      <c r="I9" s="577"/>
    </row>
    <row r="10" s="196" customFormat="1" ht="24.95" customHeight="1" spans="1:9">
      <c r="A10" s="521" t="s">
        <v>132</v>
      </c>
      <c r="B10" s="424">
        <v>38.9387</v>
      </c>
      <c r="C10" s="524">
        <v>3.2</v>
      </c>
      <c r="D10" s="436">
        <v>364.187</v>
      </c>
      <c r="E10" s="526">
        <v>2.8</v>
      </c>
      <c r="G10" s="577"/>
      <c r="I10" s="577"/>
    </row>
    <row r="11" s="196" customFormat="1" ht="24.95" customHeight="1" spans="1:9">
      <c r="A11" s="521" t="s">
        <v>133</v>
      </c>
      <c r="B11" s="424">
        <v>7.4187</v>
      </c>
      <c r="C11" s="524">
        <v>9.8</v>
      </c>
      <c r="D11" s="436">
        <v>78.2454</v>
      </c>
      <c r="E11" s="526">
        <v>-11.3</v>
      </c>
      <c r="G11" s="577"/>
      <c r="I11" s="577"/>
    </row>
    <row r="12" s="196" customFormat="1" ht="24.95" customHeight="1" spans="1:9">
      <c r="A12" s="521" t="s">
        <v>134</v>
      </c>
      <c r="B12" s="424">
        <v>6.4618</v>
      </c>
      <c r="C12" s="524">
        <v>-16.2</v>
      </c>
      <c r="D12" s="436">
        <v>47.3638</v>
      </c>
      <c r="E12" s="526">
        <v>16.9</v>
      </c>
      <c r="G12" s="577"/>
      <c r="I12" s="577"/>
    </row>
    <row r="13" s="196" customFormat="1" ht="24.95" customHeight="1" spans="1:9">
      <c r="A13" s="583" t="s">
        <v>135</v>
      </c>
      <c r="B13" s="424">
        <v>11.8742</v>
      </c>
      <c r="C13" s="568">
        <v>3.7</v>
      </c>
      <c r="D13" s="436">
        <v>100.3647</v>
      </c>
      <c r="E13" s="526">
        <v>-1.7</v>
      </c>
      <c r="G13" s="577"/>
      <c r="I13" s="577"/>
    </row>
    <row r="14" s="196" customFormat="1" ht="24.95" customHeight="1" spans="1:9">
      <c r="A14" s="583" t="s">
        <v>136</v>
      </c>
      <c r="B14" s="424">
        <v>1.502</v>
      </c>
      <c r="C14" s="568">
        <v>-19</v>
      </c>
      <c r="D14" s="436">
        <v>20.57</v>
      </c>
      <c r="E14" s="526">
        <v>-8.1</v>
      </c>
      <c r="G14" s="577"/>
      <c r="I14" s="577"/>
    </row>
    <row r="15" s="196" customFormat="1" ht="24.95" customHeight="1" spans="1:9">
      <c r="A15" s="521" t="s">
        <v>137</v>
      </c>
      <c r="B15" s="424">
        <v>3.399</v>
      </c>
      <c r="C15" s="524">
        <v>24.8</v>
      </c>
      <c r="D15" s="436">
        <v>25.0911</v>
      </c>
      <c r="E15" s="526">
        <v>26.9</v>
      </c>
      <c r="G15" s="577"/>
      <c r="I15" s="577"/>
    </row>
    <row r="16" s="196" customFormat="1" ht="24.95" customHeight="1" spans="1:9">
      <c r="A16" s="521" t="s">
        <v>138</v>
      </c>
      <c r="B16" s="424">
        <v>1.4111</v>
      </c>
      <c r="C16" s="524">
        <v>66.2</v>
      </c>
      <c r="D16" s="436">
        <v>19.888</v>
      </c>
      <c r="E16" s="526">
        <v>3.1</v>
      </c>
      <c r="F16" s="584"/>
      <c r="G16" s="585"/>
      <c r="I16" s="577"/>
    </row>
    <row r="17" s="196" customFormat="1" ht="24.95" customHeight="1" spans="1:9">
      <c r="A17" s="521" t="s">
        <v>139</v>
      </c>
      <c r="B17" s="424">
        <v>1.5212</v>
      </c>
      <c r="C17" s="524">
        <v>-7</v>
      </c>
      <c r="D17" s="436">
        <v>9.4652</v>
      </c>
      <c r="E17" s="526">
        <v>-23.2</v>
      </c>
      <c r="F17" s="584"/>
      <c r="G17" s="577"/>
      <c r="I17" s="577"/>
    </row>
    <row r="18" s="196" customFormat="1" ht="24.95" customHeight="1" spans="1:9">
      <c r="A18" s="521" t="s">
        <v>140</v>
      </c>
      <c r="B18" s="424">
        <v>0.3357</v>
      </c>
      <c r="C18" s="524">
        <v>-53.8</v>
      </c>
      <c r="D18" s="436">
        <v>4.1863</v>
      </c>
      <c r="E18" s="526">
        <v>-14.1</v>
      </c>
      <c r="F18" s="584"/>
      <c r="G18" s="577"/>
      <c r="I18" s="577"/>
    </row>
    <row r="19" s="196" customFormat="1" ht="24.95" customHeight="1" spans="1:9">
      <c r="A19" s="521" t="s">
        <v>141</v>
      </c>
      <c r="B19" s="424">
        <v>12.1437</v>
      </c>
      <c r="C19" s="524">
        <v>16.4</v>
      </c>
      <c r="D19" s="436">
        <v>53.6808</v>
      </c>
      <c r="E19" s="526">
        <v>19.1</v>
      </c>
      <c r="G19" s="577"/>
      <c r="I19" s="577"/>
    </row>
    <row r="20" s="196" customFormat="1" ht="24.95" customHeight="1" spans="1:9">
      <c r="A20" s="521" t="s">
        <v>142</v>
      </c>
      <c r="B20" s="424">
        <v>2.5779</v>
      </c>
      <c r="C20" s="524">
        <v>-50.4</v>
      </c>
      <c r="D20" s="436">
        <v>32.917</v>
      </c>
      <c r="E20" s="526">
        <v>-33.6</v>
      </c>
      <c r="G20" s="577"/>
      <c r="I20" s="577"/>
    </row>
    <row r="21" s="196" customFormat="1" ht="24.95" customHeight="1" spans="1:9">
      <c r="A21" s="521" t="s">
        <v>143</v>
      </c>
      <c r="B21" s="424">
        <v>6.8107</v>
      </c>
      <c r="C21" s="524">
        <v>-67.5</v>
      </c>
      <c r="D21" s="436">
        <v>79.7705</v>
      </c>
      <c r="E21" s="526">
        <v>-39.1</v>
      </c>
      <c r="G21" s="577"/>
      <c r="I21" s="577"/>
    </row>
    <row r="22" s="196" customFormat="1" ht="24.95" customHeight="1" spans="1:9">
      <c r="A22" s="521" t="s">
        <v>144</v>
      </c>
      <c r="B22" s="424">
        <v>18.0699</v>
      </c>
      <c r="C22" s="524">
        <v>3.2</v>
      </c>
      <c r="D22" s="436">
        <v>181.3974</v>
      </c>
      <c r="E22" s="526">
        <v>11.6</v>
      </c>
      <c r="G22" s="577"/>
      <c r="I22" s="577"/>
    </row>
    <row r="23" s="196" customFormat="1" ht="24.95" customHeight="1" spans="1:9">
      <c r="A23" s="586" t="s">
        <v>145</v>
      </c>
      <c r="B23" s="587">
        <v>1.7049</v>
      </c>
      <c r="C23" s="588">
        <v>-20.9</v>
      </c>
      <c r="D23" s="442">
        <v>16.6596</v>
      </c>
      <c r="E23" s="589">
        <v>-0.6</v>
      </c>
      <c r="G23" s="577"/>
      <c r="I23" s="577"/>
    </row>
    <row r="24" s="196" customFormat="1"/>
    <row r="25" s="196" customFormat="1"/>
    <row r="26" s="196" customFormat="1"/>
    <row r="27" s="196" customFormat="1"/>
    <row r="28" s="196" customFormat="1"/>
    <row r="29" s="196" customFormat="1"/>
    <row r="30" s="196" customFormat="1"/>
    <row r="31" s="196" customFormat="1"/>
    <row r="32" s="196" customFormat="1"/>
    <row r="33" s="196" customFormat="1"/>
    <row r="34" s="196" customFormat="1"/>
    <row r="35" s="196" customFormat="1"/>
    <row r="36" s="196" customFormat="1"/>
    <row r="37" s="196" customFormat="1"/>
    <row r="38" s="196" customFormat="1"/>
    <row r="39" s="196" customFormat="1"/>
    <row r="40" s="196" customFormat="1"/>
    <row r="41" s="196" customFormat="1"/>
    <row r="42" s="196" customFormat="1"/>
    <row r="43" s="196" customFormat="1"/>
    <row r="44" s="196" customFormat="1"/>
    <row r="45" s="196" customFormat="1"/>
    <row r="46" s="196" customFormat="1"/>
    <row r="47" s="196" customFormat="1"/>
    <row r="48" s="196" customFormat="1"/>
    <row r="49" s="196" customFormat="1"/>
    <row r="50" s="196" customFormat="1"/>
    <row r="51" s="196" customFormat="1"/>
    <row r="52" s="196" customFormat="1"/>
    <row r="53" s="196" customFormat="1"/>
    <row r="54" s="196" customFormat="1"/>
    <row r="55" s="196" customFormat="1"/>
    <row r="56" s="196" customFormat="1"/>
    <row r="57" s="196" customFormat="1"/>
    <row r="58" s="196" customFormat="1"/>
    <row r="59" s="196" customFormat="1"/>
    <row r="60" s="196" customFormat="1"/>
    <row r="61" s="196" customFormat="1"/>
    <row r="62" s="196" customFormat="1"/>
    <row r="63" s="196" customFormat="1"/>
    <row r="64" s="196" customFormat="1"/>
    <row r="65" s="196" customFormat="1"/>
    <row r="66" s="196" customFormat="1"/>
    <row r="67" s="196" customFormat="1"/>
    <row r="68" s="196" customFormat="1"/>
    <row r="69" s="196" customFormat="1"/>
    <row r="70" s="196" customFormat="1"/>
    <row r="71" s="196" customFormat="1"/>
    <row r="72" s="196" customFormat="1"/>
    <row r="73" s="196" customFormat="1"/>
    <row r="74" s="196" customFormat="1"/>
    <row r="75" s="196" customFormat="1"/>
    <row r="76" s="196" customFormat="1"/>
    <row r="77" s="196" customFormat="1"/>
    <row r="78" s="196" customFormat="1"/>
    <row r="79" s="196" customFormat="1"/>
    <row r="80" s="196" customFormat="1"/>
    <row r="81" s="196" customFormat="1"/>
    <row r="82" s="196" customFormat="1"/>
    <row r="83" s="196" customFormat="1"/>
    <row r="84" s="196" customFormat="1"/>
    <row r="85" s="196" customFormat="1"/>
    <row r="86" s="196" customFormat="1"/>
    <row r="87" s="196" customFormat="1"/>
    <row r="88" s="196" customFormat="1"/>
    <row r="89" s="196" customFormat="1"/>
    <row r="90" s="196" customFormat="1"/>
    <row r="91" s="196" customFormat="1"/>
    <row r="92" s="196" customFormat="1"/>
    <row r="93" s="196" customFormat="1"/>
    <row r="94" s="196" customFormat="1"/>
    <row r="95" s="196" customFormat="1"/>
    <row r="96" s="196" customFormat="1"/>
    <row r="97" s="196" customFormat="1"/>
    <row r="98" s="196" customFormat="1"/>
    <row r="99" s="196" customFormat="1"/>
    <row r="100" s="196" customFormat="1"/>
    <row r="101" s="196" customFormat="1"/>
    <row r="102" s="196" customFormat="1"/>
    <row r="103" s="196" customFormat="1"/>
    <row r="104" s="196" customFormat="1"/>
    <row r="105" s="196" customFormat="1"/>
    <row r="106" s="196" customFormat="1"/>
    <row r="107" s="196" customFormat="1"/>
    <row r="108" s="196" customFormat="1"/>
    <row r="109" s="196" customFormat="1"/>
    <row r="110" s="196" customFormat="1"/>
    <row r="111" s="196" customFormat="1"/>
    <row r="112" s="196" customFormat="1"/>
    <row r="113" s="196" customFormat="1"/>
    <row r="114" s="196" customFormat="1"/>
    <row r="115" s="196" customFormat="1"/>
    <row r="116" s="196" customFormat="1"/>
    <row r="117" s="196" customFormat="1"/>
    <row r="118" s="196" customFormat="1"/>
    <row r="119" s="196" customFormat="1"/>
    <row r="120" s="196" customFormat="1"/>
    <row r="121" s="196" customFormat="1"/>
    <row r="122" s="196" customFormat="1"/>
    <row r="123" s="196" customFormat="1"/>
    <row r="124" s="196" customFormat="1"/>
    <row r="125" s="196" customFormat="1"/>
    <row r="126" s="196" customFormat="1"/>
    <row r="127" s="196" customFormat="1"/>
    <row r="128" s="196" customFormat="1"/>
    <row r="129" s="196" customFormat="1"/>
    <row r="130" s="196" customFormat="1"/>
    <row r="131" s="196" customFormat="1"/>
    <row r="132" s="196" customFormat="1"/>
    <row r="133" s="196" customFormat="1"/>
    <row r="134" s="196" customFormat="1"/>
    <row r="135" s="196" customFormat="1"/>
    <row r="136" s="196" customFormat="1"/>
    <row r="137" s="196" customFormat="1"/>
    <row r="138" s="196" customFormat="1"/>
    <row r="139" s="196" customFormat="1"/>
    <row r="140" s="196" customFormat="1"/>
    <row r="141" s="196" customFormat="1"/>
    <row r="142" s="196" customFormat="1"/>
    <row r="143" s="196" customFormat="1"/>
    <row r="144" s="196" customFormat="1"/>
    <row r="145" s="196" customFormat="1"/>
    <row r="146" s="196" customFormat="1"/>
    <row r="147" s="196" customFormat="1"/>
    <row r="148" s="196" customFormat="1"/>
    <row r="149" s="196" customFormat="1"/>
    <row r="150" s="196" customFormat="1"/>
    <row r="151" s="196" customFormat="1"/>
    <row r="152" s="196" customFormat="1"/>
    <row r="153" s="196" customFormat="1"/>
    <row r="154" s="196" customFormat="1"/>
    <row r="155" s="196" customFormat="1"/>
    <row r="156" s="196" customFormat="1"/>
    <row r="157" s="196" customFormat="1"/>
    <row r="158" s="196" customFormat="1"/>
    <row r="159" s="196" customFormat="1"/>
    <row r="160" s="196" customFormat="1"/>
    <row r="161" s="196" customFormat="1"/>
    <row r="162" s="196" customFormat="1"/>
    <row r="163" s="196" customFormat="1"/>
    <row r="164" s="196" customFormat="1"/>
    <row r="165" s="196" customFormat="1"/>
    <row r="166" s="196" customFormat="1"/>
    <row r="167" s="196" customFormat="1"/>
    <row r="168" s="196" customFormat="1"/>
    <row r="169" s="196" customFormat="1"/>
    <row r="170" s="196" customFormat="1"/>
    <row r="171" s="196" customFormat="1"/>
    <row r="172" s="196" customFormat="1"/>
    <row r="173" s="196" customFormat="1"/>
    <row r="174" s="196" customFormat="1"/>
    <row r="175" s="196" customFormat="1"/>
    <row r="176" s="196" customFormat="1"/>
    <row r="177" s="196" customFormat="1"/>
    <row r="178" s="196" customFormat="1"/>
    <row r="179" s="196" customFormat="1"/>
    <row r="180" s="196" customFormat="1"/>
    <row r="181" s="196" customFormat="1"/>
    <row r="182" s="196" customFormat="1"/>
    <row r="183" s="196" customFormat="1"/>
    <row r="184" s="196" customFormat="1"/>
    <row r="185" s="196" customFormat="1"/>
    <row r="186" s="196" customFormat="1"/>
    <row r="187" s="196" customFormat="1"/>
    <row r="188" s="196" customFormat="1"/>
    <row r="189" s="196" customFormat="1"/>
    <row r="190" s="196" customFormat="1"/>
    <row r="191" s="196" customFormat="1"/>
    <row r="192" s="196" customFormat="1"/>
    <row r="193" s="196" customFormat="1"/>
    <row r="194" s="196" customFormat="1"/>
    <row r="195" s="196" customFormat="1"/>
    <row r="196" s="196" customFormat="1"/>
    <row r="197" s="196" customFormat="1"/>
    <row r="198" s="196" customFormat="1"/>
    <row r="199" s="196" customFormat="1"/>
    <row r="200" s="196" customFormat="1"/>
    <row r="201" s="196" customFormat="1"/>
    <row r="202" s="196" customFormat="1"/>
    <row r="203" s="196" customFormat="1"/>
    <row r="204" s="196" customFormat="1"/>
    <row r="205" s="196" customFormat="1"/>
    <row r="206" s="196" customFormat="1"/>
    <row r="207" s="196" customFormat="1"/>
    <row r="208" s="196" customFormat="1"/>
    <row r="209" s="196" customFormat="1"/>
    <row r="210" s="196" customFormat="1"/>
    <row r="211" s="196" customFormat="1"/>
    <row r="212" s="196" customFormat="1"/>
    <row r="213" s="196" customFormat="1"/>
    <row r="214" s="196" customFormat="1"/>
    <row r="215" s="196" customFormat="1"/>
    <row r="216" s="196" customFormat="1"/>
    <row r="217" s="196" customFormat="1"/>
    <row r="218" s="196" customFormat="1"/>
    <row r="219" s="196" customFormat="1"/>
    <row r="220" s="196" customFormat="1"/>
    <row r="221" s="196" customFormat="1"/>
    <row r="222" s="196" customFormat="1"/>
    <row r="223" s="196" customFormat="1"/>
    <row r="224" s="196" customFormat="1"/>
    <row r="225" s="196" customFormat="1"/>
    <row r="226" s="196" customFormat="1"/>
    <row r="227" s="196" customFormat="1"/>
    <row r="228" s="196" customFormat="1"/>
    <row r="229" s="196" customFormat="1"/>
    <row r="230" s="196" customFormat="1"/>
    <row r="231" s="196" customFormat="1"/>
    <row r="232" s="196" customFormat="1"/>
    <row r="233" s="196" customFormat="1"/>
    <row r="234" s="196" customFormat="1"/>
    <row r="235" s="196" customFormat="1"/>
    <row r="236" s="196" customFormat="1"/>
    <row r="237" s="196" customFormat="1"/>
    <row r="238" s="196" customFormat="1"/>
    <row r="239" s="196" customFormat="1"/>
    <row r="240" s="196" customFormat="1"/>
    <row r="241" s="196" customFormat="1"/>
    <row r="242" s="196" customFormat="1"/>
    <row r="243" s="196" customFormat="1"/>
    <row r="244" s="196" customFormat="1"/>
    <row r="245" s="196" customFormat="1"/>
    <row r="246" s="196" customFormat="1"/>
    <row r="247" s="196" customFormat="1"/>
    <row r="248" s="196" customFormat="1"/>
    <row r="249" s="196" customFormat="1"/>
    <row r="250" s="196" customFormat="1"/>
    <row r="251" s="196" customFormat="1"/>
    <row r="252" s="196" customFormat="1"/>
    <row r="253" s="196" customFormat="1"/>
    <row r="254" s="196" customFormat="1"/>
  </sheetData>
  <mergeCells count="2">
    <mergeCell ref="A1:E1"/>
    <mergeCell ref="D2:E2"/>
  </mergeCells>
  <pageMargins left="0.75" right="0.75" top="1" bottom="1" header="0.5" footer="0.5"/>
  <pageSetup paperSize="9" orientation="portrait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24"/>
  <sheetViews>
    <sheetView zoomScale="90" zoomScaleNormal="90" workbookViewId="0">
      <selection activeCell="G10" sqref="G10"/>
    </sheetView>
  </sheetViews>
  <sheetFormatPr defaultColWidth="9" defaultRowHeight="14.25"/>
  <cols>
    <col min="1" max="1" width="32.375" style="515" customWidth="1"/>
    <col min="2" max="2" width="12" style="515" customWidth="1"/>
    <col min="3" max="3" width="10.625" style="515" customWidth="1"/>
    <col min="4" max="4" width="12.125" style="445" customWidth="1"/>
    <col min="5" max="5" width="10.625" style="515" customWidth="1"/>
    <col min="6" max="6" width="9" style="515"/>
    <col min="7" max="7" width="10.5" style="515" customWidth="1"/>
    <col min="8" max="8" width="9.75" style="515" customWidth="1"/>
    <col min="9" max="9" width="11.75" style="515" customWidth="1"/>
    <col min="10" max="16384" width="9" style="515"/>
  </cols>
  <sheetData>
    <row r="1" ht="28.5" customHeight="1" spans="1:9">
      <c r="A1" s="477" t="s">
        <v>146</v>
      </c>
      <c r="B1" s="477"/>
      <c r="C1" s="477"/>
      <c r="D1" s="477"/>
      <c r="E1" s="477"/>
    </row>
    <row r="2" ht="19.5" customHeight="1" spans="1:9">
      <c r="A2" s="561"/>
      <c r="B2" s="561"/>
      <c r="C2" s="561"/>
      <c r="D2" s="562" t="s">
        <v>35</v>
      </c>
      <c r="E2" s="563"/>
    </row>
    <row r="3" ht="35.25" customHeight="1" spans="1:9">
      <c r="A3" s="564" t="s">
        <v>36</v>
      </c>
      <c r="B3" s="518">
        <v>43435</v>
      </c>
      <c r="C3" s="519" t="s">
        <v>75</v>
      </c>
      <c r="D3" s="387" t="s">
        <v>3</v>
      </c>
      <c r="E3" s="519" t="s">
        <v>75</v>
      </c>
      <c r="G3" s="520"/>
      <c r="I3" s="520"/>
    </row>
    <row r="4" ht="24.95" customHeight="1" spans="1:9">
      <c r="A4" s="565" t="s">
        <v>147</v>
      </c>
      <c r="B4" s="523">
        <v>0.1754</v>
      </c>
      <c r="C4" s="524">
        <v>-35.8</v>
      </c>
      <c r="D4" s="566">
        <v>1.9314</v>
      </c>
      <c r="E4" s="395">
        <v>1.2</v>
      </c>
      <c r="G4" s="520"/>
      <c r="I4" s="520"/>
    </row>
    <row r="5" ht="24.95" customHeight="1" spans="1:9">
      <c r="A5" s="527" t="s">
        <v>148</v>
      </c>
      <c r="B5" s="523">
        <v>23.432</v>
      </c>
      <c r="C5" s="524">
        <v>-7.1</v>
      </c>
      <c r="D5" s="566">
        <v>301.9265</v>
      </c>
      <c r="E5" s="395">
        <v>-2.6</v>
      </c>
      <c r="G5" s="520"/>
      <c r="I5" s="520"/>
    </row>
    <row r="6" ht="24.95" customHeight="1" spans="1:9">
      <c r="A6" s="527" t="s">
        <v>149</v>
      </c>
      <c r="B6" s="523">
        <v>5.1553</v>
      </c>
      <c r="C6" s="524">
        <v>-1.7</v>
      </c>
      <c r="D6" s="566">
        <v>48.254</v>
      </c>
      <c r="E6" s="395">
        <v>-3.7</v>
      </c>
      <c r="G6" s="520"/>
      <c r="I6" s="520"/>
    </row>
    <row r="7" ht="24.95" customHeight="1" spans="1:9">
      <c r="A7" s="527" t="s">
        <v>150</v>
      </c>
      <c r="B7" s="523">
        <v>2.6234</v>
      </c>
      <c r="C7" s="524">
        <v>17.6</v>
      </c>
      <c r="D7" s="566">
        <v>22.7828</v>
      </c>
      <c r="E7" s="395">
        <v>7.4</v>
      </c>
      <c r="G7" s="520"/>
      <c r="I7" s="520"/>
    </row>
    <row r="8" ht="24.95" customHeight="1" spans="1:9">
      <c r="A8" s="527" t="s">
        <v>151</v>
      </c>
      <c r="B8" s="523">
        <v>4.5935</v>
      </c>
      <c r="C8" s="524">
        <v>26</v>
      </c>
      <c r="D8" s="566">
        <v>30.2075</v>
      </c>
      <c r="E8" s="395">
        <v>3.7</v>
      </c>
      <c r="G8" s="520"/>
      <c r="I8" s="520"/>
    </row>
    <row r="9" ht="24.95" customHeight="1" spans="1:9">
      <c r="A9" s="527" t="s">
        <v>152</v>
      </c>
      <c r="B9" s="523">
        <v>14.6267</v>
      </c>
      <c r="C9" s="524">
        <v>20.9</v>
      </c>
      <c r="D9" s="566">
        <v>110.1681</v>
      </c>
      <c r="E9" s="395">
        <v>7</v>
      </c>
      <c r="G9" s="567"/>
      <c r="I9" s="520"/>
    </row>
    <row r="10" ht="24.95" customHeight="1" spans="1:9">
      <c r="A10" s="527" t="s">
        <v>153</v>
      </c>
      <c r="B10" s="523">
        <v>26.2636</v>
      </c>
      <c r="C10" s="524">
        <v>-8.7</v>
      </c>
      <c r="D10" s="566">
        <v>367.6397</v>
      </c>
      <c r="E10" s="395">
        <v>5.9</v>
      </c>
      <c r="G10" s="520"/>
      <c r="I10" s="520"/>
    </row>
    <row r="11" ht="24.95" customHeight="1" spans="1:9">
      <c r="A11" s="527" t="s">
        <v>154</v>
      </c>
      <c r="B11" s="523">
        <v>0.376</v>
      </c>
      <c r="C11" s="524">
        <v>50.1</v>
      </c>
      <c r="D11" s="566">
        <v>2.4556</v>
      </c>
      <c r="E11" s="395">
        <v>-15.5</v>
      </c>
      <c r="G11" s="520"/>
      <c r="I11" s="520"/>
    </row>
    <row r="12" ht="24.95" customHeight="1" spans="1:9">
      <c r="A12" s="527" t="s">
        <v>155</v>
      </c>
      <c r="B12" s="523">
        <v>8.1091</v>
      </c>
      <c r="C12" s="524">
        <v>71.2</v>
      </c>
      <c r="D12" s="566">
        <v>50.031</v>
      </c>
      <c r="E12" s="395">
        <v>27.5</v>
      </c>
      <c r="G12" s="520"/>
      <c r="I12" s="520"/>
    </row>
    <row r="13" ht="24.95" customHeight="1" spans="1:9">
      <c r="A13" s="527" t="s">
        <v>156</v>
      </c>
      <c r="B13" s="523">
        <v>0.3814</v>
      </c>
      <c r="C13" s="524">
        <v>-44.1</v>
      </c>
      <c r="D13" s="566">
        <v>5.4356</v>
      </c>
      <c r="E13" s="395">
        <v>-13.7</v>
      </c>
      <c r="G13" s="520"/>
      <c r="I13" s="520"/>
    </row>
    <row r="14" ht="24.95" customHeight="1" spans="1:9">
      <c r="A14" s="530" t="s">
        <v>157</v>
      </c>
      <c r="B14" s="523">
        <v>3.7416</v>
      </c>
      <c r="C14" s="568">
        <v>69.3</v>
      </c>
      <c r="D14" s="566">
        <v>19.7664</v>
      </c>
      <c r="E14" s="395">
        <v>58.4</v>
      </c>
      <c r="G14" s="520"/>
      <c r="I14" s="520"/>
    </row>
    <row r="15" ht="24.95" customHeight="1" spans="1:9">
      <c r="A15" s="530" t="s">
        <v>158</v>
      </c>
      <c r="B15" s="523">
        <v>0.5348</v>
      </c>
      <c r="C15" s="568">
        <v>-21</v>
      </c>
      <c r="D15" s="566">
        <v>6.5348</v>
      </c>
      <c r="E15" s="395">
        <v>-6.8</v>
      </c>
      <c r="G15" s="520"/>
      <c r="I15" s="520"/>
    </row>
    <row r="16" ht="24.95" customHeight="1" spans="1:9">
      <c r="A16" s="527" t="s">
        <v>159</v>
      </c>
      <c r="B16" s="523">
        <v>0.3244</v>
      </c>
      <c r="C16" s="524">
        <v>39.3</v>
      </c>
      <c r="D16" s="566">
        <v>2.8461</v>
      </c>
      <c r="E16" s="395">
        <v>-3.7</v>
      </c>
      <c r="G16" s="520"/>
      <c r="I16" s="520"/>
    </row>
    <row r="17" ht="24.95" customHeight="1" spans="1:9">
      <c r="A17" s="527" t="s">
        <v>160</v>
      </c>
      <c r="B17" s="523">
        <v>16.1122</v>
      </c>
      <c r="C17" s="524">
        <v>15.6</v>
      </c>
      <c r="D17" s="566">
        <v>156.5744</v>
      </c>
      <c r="E17" s="395">
        <v>14.6</v>
      </c>
      <c r="F17" s="155"/>
      <c r="G17" s="533"/>
      <c r="I17" s="520"/>
    </row>
    <row r="18" ht="24.95" customHeight="1" spans="1:9">
      <c r="A18" s="527" t="s">
        <v>161</v>
      </c>
      <c r="B18" s="523">
        <v>0.1517</v>
      </c>
      <c r="C18" s="524">
        <v>-55.8</v>
      </c>
      <c r="D18" s="566">
        <v>5.06</v>
      </c>
      <c r="E18" s="395">
        <v>230.1</v>
      </c>
      <c r="F18" s="155"/>
      <c r="G18" s="520"/>
      <c r="I18" s="520"/>
    </row>
    <row r="19" ht="24.95" customHeight="1" spans="1:9">
      <c r="A19" s="527" t="s">
        <v>162</v>
      </c>
      <c r="B19" s="523">
        <v>0.0612</v>
      </c>
      <c r="C19" s="524">
        <v>469</v>
      </c>
      <c r="D19" s="566">
        <v>0.2348</v>
      </c>
      <c r="E19" s="395">
        <v>15</v>
      </c>
      <c r="F19" s="155"/>
      <c r="G19" s="520"/>
      <c r="I19" s="520"/>
    </row>
    <row r="20" ht="24.95" customHeight="1" spans="1:9">
      <c r="A20" s="527" t="s">
        <v>163</v>
      </c>
      <c r="B20" s="523">
        <v>3.4493</v>
      </c>
      <c r="C20" s="524">
        <v>33.7</v>
      </c>
      <c r="D20" s="566">
        <v>19.5158</v>
      </c>
      <c r="E20" s="395">
        <v>23.1</v>
      </c>
      <c r="G20" s="520"/>
      <c r="I20" s="520"/>
    </row>
    <row r="21" ht="24.95" customHeight="1" spans="1:9">
      <c r="A21" s="527" t="s">
        <v>164</v>
      </c>
      <c r="B21" s="523">
        <v>0.2336</v>
      </c>
      <c r="C21" s="524">
        <v>58.1</v>
      </c>
      <c r="D21" s="566">
        <v>2.0104</v>
      </c>
      <c r="E21" s="395">
        <v>35.8</v>
      </c>
      <c r="G21" s="520"/>
      <c r="I21" s="520"/>
    </row>
    <row r="22" ht="24.95" customHeight="1" spans="1:9">
      <c r="A22" s="527" t="s">
        <v>165</v>
      </c>
      <c r="B22" s="523">
        <v>13.5539</v>
      </c>
      <c r="C22" s="524">
        <v>22.2</v>
      </c>
      <c r="D22" s="566">
        <v>149.9998</v>
      </c>
      <c r="E22" s="395">
        <v>18.2</v>
      </c>
      <c r="G22" s="520"/>
      <c r="I22" s="520"/>
    </row>
    <row r="23" ht="24.95" customHeight="1" spans="1:9">
      <c r="A23" s="527" t="s">
        <v>166</v>
      </c>
      <c r="B23" s="523">
        <v>0.5207</v>
      </c>
      <c r="C23" s="524">
        <v>15.5</v>
      </c>
      <c r="D23" s="566">
        <v>6.5991</v>
      </c>
      <c r="E23" s="395">
        <v>2.6</v>
      </c>
      <c r="G23" s="520"/>
      <c r="I23" s="520"/>
    </row>
    <row r="24" ht="24.95" customHeight="1" spans="1:9">
      <c r="A24" s="534" t="s">
        <v>167</v>
      </c>
      <c r="B24" s="536">
        <v>0.6112</v>
      </c>
      <c r="C24" s="537">
        <v>8.3</v>
      </c>
      <c r="D24" s="569">
        <v>7.0748</v>
      </c>
      <c r="E24" s="406">
        <v>3.9</v>
      </c>
      <c r="G24" s="520"/>
      <c r="I24" s="520"/>
    </row>
  </sheetData>
  <mergeCells count="2">
    <mergeCell ref="A1:E1"/>
    <mergeCell ref="D2:E2"/>
  </mergeCells>
  <pageMargins left="0.75" right="0.75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yz</Company>
  <Application>Microsoft Excel</Application>
  <HeadingPairs>
    <vt:vector size="2" baseType="variant">
      <vt:variant>
        <vt:lpstr>工作表</vt:lpstr>
      </vt:variant>
      <vt:variant>
        <vt:i4>54</vt:i4>
      </vt:variant>
    </vt:vector>
  </HeadingPairs>
  <TitlesOfParts>
    <vt:vector size="54" baseType="lpstr">
      <vt:lpstr>-------</vt:lpstr>
      <vt:lpstr>全市指标1</vt:lpstr>
      <vt:lpstr>GDP</vt:lpstr>
      <vt:lpstr>农业</vt:lpstr>
      <vt:lpstr>工业1</vt:lpstr>
      <vt:lpstr>工业2</vt:lpstr>
      <vt:lpstr>工业经济效益</vt:lpstr>
      <vt:lpstr>分行业工业总产值1</vt:lpstr>
      <vt:lpstr>分行业工业总产值2</vt:lpstr>
      <vt:lpstr>主要工业产品产量1</vt:lpstr>
      <vt:lpstr>主要工业产品产量2 </vt:lpstr>
      <vt:lpstr>主要工业产品产量3</vt:lpstr>
      <vt:lpstr>工业综合能源消费量</vt:lpstr>
      <vt:lpstr>交通 </vt:lpstr>
      <vt:lpstr>投资</vt:lpstr>
      <vt:lpstr>国内贸易</vt:lpstr>
      <vt:lpstr>财税</vt:lpstr>
      <vt:lpstr>金融</vt:lpstr>
      <vt:lpstr>进出口</vt:lpstr>
      <vt:lpstr>居民收支</vt:lpstr>
      <vt:lpstr>消价</vt:lpstr>
      <vt:lpstr>分县1</vt:lpstr>
      <vt:lpstr>分县2</vt:lpstr>
      <vt:lpstr>分县3</vt:lpstr>
      <vt:lpstr>分县4</vt:lpstr>
      <vt:lpstr>分县5</vt:lpstr>
      <vt:lpstr>分县6</vt:lpstr>
      <vt:lpstr>分县7</vt:lpstr>
      <vt:lpstr>分县8</vt:lpstr>
      <vt:lpstr>分县9</vt:lpstr>
      <vt:lpstr>分县10</vt:lpstr>
      <vt:lpstr>分县11</vt:lpstr>
      <vt:lpstr>分县12</vt:lpstr>
      <vt:lpstr>分县13</vt:lpstr>
      <vt:lpstr>分县14</vt:lpstr>
      <vt:lpstr>分县15</vt:lpstr>
      <vt:lpstr>分县16</vt:lpstr>
      <vt:lpstr>分县17</vt:lpstr>
      <vt:lpstr>分县18</vt:lpstr>
      <vt:lpstr>分市5（旧）</vt:lpstr>
      <vt:lpstr>工业序列（原）</vt:lpstr>
      <vt:lpstr>工业序列</vt:lpstr>
      <vt:lpstr>投资序列</vt:lpstr>
      <vt:lpstr>消费序列</vt:lpstr>
      <vt:lpstr>进出口序列</vt:lpstr>
      <vt:lpstr>预算收入序列</vt:lpstr>
      <vt:lpstr>价格指数序列</vt:lpstr>
      <vt:lpstr>用电量序列</vt:lpstr>
      <vt:lpstr>投资序列(原)</vt:lpstr>
      <vt:lpstr>消费序列（原）</vt:lpstr>
      <vt:lpstr>出口序列（原）</vt:lpstr>
      <vt:lpstr>地方预算收入序列（原）</vt:lpstr>
      <vt:lpstr>工业用电量序列 （原）</vt:lpstr>
      <vt:lpstr>价格序列（原）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mmtjj07</dc:creator>
  <cp:lastModifiedBy>筱瑾</cp:lastModifiedBy>
  <cp:revision>1</cp:revision>
  <dcterms:created xsi:type="dcterms:W3CDTF">2006-03-05T01:13:00Z</dcterms:created>
  <cp:lastPrinted>2016-10-14T02:19:00Z</cp:lastPrinted>
  <dcterms:modified xsi:type="dcterms:W3CDTF">2026-06-08T07:42:08Z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33A1358E8B424BF5B3A40043367BE351_12</vt:lpwstr>
  </property>
  <property fmtid="{D5CDD505-2E9C-101B-9397-08002B2CF9AE}" pid="5" name="CalculationRule">
    <vt:i4>0</vt:i4>
  </property>
</Properties>
</file>