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375" tabRatio="883" firstSheet="25" activeTab="25"/>
  </bookViews>
  <sheets>
    <sheet name="-------" sheetId="138" state="hidden" r:id="rId1"/>
    <sheet name="主要指标（一）" sheetId="312" r:id="rId2"/>
    <sheet name="主要指标（二）" sheetId="313" r:id="rId3"/>
    <sheet name="分县区" sheetId="399" r:id="rId4"/>
    <sheet name="农业" sheetId="145" r:id="rId5"/>
    <sheet name="工业增加值" sheetId="277" r:id="rId6"/>
    <sheet name="分行业工业增加值" sheetId="285" r:id="rId7"/>
    <sheet name="规上工业主要经济指标" sheetId="292" r:id="rId8"/>
    <sheet name="规上工业经济效益指标" sheetId="296" r:id="rId9"/>
    <sheet name="主要工业产品产量" sheetId="300" r:id="rId10"/>
    <sheet name="工业综合能源消费" sheetId="306" r:id="rId11"/>
    <sheet name="交通运输及邮政" sheetId="314" r:id="rId12"/>
    <sheet name="固定资产投资" sheetId="322" r:id="rId13"/>
    <sheet name="社会消费品零售总额" sheetId="327" r:id="rId14"/>
    <sheet name="财政收支" sheetId="331" r:id="rId15"/>
    <sheet name="金融" sheetId="335" r:id="rId16"/>
    <sheet name="进出口总额" sheetId="341" r:id="rId17"/>
    <sheet name="居民收入和消费价格" sheetId="345" r:id="rId18"/>
    <sheet name="分县地区生产总值及第一产业增加值" sheetId="349" r:id="rId19"/>
    <sheet name="分县第二产业增加值及第三产业增加值" sheetId="397" r:id="rId20"/>
    <sheet name="分县农业总产值及规上工业增加值" sheetId="398" r:id="rId21"/>
    <sheet name="分县规上工业利润总额和营业收入" sheetId="353" r:id="rId22"/>
    <sheet name="分县社零和投资" sheetId="354" r:id="rId23"/>
    <sheet name="分县工业投资和房地产投资" sheetId="396" r:id="rId24"/>
    <sheet name="分县工业技术改造和制造业投资" sheetId="400" r:id="rId25"/>
    <sheet name="分县财政收支" sheetId="356" r:id="rId26"/>
    <sheet name="分市5（旧）" sheetId="194" state="hidden" r:id="rId27"/>
    <sheet name="工业序列（原）" sheetId="158" state="hidden" r:id="rId28"/>
    <sheet name="投资序列(原)" sheetId="157" state="hidden" r:id="rId29"/>
    <sheet name="消费序列（原）" sheetId="156" state="hidden" r:id="rId30"/>
    <sheet name="出口序列（原）" sheetId="155" state="hidden" r:id="rId31"/>
    <sheet name="地方预算收入序列（原）" sheetId="154" state="hidden" r:id="rId32"/>
    <sheet name="工业用电量序列 （原）" sheetId="198" state="hidden" r:id="rId33"/>
    <sheet name="价格序列（原）" sheetId="153" state="hidden" r:id="rId34"/>
  </sheets>
  <externalReferences>
    <externalReference r:id="rId35"/>
    <externalReference r:id="rId36"/>
    <externalReference r:id="rId37"/>
    <externalReference r:id="rId38"/>
    <externalReference r:id="rId39"/>
  </externalReferences>
  <definedNames>
    <definedName name="_21114" localSheetId="32">#REF!</definedName>
    <definedName name="_Fill" localSheetId="32">[1]eqpmad2!#REF!</definedName>
    <definedName name="A" localSheetId="32">#REF!</definedName>
    <definedName name="aa" localSheetId="32">#REF!</definedName>
    <definedName name="data" localSheetId="32">#REF!</definedName>
    <definedName name="Database" localSheetId="32" hidden="1">#REF!</definedName>
    <definedName name="database2" localSheetId="32">#REF!</definedName>
    <definedName name="database3" localSheetId="32">#REF!</definedName>
    <definedName name="dss" localSheetId="32">#REF!</definedName>
    <definedName name="E206." localSheetId="32">#REF!</definedName>
    <definedName name="eee" localSheetId="32">#REF!</definedName>
    <definedName name="fff" localSheetId="32">#REF!</definedName>
    <definedName name="hhhh" localSheetId="32">#REF!</definedName>
    <definedName name="kkkk" localSheetId="32">#REF!</definedName>
    <definedName name="_xlnm.Print_Area" localSheetId="32">#REF!</definedName>
    <definedName name="Print_Area_MI" localSheetId="32">#REF!</definedName>
    <definedName name="rrrr" localSheetId="32">#REF!</definedName>
    <definedName name="s" localSheetId="32">#REF!</definedName>
    <definedName name="sfeggsafasfas" localSheetId="32">#REF!</definedName>
    <definedName name="Sheet1" localSheetId="32">#REF!</definedName>
    <definedName name="Sheet10" localSheetId="32">#REF!</definedName>
    <definedName name="Sheet11" localSheetId="32">#REF!</definedName>
    <definedName name="Sheet12" localSheetId="32">#REF!</definedName>
    <definedName name="Sheet3" localSheetId="32">#REF!</definedName>
    <definedName name="Sheet4" localSheetId="32">#REF!</definedName>
    <definedName name="Sheet5" localSheetId="32">#REF!</definedName>
    <definedName name="Sheet6" localSheetId="32">#REF!</definedName>
    <definedName name="Sheet7" localSheetId="32">#REF!</definedName>
    <definedName name="Sheet8" localSheetId="32">#REF!</definedName>
    <definedName name="Sheet9" localSheetId="32">#REF!</definedName>
    <definedName name="ss" localSheetId="32">#REF!</definedName>
    <definedName name="ttt" localSheetId="32">#REF!</definedName>
    <definedName name="tttt" localSheetId="32">#REF!</definedName>
    <definedName name="UFPrn20010712083924" localSheetId="32">#REF!</definedName>
    <definedName name="UFPrn20020224093130" localSheetId="32">#REF!</definedName>
    <definedName name="UFPrn20020224094757" localSheetId="32">#REF!</definedName>
    <definedName name="UFPrn20020224101302" localSheetId="32">#REF!</definedName>
    <definedName name="UFPrn20020224101600" localSheetId="32">#REF!</definedName>
    <definedName name="UFPrn20020228143318" localSheetId="32">#REF!</definedName>
    <definedName name="UFPrn20020303094007" localSheetId="32">#REF!</definedName>
    <definedName name="www" localSheetId="32">#REF!</definedName>
    <definedName name="yyyy" localSheetId="32">#REF!</definedName>
    <definedName name="备___注" localSheetId="32">#REF!</definedName>
    <definedName name="拨款汇总_合计" localSheetId="32">SUM([2]汇总!#REF!)</definedName>
    <definedName name="财力" localSheetId="32">#REF!</definedName>
    <definedName name="存货合计" localSheetId="32">#REF!</definedName>
    <definedName name="存货明细" localSheetId="32">#REF!</definedName>
    <definedName name="大幅度" localSheetId="32">#REF!</definedName>
    <definedName name="地区名称" localSheetId="32">[3]封面!#REF!</definedName>
    <definedName name="合___计" localSheetId="32">#REF!</definedName>
    <definedName name="汇率" localSheetId="32">#REF!</definedName>
    <definedName name="全额差额比例" localSheetId="32">'[4]C01-1'!#REF!</definedName>
    <definedName name="生产列1" localSheetId="32">#REF!</definedName>
    <definedName name="生产列11" localSheetId="32">#REF!</definedName>
    <definedName name="生产列15" localSheetId="32">#REF!</definedName>
    <definedName name="生产列16" localSheetId="32">#REF!</definedName>
    <definedName name="生产列17" localSheetId="32">#REF!</definedName>
    <definedName name="生产列19" localSheetId="32">#REF!</definedName>
    <definedName name="生产列2" localSheetId="32">#REF!</definedName>
    <definedName name="生产列20" localSheetId="32">#REF!</definedName>
    <definedName name="生产列3" localSheetId="32">#REF!</definedName>
    <definedName name="生产列4" localSheetId="32">#REF!</definedName>
    <definedName name="生产列5" localSheetId="32">#REF!</definedName>
    <definedName name="生产列6" localSheetId="32">#REF!</definedName>
    <definedName name="生产列7" localSheetId="32">#REF!</definedName>
    <definedName name="生产列8" localSheetId="32">#REF!</definedName>
    <definedName name="生产列9" localSheetId="32">#REF!</definedName>
    <definedName name="生产期" localSheetId="32">#REF!</definedName>
    <definedName name="生产期1" localSheetId="32">#REF!</definedName>
    <definedName name="生产期11" localSheetId="32">#REF!</definedName>
    <definedName name="生产期123" localSheetId="32">#REF!</definedName>
    <definedName name="生产期15" localSheetId="32">#REF!</definedName>
    <definedName name="生产期16" localSheetId="32">#REF!</definedName>
    <definedName name="生产期17" localSheetId="32">#REF!</definedName>
    <definedName name="生产期19" localSheetId="32">#REF!</definedName>
    <definedName name="生产期2" localSheetId="32">#REF!</definedName>
    <definedName name="生产期20" localSheetId="32">#REF!</definedName>
    <definedName name="生产期3" localSheetId="32">#REF!</definedName>
    <definedName name="生产期4" localSheetId="32">#REF!</definedName>
    <definedName name="生产期5" localSheetId="32">#REF!</definedName>
    <definedName name="生产期6" localSheetId="32">#REF!</definedName>
    <definedName name="生产期7" localSheetId="32">#REF!</definedName>
    <definedName name="生产期8" localSheetId="32">#REF!</definedName>
    <definedName name="生产期9" localSheetId="32">#REF!</definedName>
    <definedName name="是" localSheetId="32">#REF!</definedName>
    <definedName name="索引号" localSheetId="32">#REF!</definedName>
    <definedName name="未审合计" localSheetId="32">#REF!</definedName>
    <definedName name="未审数" localSheetId="32">#REF!</definedName>
    <definedName name="位次d" localSheetId="32">[5]四月份月报!#REF!</definedName>
    <definedName name="中国" localSheetId="32">#REF!</definedName>
    <definedName name="전" localSheetId="32">#REF!</definedName>
    <definedName name="주택사업본부" localSheetId="32">#REF!</definedName>
    <definedName name="철구사업본부" localSheetId="32">#REF!</definedName>
    <definedName name="_xlnm._FilterDatabase" localSheetId="32">#REF!</definedName>
    <definedName name="同比下限值">#REF!</definedName>
    <definedName name="同比上限值">#REF!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<sst xmlns="http://schemas.openxmlformats.org/spreadsheetml/2006/main" count="1448" uniqueCount="498">
  <si>
    <t>主要经济指标完成情况（一）</t>
  </si>
  <si>
    <t>指   标</t>
  </si>
  <si>
    <t>单位</t>
  </si>
  <si>
    <t>2025年</t>
  </si>
  <si>
    <t>2026年1-2月</t>
  </si>
  <si>
    <t>2026年1-3月</t>
  </si>
  <si>
    <t>2026年1-4月</t>
  </si>
  <si>
    <t>2026年1-5月</t>
  </si>
  <si>
    <t>绝对值</t>
  </si>
  <si>
    <t>增速(%)</t>
  </si>
  <si>
    <t>一、地区生产总值</t>
  </si>
  <si>
    <t>亿元</t>
  </si>
  <si>
    <t>-</t>
  </si>
  <si>
    <t xml:space="preserve">    其中：第一产业</t>
  </si>
  <si>
    <t xml:space="preserve">          第二产业</t>
  </si>
  <si>
    <t xml:space="preserve">            其中：建筑业</t>
  </si>
  <si>
    <t xml:space="preserve">          第三产业</t>
  </si>
  <si>
    <t xml:space="preserve">            其中：交运仓储邮政业</t>
  </si>
  <si>
    <t xml:space="preserve">                  批发和零售业</t>
  </si>
  <si>
    <t xml:space="preserve">                  住宿和餐饮业</t>
  </si>
  <si>
    <t xml:space="preserve">                  金融业</t>
  </si>
  <si>
    <t xml:space="preserve">                  房地产业</t>
  </si>
  <si>
    <t xml:space="preserve">                  其他服务业</t>
  </si>
  <si>
    <t xml:space="preserve">   三次产业结构</t>
  </si>
  <si>
    <t>%</t>
  </si>
  <si>
    <t>18.6:32.6:48.8</t>
  </si>
  <si>
    <t>12.8:35.5:51.7</t>
  </si>
  <si>
    <t>二、规模以上工业增加值</t>
  </si>
  <si>
    <t xml:space="preserve"> 其中：轻工业</t>
  </si>
  <si>
    <t xml:space="preserve">       重工业</t>
  </si>
  <si>
    <t xml:space="preserve"> 其中：外商及港澳台投资企业</t>
  </si>
  <si>
    <t xml:space="preserve"> 其中：国有及国有控股企业</t>
  </si>
  <si>
    <t xml:space="preserve"> 其中：石油和天然气开采业</t>
  </si>
  <si>
    <t xml:space="preserve">       石油、煤炭及其燃料加工业</t>
  </si>
  <si>
    <t xml:space="preserve">       黑色金属冶炼和压延加工业</t>
  </si>
  <si>
    <t xml:space="preserve">       造纸和纸制品业      </t>
  </si>
  <si>
    <t>三、规模以上工业出口交货值</t>
  </si>
  <si>
    <t>四、固定资产投资</t>
  </si>
  <si>
    <t xml:space="preserve">    其中：项目投资</t>
  </si>
  <si>
    <t xml:space="preserve">          房地产开发投资</t>
  </si>
  <si>
    <t>注：1.第一产业增加值不包含“ 农林牧渔专业及辅助性活动”，第二产业增加值中的工业增加值不包含“开采辅助活动”和“金属制品、机械和设备修理业”。“农林牧渔服务业”“开采辅助活动”和“金属制品、机械和设备修理业”增加值计入第三产业；
    2.据省要求，不得对外公布规模以上工业增加值、固定资产投资相关数据的绝对量，只公布增速。</t>
  </si>
  <si>
    <t>主要经济指标完成情况（二）</t>
  </si>
  <si>
    <t>五、商品房销售面积</t>
  </si>
  <si>
    <t>万平方米</t>
  </si>
  <si>
    <t>六、商品房销售额</t>
  </si>
  <si>
    <t>七、社会消费品零售总额</t>
  </si>
  <si>
    <t xml:space="preserve">    其中：城镇</t>
  </si>
  <si>
    <t xml:space="preserve">          乡村</t>
  </si>
  <si>
    <t xml:space="preserve">    其中：商品零售</t>
  </si>
  <si>
    <t xml:space="preserve">          餐饮收入</t>
  </si>
  <si>
    <t>八、进出口总额</t>
  </si>
  <si>
    <t xml:space="preserve">    其中：出口总额</t>
  </si>
  <si>
    <t xml:space="preserve">          进口总额</t>
  </si>
  <si>
    <t>九、实际利用外资</t>
  </si>
  <si>
    <t>十、地方一般公共预算收入</t>
  </si>
  <si>
    <t xml:space="preserve">    其中：税收收入</t>
  </si>
  <si>
    <t>十一、地方一般公共预算支出</t>
  </si>
  <si>
    <t>十二、金融机构本外币存款余额</t>
  </si>
  <si>
    <t xml:space="preserve">    其中：住户存款余额</t>
  </si>
  <si>
    <t>十三、金融机构本外币贷款余额</t>
  </si>
  <si>
    <t>十四、居民消费价格指数</t>
  </si>
  <si>
    <t>十五、全社会用电量</t>
  </si>
  <si>
    <t>亿千瓦时</t>
  </si>
  <si>
    <t xml:space="preserve">    其中：工业用电量</t>
  </si>
  <si>
    <t xml:space="preserve">          #制造业用电量</t>
  </si>
  <si>
    <t>十六、公路运输总周转量</t>
  </si>
  <si>
    <t>亿吨公里</t>
  </si>
  <si>
    <t>十七、水路运输总周转量</t>
  </si>
  <si>
    <t>十八、全市港口货物吞吐量</t>
  </si>
  <si>
    <t>亿吨</t>
  </si>
  <si>
    <t>十九、全市港口集装箱吞吐量</t>
  </si>
  <si>
    <t>万TEU</t>
  </si>
  <si>
    <t>注：1.金融机构存、贷款余额为月末数；
    2.一般公共预算收入相关数据增速为剔除省以下财政体制改革调整影响后的可比口径。</t>
  </si>
  <si>
    <t>2026年1-5月全市各县（市、区）主要经济指标完成情况</t>
  </si>
  <si>
    <t>地区生产总值
（一季度）</t>
  </si>
  <si>
    <t>规模以上工业增加值</t>
  </si>
  <si>
    <t>固定资产投资</t>
  </si>
  <si>
    <t>社会消费品零售总额</t>
  </si>
  <si>
    <t>地方一般公共预算收入</t>
  </si>
  <si>
    <t>绝对值
（亿元)</t>
  </si>
  <si>
    <t>增长
(%)</t>
  </si>
  <si>
    <t xml:space="preserve">  全  市</t>
  </si>
  <si>
    <t xml:space="preserve">     赤坎区</t>
  </si>
  <si>
    <t xml:space="preserve">     霞山区</t>
  </si>
  <si>
    <t xml:space="preserve">     坡头区</t>
  </si>
  <si>
    <t xml:space="preserve">     麻章区</t>
  </si>
  <si>
    <t xml:space="preserve">     吴川市</t>
  </si>
  <si>
    <t xml:space="preserve">     徐闻县</t>
  </si>
  <si>
    <t xml:space="preserve">     雷州市</t>
  </si>
  <si>
    <t xml:space="preserve">     遂溪县</t>
  </si>
  <si>
    <t xml:space="preserve">     廉江市</t>
  </si>
  <si>
    <t xml:space="preserve">     经开区</t>
  </si>
  <si>
    <t>注：1.据省要求，不得对外公布规模以上工业增加值、固定资产投资相关数据的绝对量，只公布增速。
    2.一般公共预算收入增速为剔除省以下财政体制改革调整影响后的可比口径。</t>
  </si>
  <si>
    <t>农业生产情况</t>
  </si>
  <si>
    <t>单 位</t>
  </si>
  <si>
    <t>一、农林牧渔业总产值</t>
  </si>
  <si>
    <t xml:space="preserve">        农  业</t>
  </si>
  <si>
    <t xml:space="preserve">        林  业</t>
  </si>
  <si>
    <t xml:space="preserve">        畜牧业</t>
  </si>
  <si>
    <t xml:space="preserve">        渔  业</t>
  </si>
  <si>
    <t xml:space="preserve">        农林牧渔专业及辅助性活动</t>
  </si>
  <si>
    <t>二、农林牧渔业增加值</t>
  </si>
  <si>
    <t>三、主要农产品产量</t>
  </si>
  <si>
    <t xml:space="preserve">        粮  食 </t>
  </si>
  <si>
    <t>万吨</t>
  </si>
  <si>
    <t xml:space="preserve">          其中：稻谷</t>
  </si>
  <si>
    <t xml:space="preserve">        蔬  菜 </t>
  </si>
  <si>
    <t xml:space="preserve">        园林水果 </t>
  </si>
  <si>
    <t xml:space="preserve">          其中：香蕉</t>
  </si>
  <si>
    <t xml:space="preserve">                菠萝</t>
  </si>
  <si>
    <t xml:space="preserve">        生  猪（出栏量） </t>
  </si>
  <si>
    <t>万头</t>
  </si>
  <si>
    <t xml:space="preserve">        家  禽（出栏量）      </t>
  </si>
  <si>
    <t>万只</t>
  </si>
  <si>
    <t xml:space="preserve">        水产品 </t>
  </si>
  <si>
    <t>注：农业总产值和增加值按季度核算，增长速度按可比价格计算；</t>
  </si>
  <si>
    <t>一、工业增加值（亿元）</t>
  </si>
  <si>
    <t xml:space="preserve">   其中：轻工业</t>
  </si>
  <si>
    <t xml:space="preserve">         重工业</t>
  </si>
  <si>
    <t xml:space="preserve">   其中：国有企业</t>
  </si>
  <si>
    <t xml:space="preserve">         集体企业</t>
  </si>
  <si>
    <t xml:space="preserve">         股份制企业</t>
  </si>
  <si>
    <t xml:space="preserve">         外商及港澳台企业</t>
  </si>
  <si>
    <t xml:space="preserve">         其他经济类型企业</t>
  </si>
  <si>
    <t xml:space="preserve">   其中：国有及国有控股企业</t>
  </si>
  <si>
    <t xml:space="preserve">   其中：大型企业</t>
  </si>
  <si>
    <t xml:space="preserve">         中型企业</t>
  </si>
  <si>
    <t xml:space="preserve">         小型企业</t>
  </si>
  <si>
    <t xml:space="preserve">         微型企业</t>
  </si>
  <si>
    <t>注：据省要求，不得对外公布规模以上工业增加值相关数据的绝对量，只公布增速。</t>
  </si>
  <si>
    <t>规模以上工业主要行业增加值</t>
  </si>
  <si>
    <t>规模以上工业合计（亿元）</t>
  </si>
  <si>
    <t>采矿业</t>
  </si>
  <si>
    <t>制造业</t>
  </si>
  <si>
    <t xml:space="preserve">  农副食品加工业     </t>
  </si>
  <si>
    <t xml:space="preserve">  食品制造业         </t>
  </si>
  <si>
    <t xml:space="preserve">  酒、饮料和精制茶制造业 </t>
  </si>
  <si>
    <t xml:space="preserve">  烟草制品业         </t>
  </si>
  <si>
    <t xml:space="preserve">  纺织业             </t>
  </si>
  <si>
    <t xml:space="preserve">  纺织服装、服饰业</t>
  </si>
  <si>
    <t xml:space="preserve">  皮革毛皮羽毛制品业 </t>
  </si>
  <si>
    <t xml:space="preserve">  木材、竹、藤、棕、草制品业 </t>
  </si>
  <si>
    <t xml:space="preserve">  家具制造业         </t>
  </si>
  <si>
    <t xml:space="preserve">  造纸及纸制品业     </t>
  </si>
  <si>
    <t xml:space="preserve">  印刷、记录媒介复制业</t>
  </si>
  <si>
    <t xml:space="preserve">  文教体育娱乐用品制造业</t>
  </si>
  <si>
    <t xml:space="preserve">  石油、煤炭及其燃料加工业</t>
  </si>
  <si>
    <t xml:space="preserve">  化学原料及化学制造业</t>
  </si>
  <si>
    <t xml:space="preserve">  医药制造业</t>
  </si>
  <si>
    <t xml:space="preserve">  橡胶和塑料制品业</t>
  </si>
  <si>
    <t xml:space="preserve">  非金属矿制品业</t>
  </si>
  <si>
    <t xml:space="preserve">  黑色金属冶炼压延加工业</t>
  </si>
  <si>
    <t xml:space="preserve">  有色金属冶炼压延加工业</t>
  </si>
  <si>
    <t xml:space="preserve">  金属制品业</t>
  </si>
  <si>
    <t xml:space="preserve">  通用机械制造业</t>
  </si>
  <si>
    <t xml:space="preserve">  专用设备制造业</t>
  </si>
  <si>
    <t xml:space="preserve">  汽车制造业</t>
  </si>
  <si>
    <t xml:space="preserve">  铁路船舶和其他运输设备制造业</t>
  </si>
  <si>
    <t xml:space="preserve">  电气机械及器材制造业</t>
  </si>
  <si>
    <t xml:space="preserve">  通信设备、计算机制造业</t>
  </si>
  <si>
    <t>电力、热力、燃气及水生产和供应业</t>
  </si>
  <si>
    <t xml:space="preserve">  电力、热力生产和供应业</t>
  </si>
  <si>
    <t xml:space="preserve">  燃气生产和供应业</t>
  </si>
  <si>
    <t xml:space="preserve">  自来水的生产和供应业</t>
  </si>
  <si>
    <t>规模以上工业企业主要经济指标</t>
  </si>
  <si>
    <t>指  标</t>
  </si>
  <si>
    <t>企业单位数</t>
  </si>
  <si>
    <t>个</t>
  </si>
  <si>
    <t xml:space="preserve">  其中：亏损企业</t>
  </si>
  <si>
    <t>亏损企业亏损额</t>
  </si>
  <si>
    <t>流动资产合计</t>
  </si>
  <si>
    <t xml:space="preserve">  其中：存货</t>
  </si>
  <si>
    <t xml:space="preserve">    其中：产成品</t>
  </si>
  <si>
    <t>资产合计</t>
  </si>
  <si>
    <t>负债合计</t>
  </si>
  <si>
    <t>营业收入</t>
  </si>
  <si>
    <t>营业成本</t>
  </si>
  <si>
    <t>销售费用</t>
  </si>
  <si>
    <t>管理费用</t>
  </si>
  <si>
    <t>财务费用</t>
  </si>
  <si>
    <t>利润总额</t>
  </si>
  <si>
    <t>税金及附加</t>
  </si>
  <si>
    <t>应交增值税</t>
  </si>
  <si>
    <t>平均用工人数</t>
  </si>
  <si>
    <t>万人</t>
  </si>
  <si>
    <t>规模以上工业经济效益指标</t>
  </si>
  <si>
    <t>资产利润率</t>
  </si>
  <si>
    <t xml:space="preserve">  比上年同期增（减）</t>
  </si>
  <si>
    <t>百分点</t>
  </si>
  <si>
    <t>资本保值增值率</t>
  </si>
  <si>
    <t>资产负债率</t>
  </si>
  <si>
    <t>流动资产周转率</t>
  </si>
  <si>
    <t>次</t>
  </si>
  <si>
    <t>成本费用利润率</t>
  </si>
  <si>
    <t>产品销售率</t>
  </si>
  <si>
    <t>全员劳动生产率</t>
  </si>
  <si>
    <t>万元/人</t>
  </si>
  <si>
    <t>主要工业产品产量</t>
  </si>
  <si>
    <t xml:space="preserve">饲料    </t>
  </si>
  <si>
    <t xml:space="preserve">食用植物油    </t>
  </si>
  <si>
    <t xml:space="preserve">成品糖        </t>
  </si>
  <si>
    <t>食品添加剂</t>
  </si>
  <si>
    <t>鲜冷藏冻肉</t>
  </si>
  <si>
    <t xml:space="preserve">饮料酒         </t>
  </si>
  <si>
    <t>千升</t>
  </si>
  <si>
    <t xml:space="preserve">  啤酒   </t>
  </si>
  <si>
    <t>饮料</t>
  </si>
  <si>
    <t xml:space="preserve">冷冻水产品    </t>
  </si>
  <si>
    <t xml:space="preserve">卷烟        </t>
  </si>
  <si>
    <t>亿支</t>
  </si>
  <si>
    <t>鞋</t>
  </si>
  <si>
    <t>万双</t>
  </si>
  <si>
    <t>手提包（袋）、背包</t>
  </si>
  <si>
    <t>万个</t>
  </si>
  <si>
    <t>纸浆</t>
  </si>
  <si>
    <t xml:space="preserve">人造板        </t>
  </si>
  <si>
    <t>万立方米</t>
  </si>
  <si>
    <t xml:space="preserve">家具          </t>
  </si>
  <si>
    <t>万件</t>
  </si>
  <si>
    <t xml:space="preserve">机制纸及纸板  </t>
  </si>
  <si>
    <t xml:space="preserve">纸制品        </t>
  </si>
  <si>
    <t xml:space="preserve">原油加工量    </t>
  </si>
  <si>
    <t>汽油</t>
  </si>
  <si>
    <t>柴油</t>
  </si>
  <si>
    <t>燃料油</t>
  </si>
  <si>
    <t>石油沥青</t>
  </si>
  <si>
    <t>液化石油气</t>
  </si>
  <si>
    <t xml:space="preserve">水泥         </t>
  </si>
  <si>
    <t xml:space="preserve">商品混凝土   </t>
  </si>
  <si>
    <t>生铁</t>
  </si>
  <si>
    <t>粗钢</t>
  </si>
  <si>
    <t>钢材</t>
  </si>
  <si>
    <t xml:space="preserve">电饭锅       </t>
  </si>
  <si>
    <t xml:space="preserve">灯具照明装置 </t>
  </si>
  <si>
    <t>万台(套)</t>
  </si>
  <si>
    <t xml:space="preserve">发电量       </t>
  </si>
  <si>
    <t>工业综合能源消费量及六大高耗能行业用电量</t>
  </si>
  <si>
    <t>综合能源消费量（万吨标准煤）</t>
  </si>
  <si>
    <t xml:space="preserve">  采矿业</t>
  </si>
  <si>
    <t xml:space="preserve">  制造业</t>
  </si>
  <si>
    <t xml:space="preserve">  电力、热力、燃气及水生产和供应业</t>
  </si>
  <si>
    <t>六大高耗能行业综合能源消费量（万吨标准煤）</t>
  </si>
  <si>
    <t xml:space="preserve">  化学原料和化学制品制造业</t>
  </si>
  <si>
    <t xml:space="preserve">  非金属矿物制品业</t>
  </si>
  <si>
    <t xml:space="preserve">  黑色金属冶炼和压延加工业</t>
  </si>
  <si>
    <t xml:space="preserve">  有色金属冶炼和压延加工业 </t>
  </si>
  <si>
    <t>六大高耗能行业用电量（万千瓦时）</t>
  </si>
  <si>
    <t>六大高耗能行业增加值（亿元）</t>
  </si>
  <si>
    <t>注：1.本表统计口径为规模以上工业，工业综合能源消费量(按当量值计算)为企业在工业生产活动中实际消费的各种能源的总和净值，用电量数据为联网直报企业填报数；
    2.据省要求，不得对外公布规模以上工业增加值相关数据的绝对量，只公布增速。</t>
  </si>
  <si>
    <t>交通运输及邮政</t>
  </si>
  <si>
    <t>港  口</t>
  </si>
  <si>
    <t xml:space="preserve">  全市港口货物吞吐量</t>
  </si>
  <si>
    <t xml:space="preserve">  全市港口集装箱吞吐量</t>
  </si>
  <si>
    <t>公 路</t>
  </si>
  <si>
    <t xml:space="preserve"> </t>
  </si>
  <si>
    <t xml:space="preserve">  货运量</t>
  </si>
  <si>
    <t xml:space="preserve">  货物周转量</t>
  </si>
  <si>
    <t xml:space="preserve">  客运量</t>
  </si>
  <si>
    <t xml:space="preserve">  旅客周转量</t>
  </si>
  <si>
    <t>亿人公里</t>
  </si>
  <si>
    <t>水 路</t>
  </si>
  <si>
    <t>邮  政</t>
  </si>
  <si>
    <t xml:space="preserve">  邮政行业业务收入</t>
  </si>
  <si>
    <t xml:space="preserve">    其中：邮政普遍服务</t>
  </si>
  <si>
    <t xml:space="preserve">          快递业务</t>
  </si>
  <si>
    <t xml:space="preserve">  邮政行业业务总量</t>
  </si>
  <si>
    <t>亿标准量</t>
  </si>
  <si>
    <t xml:space="preserve">  邮政寄递服务业务量</t>
  </si>
  <si>
    <t xml:space="preserve">    快递业务量</t>
  </si>
  <si>
    <t xml:space="preserve">      其中：同城</t>
  </si>
  <si>
    <t xml:space="preserve">            异地</t>
  </si>
  <si>
    <t xml:space="preserve">            #国际、港澳台</t>
  </si>
  <si>
    <t xml:space="preserve">  项目投资</t>
  </si>
  <si>
    <t xml:space="preserve">    基础设施 </t>
  </si>
  <si>
    <t xml:space="preserve">      #城市建设</t>
  </si>
  <si>
    <t xml:space="preserve">      交通运输基础设施投资</t>
  </si>
  <si>
    <t xml:space="preserve">    工业</t>
  </si>
  <si>
    <t xml:space="preserve">      #制造业</t>
  </si>
  <si>
    <t xml:space="preserve">      工业技术改造</t>
  </si>
  <si>
    <t xml:space="preserve">  房地产开发</t>
  </si>
  <si>
    <t xml:space="preserve">  按产业分：第一产业</t>
  </si>
  <si>
    <t xml:space="preserve">            第二产业</t>
  </si>
  <si>
    <t xml:space="preserve">            第三产业</t>
  </si>
  <si>
    <t>投资项目施工个数</t>
  </si>
  <si>
    <t xml:space="preserve">  亿元以上项目个数</t>
  </si>
  <si>
    <t xml:space="preserve">  工业投资项目个数</t>
  </si>
  <si>
    <t xml:space="preserve">  基础设施投资项目个数</t>
  </si>
  <si>
    <t xml:space="preserve">   #交通运输基础设施投资项目个数</t>
  </si>
  <si>
    <t>房地产开发投资项目个数</t>
  </si>
  <si>
    <t>房地产开发投资房屋施工面积</t>
  </si>
  <si>
    <t xml:space="preserve">  #住宅</t>
  </si>
  <si>
    <t>商品房销售面积</t>
  </si>
  <si>
    <t>商品房销售额</t>
  </si>
  <si>
    <t>注：据省要求，不得对外公布固定资产投资相关数据的绝对量，只公布增速。</t>
  </si>
  <si>
    <t>社会消费品零售总额（亿元）</t>
  </si>
  <si>
    <t>按经营地分</t>
  </si>
  <si>
    <t xml:space="preserve">  城镇</t>
  </si>
  <si>
    <t xml:space="preserve">  乡村</t>
  </si>
  <si>
    <t>按消费类型分</t>
  </si>
  <si>
    <t xml:space="preserve">  商品零售</t>
  </si>
  <si>
    <t xml:space="preserve">  餐饮收入</t>
  </si>
  <si>
    <t>限额以上单位商品零售</t>
  </si>
  <si>
    <t xml:space="preserve">  粮油、食品类</t>
  </si>
  <si>
    <t xml:space="preserve">  饮料类</t>
  </si>
  <si>
    <t xml:space="preserve">  烟酒类</t>
  </si>
  <si>
    <t xml:space="preserve">  服装鞋帽针纺织品类</t>
  </si>
  <si>
    <t xml:space="preserve">  化妆品类</t>
  </si>
  <si>
    <t xml:space="preserve">  金银珠宝类</t>
  </si>
  <si>
    <t xml:space="preserve">  日用品类</t>
  </si>
  <si>
    <t xml:space="preserve">  五金电料类</t>
  </si>
  <si>
    <t xml:space="preserve">  体育娱乐用品类</t>
  </si>
  <si>
    <t xml:space="preserve">  书报杂志类</t>
  </si>
  <si>
    <t xml:space="preserve">  家用电器和音像器材类</t>
  </si>
  <si>
    <t xml:space="preserve">  中西药品类</t>
  </si>
  <si>
    <t xml:space="preserve">  文化办公用品类</t>
  </si>
  <si>
    <t xml:space="preserve">  家具类</t>
  </si>
  <si>
    <t xml:space="preserve">  通讯器材类</t>
  </si>
  <si>
    <t xml:space="preserve">  石油及制品类</t>
  </si>
  <si>
    <t xml:space="preserve">  建筑及装潢材料类</t>
  </si>
  <si>
    <t xml:space="preserve">  机电产品及设备类</t>
  </si>
  <si>
    <t xml:space="preserve">  汽车类</t>
  </si>
  <si>
    <t>财政收支情况</t>
  </si>
  <si>
    <t>地方一般公共预算收入（亿元）</t>
  </si>
  <si>
    <t xml:space="preserve">  税收收入</t>
  </si>
  <si>
    <t xml:space="preserve">     ＃增值税</t>
  </si>
  <si>
    <t xml:space="preserve">       企业所得税</t>
  </si>
  <si>
    <t xml:space="preserve">       个人所得税</t>
  </si>
  <si>
    <t xml:space="preserve">       城市维护建设税</t>
  </si>
  <si>
    <t xml:space="preserve">       房产税</t>
  </si>
  <si>
    <t xml:space="preserve">       土地增值税</t>
  </si>
  <si>
    <t xml:space="preserve">       契税</t>
  </si>
  <si>
    <t xml:space="preserve">  非税收入</t>
  </si>
  <si>
    <t>地方一般公共预算支出（亿元）</t>
  </si>
  <si>
    <t xml:space="preserve">  ＃一般公共服务</t>
  </si>
  <si>
    <t xml:space="preserve">    科学技术</t>
  </si>
  <si>
    <t xml:space="preserve">    民生支出合计</t>
  </si>
  <si>
    <t xml:space="preserve">      ＃教育</t>
  </si>
  <si>
    <t xml:space="preserve">        文化旅游体育与传媒</t>
  </si>
  <si>
    <t xml:space="preserve">        社会保障和就业</t>
  </si>
  <si>
    <t xml:space="preserve">        卫生健康</t>
  </si>
  <si>
    <t xml:space="preserve">        节能环保</t>
  </si>
  <si>
    <t xml:space="preserve">        城乡社区事务</t>
  </si>
  <si>
    <t xml:space="preserve">        农林水事务</t>
  </si>
  <si>
    <t xml:space="preserve">        交通运输</t>
  </si>
  <si>
    <t xml:space="preserve">        住房保障支出</t>
  </si>
  <si>
    <t xml:space="preserve">        粮油物资储备事务</t>
  </si>
  <si>
    <t>注：1.本表数据来源市财政局；
    2一般公共预算收入相关数据增速为剔除省以下财政体制改革调整影响后的可比口径；
    3.部分数据由于小数位取舍不同而产生的计算误差，均未作机械调整。</t>
  </si>
  <si>
    <t>金   融</t>
  </si>
  <si>
    <t>一、金融机构本外币各项存款余额（亿元）</t>
  </si>
  <si>
    <t>（一）境内存款</t>
  </si>
  <si>
    <t xml:space="preserve">   1.住户存款</t>
  </si>
  <si>
    <t xml:space="preserve">   2.非金融企业存款</t>
  </si>
  <si>
    <t xml:space="preserve">   3.广义政府存款</t>
  </si>
  <si>
    <t xml:space="preserve">   4.非银行业金融机构存款</t>
  </si>
  <si>
    <t>（二）境外存款</t>
  </si>
  <si>
    <t>二、金融机构本外币各项贷款余额（亿元）</t>
  </si>
  <si>
    <t>（一）境内贷款</t>
  </si>
  <si>
    <t xml:space="preserve">   1.住户贷款</t>
  </si>
  <si>
    <t xml:space="preserve">   2.非金融企业及机关团体贷款</t>
  </si>
  <si>
    <t xml:space="preserve">   3.非银行业金融机构贷款</t>
  </si>
  <si>
    <t>（二）境外贷款</t>
  </si>
  <si>
    <t>三、金融机构人民币各项存款余额（亿元）</t>
  </si>
  <si>
    <t xml:space="preserve">     其中：活期存款</t>
  </si>
  <si>
    <t xml:space="preserve">     其中：机关团体存款</t>
  </si>
  <si>
    <t>四、金融机构人民币各项贷款余额（亿元）</t>
  </si>
  <si>
    <t xml:space="preserve">     其中：中长期贷款</t>
  </si>
  <si>
    <t xml:space="preserve">     其中：短期贷款</t>
  </si>
  <si>
    <t xml:space="preserve">          中长期贷款</t>
  </si>
  <si>
    <t>注：本表数据来源中国人民银行湛江市分行。</t>
  </si>
  <si>
    <t>外贸进出口总额和利用外资</t>
  </si>
  <si>
    <t>一、外贸进出口总额（亿元）</t>
  </si>
  <si>
    <t xml:space="preserve">   (一)出口总额</t>
  </si>
  <si>
    <t xml:space="preserve">   1.按主要贸易方式分</t>
  </si>
  <si>
    <t xml:space="preserve">       一般贸易</t>
  </si>
  <si>
    <t xml:space="preserve">       加工贸易</t>
  </si>
  <si>
    <t xml:space="preserve">       保税物流</t>
  </si>
  <si>
    <t xml:space="preserve">   2.按主要经济类型分</t>
  </si>
  <si>
    <t xml:space="preserve">       国有企业</t>
  </si>
  <si>
    <t xml:space="preserve">       民营企业</t>
  </si>
  <si>
    <t xml:space="preserve">       外商投资企业</t>
  </si>
  <si>
    <t xml:space="preserve">   3.按主要国家（地区）分</t>
  </si>
  <si>
    <t xml:space="preserve">      中 国 香 港</t>
  </si>
  <si>
    <t xml:space="preserve">       日     本</t>
  </si>
  <si>
    <t xml:space="preserve">       美     国</t>
  </si>
  <si>
    <t xml:space="preserve">       欧     盟(27国）</t>
  </si>
  <si>
    <t xml:space="preserve">  (二)进口总额</t>
  </si>
  <si>
    <t xml:space="preserve">  按主要贸易方式分</t>
  </si>
  <si>
    <t xml:space="preserve">    一般贸易</t>
  </si>
  <si>
    <t xml:space="preserve">    加工贸易</t>
  </si>
  <si>
    <t xml:space="preserve">    保税物流</t>
  </si>
  <si>
    <t>二、利用外资</t>
  </si>
  <si>
    <t xml:space="preserve">    外商直接投资项目（个）</t>
  </si>
  <si>
    <t xml:space="preserve">    合同利用外商直接投资（亿元）</t>
  </si>
  <si>
    <t xml:space="preserve">    实际利用外商直接投资（亿元）</t>
  </si>
  <si>
    <t>注：本表数据来源湛江海关和市商务局。</t>
  </si>
  <si>
    <t>居民人均可支配收入</t>
  </si>
  <si>
    <t>居民人均可支配收入（元）</t>
  </si>
  <si>
    <t xml:space="preserve">  其中：城镇居民人均可支配收入</t>
  </si>
  <si>
    <t xml:space="preserve">       农村居民人均可支配收入</t>
  </si>
  <si>
    <t>居民消费价格指数</t>
  </si>
  <si>
    <t>上年同月=100</t>
  </si>
  <si>
    <t>上年同期=100</t>
  </si>
  <si>
    <t>一、居民消费价格总指数（%）</t>
  </si>
  <si>
    <t>（一）食品烟酒</t>
  </si>
  <si>
    <t xml:space="preserve">       #粮食</t>
  </si>
  <si>
    <t xml:space="preserve">        鲜菜</t>
  </si>
  <si>
    <t xml:space="preserve">        畜肉类</t>
  </si>
  <si>
    <t xml:space="preserve">        水产品</t>
  </si>
  <si>
    <t xml:space="preserve">        蛋类</t>
  </si>
  <si>
    <t xml:space="preserve">        在外餐饮</t>
  </si>
  <si>
    <t>（二）衣着</t>
  </si>
  <si>
    <t>（三）居住</t>
  </si>
  <si>
    <t xml:space="preserve">（四）生活用品及服务 </t>
  </si>
  <si>
    <t>（五）交通和通信</t>
  </si>
  <si>
    <t>（六）教育文化和娱乐</t>
  </si>
  <si>
    <t xml:space="preserve">      #教育</t>
  </si>
  <si>
    <t>（七）医疗保健</t>
  </si>
  <si>
    <t>（八）其他用品和服务</t>
  </si>
  <si>
    <t>二、服务项目价格指数（%）</t>
  </si>
  <si>
    <t>注:本表数据来源国家统计局湛江调查队。</t>
  </si>
  <si>
    <t>各县（市、区）地区生产总值和第一产业增加值</t>
  </si>
  <si>
    <t>地区生产总值（亿元）</t>
  </si>
  <si>
    <t xml:space="preserve">   全  市</t>
  </si>
  <si>
    <t xml:space="preserve">   全市总计中：经开区</t>
  </si>
  <si>
    <t>第一产业增加值（亿元）</t>
  </si>
  <si>
    <t>注：经开区为全市的其中数，与赤坎区、霞山区数据存在部分重复。经开区数据分为乐山大道以北、乐山大道以南和东海岛三片，乐山大道以北片数据计入赤坎区，乐山大道以南片数据计入霞山区，东海岛片单独由经开区统计。</t>
  </si>
  <si>
    <t>各县（市、区）第二产业增加值和第三产业增加值</t>
  </si>
  <si>
    <t>第二产业增加值（亿元）</t>
  </si>
  <si>
    <t>第三产业增加值（亿元）</t>
  </si>
  <si>
    <t>各县（市、区）农林牧渔业总产值和规上工业增加值</t>
  </si>
  <si>
    <t>农林牧渔业总产值（亿元）</t>
  </si>
  <si>
    <t>规模以上工业增加值（亿元）</t>
  </si>
  <si>
    <t xml:space="preserve">注：1.本表中经开区规上工业增加值经开区为全市的其中数，与赤坎区、霞山区数据存在部分重复。经开区数据分为乐山大道以北、乐山大道以南和东海岛三片，乐山大道以北片数据计入赤坎区，乐山大道以南片数据计入霞山区，东海岛片单独由经开区统计，下表同。
2.据省要求，不得对外公布规模以上工业增加值相关数据的绝对量，只公布增速。
</t>
  </si>
  <si>
    <t>各县（市、区）规上工业企业利润总额和营业收入</t>
  </si>
  <si>
    <t>规模以上工业企业利润总额（亿元）</t>
  </si>
  <si>
    <t>规模以上工业企业营业收入（亿元）</t>
  </si>
  <si>
    <t>各县（市、区）社会消费品零售总额和固定资产投资</t>
  </si>
  <si>
    <t>固定资产投资（亿元）</t>
  </si>
  <si>
    <r>
      <rPr>
        <sz val="11"/>
        <rFont val="宋体"/>
        <charset val="134"/>
        <scheme val="minor"/>
      </rPr>
      <t xml:space="preserve">   </t>
    </r>
    <r>
      <rPr>
        <sz val="11"/>
        <rFont val="宋体"/>
        <charset val="134"/>
      </rPr>
      <t xml:space="preserve">  经开区</t>
    </r>
  </si>
  <si>
    <t>注：1.表中社会消费品零售总额经开区为全市单列其中数，其他县（市、区）之和等于全市数；
    2.表中赤坎区、霞山区2025年固定资产投资数据含跨区数据；
    3.据省要求，不得对外公布固定资产投资相关数据的绝对量，只公布增速。</t>
  </si>
  <si>
    <t>各县（市、区）工业投资和房地产开发投资</t>
  </si>
  <si>
    <t>工业投资（亿元）</t>
  </si>
  <si>
    <t>房地产开发投资（亿元）</t>
  </si>
  <si>
    <t>注：1.表中赤坎区、霞山区2025年固定资产投资数据含跨区数据；
    2.据省要求，不得对外公布固定资产投资相关数据的绝对量，只公布增速。</t>
  </si>
  <si>
    <t>各县（市、区）工业技术改造投资和制造业投资</t>
  </si>
  <si>
    <t>工业技术改造投资（亿元）</t>
  </si>
  <si>
    <t>制造业投资（亿元）</t>
  </si>
  <si>
    <t>各县（市、区）财政收支</t>
  </si>
  <si>
    <t>注：1.本表数据来源市财政局；
    2.一般公共预算收入增速为剔除省以下财政体制改革调整影响后的可比口径。</t>
  </si>
  <si>
    <t>全国及全省各市主要经济指标完成情况（五）</t>
  </si>
  <si>
    <t>单位：亿元</t>
  </si>
  <si>
    <t xml:space="preserve"> 市    别 </t>
  </si>
  <si>
    <t>地税收入</t>
  </si>
  <si>
    <t>国税收入</t>
  </si>
  <si>
    <t>1-5月</t>
  </si>
  <si>
    <t>增长（%）</t>
  </si>
  <si>
    <t>增速排位</t>
  </si>
  <si>
    <t>全  国</t>
  </si>
  <si>
    <t>全  省</t>
  </si>
  <si>
    <t>广州市</t>
  </si>
  <si>
    <t>深圳市</t>
  </si>
  <si>
    <t>珠海市</t>
  </si>
  <si>
    <t>汕头市</t>
  </si>
  <si>
    <t>佛山市</t>
  </si>
  <si>
    <t>韶关市</t>
  </si>
  <si>
    <t>河源市</t>
  </si>
  <si>
    <t>梅州市</t>
  </si>
  <si>
    <t>惠州市</t>
  </si>
  <si>
    <t>汕尾市</t>
  </si>
  <si>
    <t>东莞市</t>
  </si>
  <si>
    <t>中山市</t>
  </si>
  <si>
    <t>江门市</t>
  </si>
  <si>
    <t>阳江市</t>
  </si>
  <si>
    <t>湛江市</t>
  </si>
  <si>
    <t>茂名市</t>
  </si>
  <si>
    <t>肇庆市</t>
  </si>
  <si>
    <t>清远市</t>
  </si>
  <si>
    <t>潮州市</t>
  </si>
  <si>
    <t>揭阳市</t>
  </si>
  <si>
    <t>云浮市</t>
  </si>
  <si>
    <t>规模以上工业增加值序列</t>
  </si>
  <si>
    <t xml:space="preserve">  单位：万元</t>
  </si>
  <si>
    <t>时间</t>
  </si>
  <si>
    <t xml:space="preserve">  累计</t>
  </si>
  <si>
    <t>累计增长%</t>
  </si>
  <si>
    <t>固定资产投资序列</t>
  </si>
  <si>
    <r>
      <rPr>
        <sz val="12"/>
        <rFont val="宋体"/>
        <charset val="134"/>
      </rPr>
      <t xml:space="preserve"> </t>
    </r>
    <r>
      <rPr>
        <sz val="12"/>
        <rFont val="宋体"/>
        <charset val="134"/>
      </rPr>
      <t xml:space="preserve"> </t>
    </r>
    <r>
      <rPr>
        <sz val="12"/>
        <rFont val="宋体"/>
        <charset val="134"/>
      </rPr>
      <t>单位：万元</t>
    </r>
  </si>
  <si>
    <t>社会消费品零售总额序列</t>
  </si>
  <si>
    <t>出口序列</t>
  </si>
  <si>
    <t xml:space="preserve">    单位：万元</t>
  </si>
  <si>
    <t>外贸出口总额</t>
  </si>
  <si>
    <t>地方一般公共预算收入序列</t>
  </si>
  <si>
    <t>工业用电量序列</t>
  </si>
  <si>
    <t xml:space="preserve">  单位：亿千瓦时</t>
  </si>
  <si>
    <t>工业用电量</t>
  </si>
  <si>
    <t>（上年同期＝100）单位：%</t>
  </si>
  <si>
    <t>当月</t>
  </si>
  <si>
    <t>累计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</si>
</sst>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3" formatCode="_ * #,##0.00_ ;_ * \-#,##0.00_ ;_ * &quot;-&quot;??_ ;_ @_ "/>
    <numFmt numFmtId="176" formatCode="_ &quot;￥&quot;* #,##0.00_ ;_ &quot;￥&quot;* \-#,##0.00_ ;_ &quot;￥&quot;* \-??_ ;_ @_ "/>
    <numFmt numFmtId="177" formatCode="_ &quot;￥&quot;* #,##0_ ;_ &quot;￥&quot;* \-#,##0_ ;_ &quot;￥&quot;* \-_ ;_ @_ "/>
    <numFmt numFmtId="178" formatCode="_(&quot;$&quot;* #,##0.00_);_(&quot;$&quot;* \(#,##0.00\);_(&quot;$&quot;* &quot;-&quot;??_);_(@_)"/>
    <numFmt numFmtId="179" formatCode="0.0"/>
    <numFmt numFmtId="180" formatCode="_-&quot;$&quot;* #,##0_-;\-&quot;$&quot;* #,##0_-;_-&quot;$&quot;* &quot;-&quot;_-;_-@_-"/>
    <numFmt numFmtId="181" formatCode="#,##0.0_);\(#,##0.0\)"/>
    <numFmt numFmtId="182" formatCode="&quot;$&quot;\ #,##0_-;[Red]&quot;$&quot;\ #,##0\-"/>
    <numFmt numFmtId="183" formatCode="#,##0;\-#,##0;&quot;-&quot;"/>
    <numFmt numFmtId="184" formatCode="&quot;$&quot;#,##0_);[Red]\(&quot;$&quot;#,##0\)"/>
    <numFmt numFmtId="185" formatCode="_-&quot;$&quot;\ * #,##0_-;_-&quot;$&quot;\ * #,##0\-;_-&quot;$&quot;\ * &quot;-&quot;_-;_-@_-"/>
    <numFmt numFmtId="186" formatCode="#\ ??/??"/>
    <numFmt numFmtId="187" formatCode="0.00_)"/>
    <numFmt numFmtId="188" formatCode="0_);\(0\)"/>
    <numFmt numFmtId="189" formatCode="#,##0;\(#,##0\)"/>
    <numFmt numFmtId="190" formatCode="_(&quot;$&quot;* #,##0_);_(&quot;$&quot;* \(#,##0\);_(&quot;$&quot;* &quot;-&quot;_);_(@_)"/>
    <numFmt numFmtId="191" formatCode="\$#,##0;\(\$#,##0\)"/>
    <numFmt numFmtId="192" formatCode="yy\.mm\.dd"/>
    <numFmt numFmtId="193" formatCode="_-&quot;$&quot;\ * #,##0.00_-;_-&quot;$&quot;\ * #,##0.00\-;_-&quot;$&quot;\ * &quot;-&quot;??_-;_-@_-"/>
    <numFmt numFmtId="194" formatCode="&quot;$&quot;#,##0.00_);[Red]\(&quot;$&quot;#,##0.00\)"/>
    <numFmt numFmtId="195" formatCode="_-* #,##0&quot;$&quot;_-;\-* #,##0&quot;$&quot;_-;_-* &quot;-&quot;&quot;$&quot;_-;_-@_-"/>
    <numFmt numFmtId="196" formatCode="_-* #,##0.00&quot;$&quot;_-;\-* #,##0.00&quot;$&quot;_-;_-* &quot;-&quot;??&quot;$&quot;_-;_-@_-"/>
    <numFmt numFmtId="197" formatCode="_-* #,##0_$_-;\-* #,##0_$_-;_-* &quot;-&quot;_$_-;_-@_-"/>
    <numFmt numFmtId="198" formatCode="_-* #,##0.00_$_-;\-* #,##0.00_$_-;_-* &quot;-&quot;??_$_-;_-@_-"/>
    <numFmt numFmtId="199" formatCode="\$#,##0.00;\(\$#,##0.00\)"/>
    <numFmt numFmtId="200" formatCode="&quot;$&quot;\ #,##0.00_-;[Red]&quot;$&quot;\ #,##0.00\-"/>
    <numFmt numFmtId="201" formatCode="_-* #,##0.00_-;\-* #,##0.00_-;_-* &quot;-&quot;??_-;_-@_-"/>
    <numFmt numFmtId="202" formatCode="0.0_);[Red]\(0.0\)"/>
    <numFmt numFmtId="203" formatCode="0.0_ "/>
    <numFmt numFmtId="204" formatCode="0_);[Red]\(0\)"/>
    <numFmt numFmtId="205" formatCode="0.00_ "/>
    <numFmt numFmtId="206" formatCode="0;_؄"/>
    <numFmt numFmtId="207" formatCode="0_ "/>
    <numFmt numFmtId="208" formatCode="0.00_);[Red]\(0.00\)"/>
  </numFmts>
  <fonts count="101">
    <font>
      <sz val="12"/>
      <name val="宋体"/>
      <charset val="134"/>
    </font>
    <font>
      <sz val="8"/>
      <name val="宋体"/>
      <charset val="134"/>
    </font>
    <font>
      <sz val="10"/>
      <name val="Arial"/>
      <charset val="0"/>
    </font>
    <font>
      <b/>
      <sz val="18"/>
      <name val="方正小标宋简体"/>
      <charset val="134"/>
    </font>
    <font>
      <sz val="10"/>
      <name val="宋体"/>
      <charset val="134"/>
    </font>
    <font>
      <sz val="12"/>
      <color indexed="10"/>
      <name val="宋体"/>
      <charset val="134"/>
    </font>
    <font>
      <b/>
      <sz val="14"/>
      <name val="宋体"/>
      <charset val="134"/>
    </font>
    <font>
      <sz val="14"/>
      <name val="宋体"/>
      <charset val="134"/>
    </font>
    <font>
      <sz val="12"/>
      <color indexed="10"/>
      <name val="黑体"/>
      <charset val="134"/>
    </font>
    <font>
      <b/>
      <sz val="12"/>
      <name val="宋体"/>
      <charset val="134"/>
    </font>
    <font>
      <b/>
      <sz val="9"/>
      <name val="Times New Roman"/>
      <charset val="0"/>
    </font>
    <font>
      <sz val="9"/>
      <name val="Times New Roman"/>
      <charset val="0"/>
    </font>
    <font>
      <sz val="10.5"/>
      <name val="Times New Roman"/>
      <charset val="0"/>
    </font>
    <font>
      <sz val="14"/>
      <name val="仿宋_GB2312"/>
      <charset val="134"/>
    </font>
    <font>
      <sz val="16"/>
      <name val="黑体"/>
      <charset val="134"/>
    </font>
    <font>
      <b/>
      <sz val="11"/>
      <name val="宋体"/>
      <charset val="134"/>
    </font>
    <font>
      <b/>
      <sz val="11"/>
      <name val="宋体"/>
      <charset val="134"/>
      <scheme val="minor"/>
    </font>
    <font>
      <sz val="11"/>
      <name val="宋体"/>
      <charset val="134"/>
      <scheme val="minor"/>
    </font>
    <font>
      <sz val="11"/>
      <name val="宋体"/>
      <charset val="134"/>
    </font>
    <font>
      <b/>
      <sz val="9"/>
      <name val="宋体"/>
      <charset val="134"/>
      <scheme val="minor"/>
    </font>
    <font>
      <b/>
      <sz val="10"/>
      <name val="宋体"/>
      <charset val="134"/>
    </font>
    <font>
      <b/>
      <sz val="10"/>
      <name val="宋体"/>
      <charset val="134"/>
      <scheme val="minor"/>
    </font>
    <font>
      <sz val="10"/>
      <name val="宋体"/>
      <charset val="134"/>
      <scheme val="minor"/>
    </font>
    <font>
      <sz val="12"/>
      <color rgb="FFFF0000"/>
      <name val="宋体"/>
      <charset val="134"/>
    </font>
    <font>
      <b/>
      <sz val="11"/>
      <color theme="1"/>
      <name val="宋体"/>
      <charset val="134"/>
      <scheme val="minor"/>
    </font>
    <font>
      <sz val="11"/>
      <color theme="1"/>
      <name val="宋体"/>
      <charset val="134"/>
      <scheme val="minor"/>
    </font>
    <font>
      <b/>
      <sz val="18"/>
      <name val="仿宋_GB2312"/>
      <charset val="134"/>
    </font>
    <font>
      <u/>
      <sz val="11"/>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9"/>
      <name val="楷体_GB2312"/>
      <charset val="134"/>
    </font>
    <font>
      <sz val="12"/>
      <color indexed="8"/>
      <name val="楷体_GB2312"/>
      <charset val="134"/>
    </font>
    <font>
      <b/>
      <sz val="18"/>
      <color indexed="62"/>
      <name val="宋体"/>
      <charset val="134"/>
    </font>
    <font>
      <sz val="12"/>
      <color indexed="8"/>
      <name val="宋体"/>
      <charset val="134"/>
    </font>
    <font>
      <sz val="12"/>
      <color indexed="17"/>
      <name val="宋体"/>
      <charset val="134"/>
    </font>
    <font>
      <sz val="10.5"/>
      <color indexed="17"/>
      <name val="宋体"/>
      <charset val="134"/>
    </font>
    <font>
      <sz val="10.5"/>
      <color indexed="20"/>
      <name val="宋体"/>
      <charset val="134"/>
    </font>
    <font>
      <sz val="12"/>
      <color indexed="9"/>
      <name val="宋体"/>
      <charset val="134"/>
    </font>
    <font>
      <sz val="12"/>
      <color indexed="20"/>
      <name val="宋体"/>
      <charset val="134"/>
    </font>
    <font>
      <sz val="10"/>
      <name val="MS Sans Serif"/>
      <charset val="0"/>
    </font>
    <font>
      <sz val="12"/>
      <name val="Arial"/>
      <charset val="0"/>
    </font>
    <font>
      <sz val="12"/>
      <color indexed="16"/>
      <name val="宋体"/>
      <charset val="134"/>
    </font>
    <font>
      <sz val="10"/>
      <color indexed="17"/>
      <name val="宋体"/>
      <charset val="134"/>
    </font>
    <font>
      <sz val="12"/>
      <color indexed="17"/>
      <name val="楷体_GB2312"/>
      <charset val="134"/>
    </font>
    <font>
      <sz val="10"/>
      <color indexed="20"/>
      <name val="宋体"/>
      <charset val="134"/>
    </font>
    <font>
      <sz val="12"/>
      <name val="Helv"/>
      <charset val="134"/>
    </font>
    <font>
      <sz val="7"/>
      <name val="Small Fonts"/>
      <charset val="0"/>
    </font>
    <font>
      <sz val="12"/>
      <color indexed="62"/>
      <name val="楷体_GB2312"/>
      <charset val="134"/>
    </font>
    <font>
      <sz val="10"/>
      <color indexed="8"/>
      <name val="Arial"/>
      <charset val="0"/>
    </font>
    <font>
      <i/>
      <sz val="12"/>
      <color indexed="23"/>
      <name val="楷体_GB2312"/>
      <charset val="134"/>
    </font>
    <font>
      <sz val="10"/>
      <name val="楷体"/>
      <charset val="134"/>
    </font>
    <font>
      <sz val="12"/>
      <color indexed="20"/>
      <name val="楷体_GB2312"/>
      <charset val="134"/>
    </font>
    <font>
      <b/>
      <sz val="11"/>
      <color indexed="56"/>
      <name val="楷体_GB2312"/>
      <charset val="134"/>
    </font>
    <font>
      <sz val="10"/>
      <name val="Courier"/>
      <charset val="0"/>
    </font>
    <font>
      <sz val="10"/>
      <name val="Times New Roman"/>
      <charset val="0"/>
    </font>
    <font>
      <b/>
      <sz val="12"/>
      <color indexed="9"/>
      <name val="楷体_GB2312"/>
      <charset val="134"/>
    </font>
    <font>
      <b/>
      <sz val="12"/>
      <color indexed="8"/>
      <name val="宋体"/>
      <charset val="134"/>
    </font>
    <font>
      <b/>
      <sz val="13"/>
      <color indexed="56"/>
      <name val="楷体_GB2312"/>
      <charset val="134"/>
    </font>
    <font>
      <b/>
      <sz val="12"/>
      <name val="Arial"/>
      <charset val="0"/>
    </font>
    <font>
      <sz val="12"/>
      <name val="Times New Roman"/>
      <charset val="0"/>
    </font>
    <font>
      <b/>
      <sz val="12"/>
      <color indexed="63"/>
      <name val="楷体_GB2312"/>
      <charset val="134"/>
    </font>
    <font>
      <sz val="10"/>
      <name val="Helv"/>
      <charset val="134"/>
    </font>
    <font>
      <sz val="12"/>
      <name val="바탕체"/>
      <charset val="134"/>
    </font>
    <font>
      <b/>
      <sz val="10"/>
      <name val="MS Sans Serif"/>
      <charset val="0"/>
    </font>
    <font>
      <sz val="10"/>
      <name val="Arial"/>
      <charset val="134"/>
    </font>
    <font>
      <b/>
      <sz val="10"/>
      <name val="Tms Rmn"/>
      <charset val="0"/>
    </font>
    <font>
      <b/>
      <sz val="15"/>
      <color indexed="56"/>
      <name val="楷体_GB2312"/>
      <charset val="134"/>
    </font>
    <font>
      <sz val="12"/>
      <color indexed="10"/>
      <name val="楷体_GB2312"/>
      <charset val="134"/>
    </font>
    <font>
      <b/>
      <sz val="12"/>
      <color indexed="8"/>
      <name val="楷体_GB2312"/>
      <charset val="134"/>
    </font>
    <font>
      <sz val="8"/>
      <name val="Times New Roman"/>
      <charset val="0"/>
    </font>
    <font>
      <sz val="10"/>
      <name val="Geneva"/>
      <charset val="0"/>
    </font>
    <font>
      <sz val="12"/>
      <color indexed="60"/>
      <name val="楷体_GB2312"/>
      <charset val="134"/>
    </font>
    <font>
      <b/>
      <sz val="18"/>
      <name val="Arial"/>
      <charset val="0"/>
    </font>
    <font>
      <b/>
      <sz val="10"/>
      <name val="Arial"/>
      <charset val="0"/>
    </font>
    <font>
      <sz val="12"/>
      <name val="官帕眉"/>
      <charset val="134"/>
    </font>
    <font>
      <sz val="12"/>
      <color indexed="52"/>
      <name val="楷体_GB2312"/>
      <charset val="134"/>
    </font>
    <font>
      <sz val="12"/>
      <name val="Courier"/>
      <charset val="0"/>
    </font>
    <font>
      <sz val="8"/>
      <name val="Arial"/>
      <charset val="0"/>
    </font>
    <font>
      <b/>
      <sz val="9"/>
      <name val="Arial"/>
      <charset val="0"/>
    </font>
    <font>
      <sz val="12"/>
      <name val="????"/>
      <charset val="0"/>
    </font>
    <font>
      <sz val="10"/>
      <color indexed="8"/>
      <name val="MS Sans Serif"/>
      <charset val="0"/>
    </font>
    <font>
      <b/>
      <sz val="14"/>
      <name val="楷体"/>
      <charset val="134"/>
    </font>
    <font>
      <b/>
      <sz val="12"/>
      <color indexed="52"/>
      <name val="楷体_GB2312"/>
      <charset val="134"/>
    </font>
    <font>
      <sz val="12"/>
      <color indexed="9"/>
      <name val="Helv"/>
      <charset val="134"/>
    </font>
    <font>
      <sz val="11"/>
      <color indexed="8"/>
      <name val="宋体"/>
      <charset val="134"/>
      <scheme val="minor"/>
    </font>
  </fonts>
  <fills count="34">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54"/>
        <bgColor indexed="64"/>
      </patternFill>
    </fill>
    <fill>
      <patternFill patternType="solid">
        <fgColor indexed="15"/>
        <bgColor indexed="64"/>
      </patternFill>
    </fill>
    <fill>
      <patternFill patternType="mediumGray">
        <fgColor indexed="22"/>
      </patternFill>
    </fill>
    <fill>
      <patternFill patternType="lightUp">
        <fgColor indexed="9"/>
        <bgColor indexed="29"/>
      </patternFill>
    </fill>
    <fill>
      <patternFill patternType="solid">
        <fgColor indexed="25"/>
        <bgColor indexed="64"/>
      </patternFill>
    </fill>
    <fill>
      <patternFill patternType="gray0625"/>
    </fill>
    <fill>
      <patternFill patternType="lightUp">
        <fgColor indexed="9"/>
        <bgColor indexed="22"/>
      </patternFill>
    </fill>
    <fill>
      <patternFill patternType="lightUp">
        <fgColor indexed="9"/>
        <bgColor indexed="55"/>
      </patternFill>
    </fill>
    <fill>
      <patternFill patternType="solid">
        <fgColor indexed="12"/>
        <bgColor indexed="64"/>
      </patternFill>
    </fill>
  </fills>
  <borders count="60">
    <border>
      <left/>
      <right/>
      <top/>
      <bottom/>
      <diagonal/>
    </border>
    <border>
      <left/>
      <right/>
      <top/>
      <bottom style="medium">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thin">
        <color indexed="8"/>
      </bottom>
      <diagonal/>
    </border>
    <border>
      <left/>
      <right/>
      <top/>
      <bottom style="thin">
        <color indexed="8"/>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style="thin">
        <color auto="1"/>
      </left>
      <right style="thin">
        <color auto="1"/>
      </right>
      <top style="thin">
        <color auto="1"/>
      </top>
      <bottom/>
      <diagonal/>
    </border>
    <border>
      <left style="medium">
        <color auto="1"/>
      </left>
      <right/>
      <top/>
      <bottom/>
      <diagonal/>
    </border>
    <border>
      <left style="thin">
        <color auto="1"/>
      </left>
      <right style="medium">
        <color auto="1"/>
      </right>
      <top/>
      <bottom/>
      <diagonal/>
    </border>
    <border>
      <left/>
      <right style="medium">
        <color auto="1"/>
      </right>
      <top/>
      <bottom style="medium">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medium">
        <color auto="1"/>
      </bottom>
      <diagonal/>
    </border>
    <border>
      <left style="thin">
        <color indexed="8"/>
      </left>
      <right/>
      <top/>
      <bottom style="medium">
        <color auto="1"/>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thin">
        <color auto="1"/>
      </left>
      <right/>
      <top style="medium">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style="double">
        <color auto="1"/>
      </bottom>
      <diagonal/>
    </border>
    <border>
      <left/>
      <right/>
      <top style="medium">
        <color auto="1"/>
      </top>
      <bottom style="medium">
        <color auto="1"/>
      </bottom>
      <diagonal/>
    </border>
  </borders>
  <cellStyleXfs count="209">
    <xf numFmtId="0" fontId="0" fillId="0" borderId="0"/>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0" fillId="3" borderId="4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0" applyNumberFormat="0" applyFill="0" applyAlignment="0" applyProtection="0">
      <alignment vertical="center"/>
    </xf>
    <xf numFmtId="0" fontId="33" fillId="0" borderId="51" applyNumberFormat="0" applyFill="0" applyAlignment="0" applyProtection="0">
      <alignment vertical="center"/>
    </xf>
    <xf numFmtId="0" fontId="34" fillId="0" borderId="52" applyNumberFormat="0" applyFill="0" applyAlignment="0" applyProtection="0">
      <alignment vertical="center"/>
    </xf>
    <xf numFmtId="0" fontId="34" fillId="0" borderId="0" applyNumberFormat="0" applyFill="0" applyBorder="0" applyAlignment="0" applyProtection="0">
      <alignment vertical="center"/>
    </xf>
    <xf numFmtId="0" fontId="35" fillId="4" borderId="53" applyNumberFormat="0" applyAlignment="0" applyProtection="0">
      <alignment vertical="center"/>
    </xf>
    <xf numFmtId="0" fontId="36" fillId="5" borderId="54" applyNumberFormat="0" applyAlignment="0" applyProtection="0">
      <alignment vertical="center"/>
    </xf>
    <xf numFmtId="0" fontId="37" fillId="5" borderId="53" applyNumberFormat="0" applyAlignment="0" applyProtection="0">
      <alignment vertical="center"/>
    </xf>
    <xf numFmtId="0" fontId="38" fillId="6" borderId="55" applyNumberFormat="0" applyAlignment="0" applyProtection="0">
      <alignment vertical="center"/>
    </xf>
    <xf numFmtId="0" fontId="39" fillId="0" borderId="56" applyNumberFormat="0" applyFill="0" applyAlignment="0" applyProtection="0">
      <alignment vertical="center"/>
    </xf>
    <xf numFmtId="0" fontId="40" fillId="0" borderId="5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8" borderId="0" applyNumberFormat="0" applyBorder="0" applyAlignment="0" applyProtection="0">
      <alignment vertical="center"/>
    </xf>
    <xf numFmtId="0" fontId="45" fillId="15"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7" borderId="0" applyNumberFormat="0" applyBorder="0" applyAlignment="0" applyProtection="0">
      <alignment vertical="center"/>
    </xf>
    <xf numFmtId="0" fontId="45" fillId="17"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19" borderId="0" applyNumberFormat="0" applyBorder="0" applyAlignment="0" applyProtection="0">
      <alignment vertical="center"/>
    </xf>
    <xf numFmtId="0" fontId="44" fillId="18"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12" borderId="0" applyNumberFormat="0" applyBorder="0" applyAlignment="0" applyProtection="0">
      <alignment vertical="center"/>
    </xf>
    <xf numFmtId="0" fontId="44" fillId="20" borderId="0" applyNumberFormat="0" applyBorder="0" applyAlignment="0" applyProtection="0">
      <alignment vertical="center"/>
    </xf>
    <xf numFmtId="0" fontId="44" fillId="22" borderId="0" applyNumberFormat="0" applyBorder="0" applyAlignment="0" applyProtection="0">
      <alignment vertical="center"/>
    </xf>
    <xf numFmtId="0" fontId="45" fillId="4"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6" fillId="13" borderId="0" applyNumberFormat="0" applyBorder="0" applyAlignment="0" applyProtection="0">
      <alignment vertical="center"/>
    </xf>
    <xf numFmtId="0" fontId="47" fillId="17" borderId="0" applyNumberFormat="0" applyBorder="0" applyAlignment="0" applyProtection="0">
      <alignment vertical="center"/>
    </xf>
    <xf numFmtId="0" fontId="48" fillId="0" borderId="0" applyNumberFormat="0" applyFill="0" applyBorder="0" applyAlignment="0" applyProtection="0"/>
    <xf numFmtId="0" fontId="49" fillId="11" borderId="0" applyNumberFormat="0" applyBorder="0" applyAlignment="0" applyProtection="0"/>
    <xf numFmtId="0" fontId="50" fillId="21" borderId="0" applyNumberFormat="0" applyBorder="0" applyAlignment="0" applyProtection="0">
      <alignment vertical="center"/>
    </xf>
    <xf numFmtId="0" fontId="51" fillId="21" borderId="0" applyNumberFormat="0" applyBorder="0" applyAlignment="0" applyProtection="0">
      <alignment vertical="center"/>
    </xf>
    <xf numFmtId="0" fontId="41" fillId="21" borderId="0" applyNumberFormat="0" applyBorder="0" applyAlignment="0" applyProtection="0">
      <alignment vertical="center"/>
    </xf>
    <xf numFmtId="0" fontId="52" fillId="19" borderId="0" applyNumberFormat="0" applyBorder="0" applyAlignment="0" applyProtection="0">
      <alignment vertical="center"/>
    </xf>
    <xf numFmtId="0" fontId="53" fillId="12" borderId="0" applyNumberFormat="0" applyBorder="0" applyAlignment="0" applyProtection="0"/>
    <xf numFmtId="1" fontId="18" fillId="0" borderId="15">
      <alignment vertical="center"/>
      <protection locked="0"/>
    </xf>
    <xf numFmtId="10" fontId="0" fillId="0" borderId="0" applyFont="0" applyFill="0" applyBorder="0" applyAlignment="0" applyProtection="0"/>
    <xf numFmtId="0" fontId="54" fillId="19" borderId="0" applyNumberFormat="0" applyBorder="0" applyAlignment="0" applyProtection="0">
      <alignment vertical="center"/>
    </xf>
    <xf numFmtId="0" fontId="55" fillId="0" borderId="0"/>
    <xf numFmtId="0" fontId="42" fillId="19" borderId="0" applyNumberFormat="0" applyBorder="0" applyAlignment="0" applyProtection="0">
      <alignment vertical="center"/>
    </xf>
    <xf numFmtId="0" fontId="49" fillId="3" borderId="0" applyNumberFormat="0" applyBorder="0" applyAlignment="0" applyProtection="0"/>
    <xf numFmtId="0" fontId="47" fillId="8" borderId="0" applyNumberFormat="0" applyBorder="0" applyAlignment="0" applyProtection="0">
      <alignment vertical="center"/>
    </xf>
    <xf numFmtId="0" fontId="0" fillId="0" borderId="0" applyFont="0" applyFill="0" applyBorder="0" applyAlignment="0" applyProtection="0"/>
    <xf numFmtId="0" fontId="53" fillId="5" borderId="0" applyNumberFormat="0" applyBorder="0" applyAlignment="0" applyProtection="0"/>
    <xf numFmtId="0" fontId="45" fillId="0" borderId="0">
      <alignment vertical="center"/>
    </xf>
    <xf numFmtId="0" fontId="49" fillId="4" borderId="0" applyNumberFormat="0" applyBorder="0" applyAlignment="0" applyProtection="0"/>
    <xf numFmtId="0" fontId="50" fillId="7" borderId="0" applyNumberFormat="0" applyBorder="0" applyAlignment="0" applyProtection="0"/>
    <xf numFmtId="0" fontId="56" fillId="0" borderId="58" applyProtection="0"/>
    <xf numFmtId="0" fontId="53" fillId="6" borderId="0" applyNumberFormat="0" applyBorder="0" applyAlignment="0" applyProtection="0"/>
    <xf numFmtId="0" fontId="53" fillId="25" borderId="0" applyNumberFormat="0" applyBorder="0" applyAlignment="0" applyProtection="0"/>
    <xf numFmtId="41" fontId="0" fillId="0" borderId="0" applyFont="0" applyFill="0" applyBorder="0" applyAlignment="0" applyProtection="0">
      <alignment vertical="center"/>
    </xf>
    <xf numFmtId="178" fontId="0" fillId="0" borderId="0" applyFont="0" applyFill="0" applyBorder="0" applyAlignment="0" applyProtection="0"/>
    <xf numFmtId="0" fontId="2" fillId="0" borderId="0"/>
    <xf numFmtId="179" fontId="18" fillId="0" borderId="15">
      <alignment vertical="center"/>
      <protection locked="0"/>
    </xf>
    <xf numFmtId="0" fontId="57" fillId="8" borderId="0" applyNumberFormat="0" applyBorder="0" applyAlignment="0" applyProtection="0"/>
    <xf numFmtId="180" fontId="0" fillId="0" borderId="0" applyFont="0" applyFill="0" applyBorder="0" applyAlignment="0" applyProtection="0"/>
    <xf numFmtId="0" fontId="54" fillId="8" borderId="0" applyNumberFormat="0" applyBorder="0" applyAlignment="0" applyProtection="0">
      <alignment vertical="center"/>
    </xf>
    <xf numFmtId="9" fontId="0" fillId="0" borderId="0" applyFont="0" applyFill="0" applyBorder="0" applyAlignment="0" applyProtection="0">
      <alignment vertical="center"/>
    </xf>
    <xf numFmtId="0" fontId="47" fillId="7" borderId="0" applyNumberFormat="0" applyBorder="0" applyAlignment="0" applyProtection="0">
      <alignment vertical="center"/>
    </xf>
    <xf numFmtId="0" fontId="53" fillId="24" borderId="0" applyNumberFormat="0" applyBorder="0" applyAlignment="0" applyProtection="0"/>
    <xf numFmtId="15" fontId="0" fillId="0" borderId="0" applyFont="0" applyFill="0" applyBorder="0" applyAlignment="0" applyProtection="0"/>
    <xf numFmtId="0" fontId="49" fillId="7" borderId="0" applyNumberFormat="0" applyBorder="0" applyAlignment="0" applyProtection="0"/>
    <xf numFmtId="0" fontId="58" fillId="21" borderId="0" applyNumberFormat="0" applyBorder="0" applyAlignment="0" applyProtection="0">
      <alignment vertical="center"/>
    </xf>
    <xf numFmtId="0" fontId="47" fillId="23" borderId="0" applyNumberFormat="0" applyBorder="0" applyAlignment="0" applyProtection="0">
      <alignment vertical="center"/>
    </xf>
    <xf numFmtId="0" fontId="59" fillId="7" borderId="0" applyNumberFormat="0" applyBorder="0" applyAlignment="0" applyProtection="0">
      <alignment vertical="center"/>
    </xf>
    <xf numFmtId="0" fontId="47" fillId="4" borderId="0" applyNumberFormat="0" applyBorder="0" applyAlignment="0" applyProtection="0">
      <alignment vertical="center"/>
    </xf>
    <xf numFmtId="0" fontId="60" fillId="19" borderId="0" applyNumberFormat="0" applyBorder="0" applyAlignment="0" applyProtection="0">
      <alignment vertical="center"/>
    </xf>
    <xf numFmtId="181" fontId="61" fillId="26" borderId="0"/>
    <xf numFmtId="37" fontId="62" fillId="0" borderId="0"/>
    <xf numFmtId="182" fontId="2" fillId="0" borderId="0"/>
    <xf numFmtId="0" fontId="61" fillId="0" borderId="0"/>
    <xf numFmtId="0" fontId="53" fillId="4" borderId="0" applyNumberFormat="0" applyBorder="0" applyAlignment="0" applyProtection="0"/>
    <xf numFmtId="0" fontId="63" fillId="4" borderId="53" applyNumberFormat="0" applyAlignment="0" applyProtection="0">
      <alignment vertical="center"/>
    </xf>
    <xf numFmtId="0" fontId="50" fillId="7" borderId="0" applyNumberFormat="0" applyBorder="0" applyAlignment="0" applyProtection="0">
      <alignment vertical="center"/>
    </xf>
    <xf numFmtId="183" fontId="64" fillId="0" borderId="0" applyFill="0" applyBorder="0" applyAlignment="0"/>
    <xf numFmtId="0" fontId="46" fillId="20" borderId="0" applyNumberFormat="0" applyBorder="0" applyAlignment="0" applyProtection="0">
      <alignment vertical="center"/>
    </xf>
    <xf numFmtId="184" fontId="0" fillId="0" borderId="0" applyFont="0" applyFill="0" applyBorder="0" applyAlignment="0" applyProtection="0"/>
    <xf numFmtId="0" fontId="47" fillId="12"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185" fontId="0" fillId="0" borderId="0" applyFont="0" applyFill="0" applyBorder="0" applyAlignment="0" applyProtection="0"/>
    <xf numFmtId="0" fontId="49" fillId="5" borderId="0" applyNumberFormat="0" applyBorder="0" applyAlignment="0" applyProtection="0"/>
    <xf numFmtId="186" fontId="0" fillId="0" borderId="0" applyFont="0" applyFill="0" applyProtection="0"/>
    <xf numFmtId="0" fontId="53" fillId="20" borderId="0" applyNumberFormat="0" applyBorder="0" applyAlignment="0" applyProtection="0"/>
    <xf numFmtId="0" fontId="66" fillId="0" borderId="2" applyNumberFormat="0" applyFill="0" applyProtection="0">
      <alignment horizontal="left"/>
    </xf>
    <xf numFmtId="0" fontId="0" fillId="0" borderId="0">
      <alignment vertical="center"/>
    </xf>
    <xf numFmtId="0" fontId="49" fillId="21" borderId="0" applyNumberFormat="0" applyBorder="0" applyAlignment="0" applyProtection="0"/>
    <xf numFmtId="0" fontId="51" fillId="7" borderId="0" applyNumberFormat="0" applyBorder="0" applyAlignment="0" applyProtection="0">
      <alignment vertical="center"/>
    </xf>
    <xf numFmtId="0" fontId="46" fillId="16" borderId="0" applyNumberFormat="0" applyBorder="0" applyAlignment="0" applyProtection="0">
      <alignment vertical="center"/>
    </xf>
    <xf numFmtId="0" fontId="67" fillId="8" borderId="0" applyNumberFormat="0" applyBorder="0" applyAlignment="0" applyProtection="0">
      <alignment vertical="center"/>
    </xf>
    <xf numFmtId="0" fontId="68" fillId="0" borderId="52" applyNumberFormat="0" applyFill="0" applyAlignment="0" applyProtection="0">
      <alignment vertical="center"/>
    </xf>
    <xf numFmtId="187" fontId="69" fillId="0" borderId="0"/>
    <xf numFmtId="188" fontId="0" fillId="0" borderId="0" applyFont="0" applyFill="0" applyBorder="0" applyAlignment="0" applyProtection="0">
      <alignment vertical="center"/>
    </xf>
    <xf numFmtId="0" fontId="56" fillId="0" borderId="0" applyProtection="0"/>
    <xf numFmtId="0" fontId="2" fillId="0" borderId="7" applyNumberFormat="0" applyFill="0" applyProtection="0">
      <alignment horizontal="left"/>
    </xf>
    <xf numFmtId="0" fontId="52" fillId="8" borderId="0" applyNumberFormat="0" applyBorder="0" applyAlignment="0" applyProtection="0">
      <alignment vertical="center"/>
    </xf>
    <xf numFmtId="189" fontId="70" fillId="0" borderId="0"/>
    <xf numFmtId="0" fontId="0" fillId="27" borderId="0" applyNumberFormat="0" applyFont="0" applyBorder="0" applyAlignment="0" applyProtection="0"/>
    <xf numFmtId="0" fontId="71" fillId="6" borderId="55" applyNumberFormat="0" applyAlignment="0" applyProtection="0">
      <alignment vertical="center"/>
    </xf>
    <xf numFmtId="0" fontId="72" fillId="28" borderId="0" applyNumberFormat="0" applyBorder="0" applyAlignment="0" applyProtection="0"/>
    <xf numFmtId="0" fontId="46" fillId="14" borderId="0" applyNumberFormat="0" applyBorder="0" applyAlignment="0" applyProtection="0">
      <alignment vertical="center"/>
    </xf>
    <xf numFmtId="190" fontId="0" fillId="0" borderId="0" applyFont="0" applyFill="0" applyBorder="0" applyAlignment="0" applyProtection="0"/>
    <xf numFmtId="0" fontId="73" fillId="0" borderId="51" applyNumberFormat="0" applyFill="0" applyAlignment="0" applyProtection="0">
      <alignment vertical="center"/>
    </xf>
    <xf numFmtId="191" fontId="70" fillId="0" borderId="0"/>
    <xf numFmtId="2" fontId="56" fillId="0" borderId="0" applyProtection="0"/>
    <xf numFmtId="0" fontId="74" fillId="0" borderId="0" applyProtection="0"/>
    <xf numFmtId="0" fontId="75" fillId="0" borderId="0"/>
    <xf numFmtId="0" fontId="46" fillId="17" borderId="0" applyNumberFormat="0" applyBorder="0" applyAlignment="0" applyProtection="0">
      <alignment vertical="center"/>
    </xf>
    <xf numFmtId="0" fontId="76" fillId="5" borderId="54" applyNumberFormat="0" applyAlignment="0" applyProtection="0">
      <alignment vertical="center"/>
    </xf>
    <xf numFmtId="0" fontId="47" fillId="15" borderId="0" applyNumberFormat="0" applyBorder="0" applyAlignment="0" applyProtection="0">
      <alignment vertical="center"/>
    </xf>
    <xf numFmtId="0" fontId="77" fillId="0" borderId="0">
      <protection locked="0"/>
    </xf>
    <xf numFmtId="0" fontId="53" fillId="29" borderId="0" applyNumberFormat="0" applyBorder="0" applyAlignment="0" applyProtection="0"/>
    <xf numFmtId="0" fontId="77" fillId="0" borderId="0"/>
    <xf numFmtId="192" fontId="2" fillId="0" borderId="2" applyFill="0" applyProtection="0">
      <alignment horizontal="right"/>
    </xf>
    <xf numFmtId="0" fontId="78" fillId="0" borderId="0"/>
    <xf numFmtId="0" fontId="79" fillId="0" borderId="1">
      <alignment horizontal="center"/>
    </xf>
    <xf numFmtId="0" fontId="47" fillId="19" borderId="0" applyNumberFormat="0" applyBorder="0" applyAlignment="0" applyProtection="0">
      <alignment vertical="center"/>
    </xf>
    <xf numFmtId="0" fontId="0" fillId="0" borderId="0">
      <alignment vertical="center"/>
    </xf>
    <xf numFmtId="0" fontId="70" fillId="0" borderId="0"/>
    <xf numFmtId="0" fontId="80" fillId="0" borderId="0"/>
    <xf numFmtId="0" fontId="81" fillId="30" borderId="5">
      <protection locked="0"/>
    </xf>
    <xf numFmtId="4" fontId="0" fillId="0" borderId="0" applyFont="0" applyFill="0" applyBorder="0" applyAlignment="0" applyProtection="0"/>
    <xf numFmtId="0" fontId="82" fillId="0" borderId="50" applyNumberFormat="0" applyFill="0" applyAlignment="0" applyProtection="0">
      <alignment vertical="center"/>
    </xf>
    <xf numFmtId="0" fontId="83" fillId="0" borderId="0" applyNumberFormat="0" applyFill="0" applyBorder="0" applyAlignment="0" applyProtection="0">
      <alignment vertical="center"/>
    </xf>
    <xf numFmtId="38" fontId="0" fillId="0" borderId="0" applyFont="0" applyFill="0" applyBorder="0" applyAlignment="0" applyProtection="0"/>
    <xf numFmtId="0" fontId="75" fillId="0" borderId="0">
      <protection locked="0"/>
    </xf>
    <xf numFmtId="0" fontId="84" fillId="0" borderId="57" applyNumberFormat="0" applyFill="0" applyAlignment="0" applyProtection="0">
      <alignment vertical="center"/>
    </xf>
    <xf numFmtId="193" fontId="0" fillId="0" borderId="0" applyFont="0" applyFill="0" applyBorder="0" applyAlignment="0" applyProtection="0"/>
    <xf numFmtId="0" fontId="2" fillId="0" borderId="0"/>
    <xf numFmtId="0" fontId="4" fillId="0" borderId="0">
      <alignment vertical="center"/>
    </xf>
    <xf numFmtId="0" fontId="72" fillId="31" borderId="0" applyNumberFormat="0" applyBorder="0" applyAlignment="0" applyProtection="0"/>
    <xf numFmtId="194" fontId="0" fillId="0" borderId="0" applyFont="0" applyFill="0" applyBorder="0" applyAlignment="0" applyProtection="0"/>
    <xf numFmtId="0" fontId="47" fillId="21" borderId="0" applyNumberFormat="0" applyBorder="0" applyAlignment="0" applyProtection="0">
      <alignment vertical="center"/>
    </xf>
    <xf numFmtId="0" fontId="66" fillId="0" borderId="2" applyNumberFormat="0" applyFill="0" applyProtection="0">
      <alignment horizontal="center"/>
    </xf>
    <xf numFmtId="0" fontId="46" fillId="24" borderId="0" applyNumberFormat="0" applyBorder="0" applyAlignment="0" applyProtection="0">
      <alignment vertical="center"/>
    </xf>
    <xf numFmtId="14" fontId="85" fillId="0" borderId="0">
      <alignment horizontal="center" wrapText="1"/>
      <protection locked="0"/>
    </xf>
    <xf numFmtId="0" fontId="0" fillId="0" borderId="0">
      <alignment vertical="center"/>
    </xf>
    <xf numFmtId="0" fontId="85" fillId="0" borderId="0">
      <alignment horizontal="center" wrapText="1"/>
      <protection locked="0"/>
    </xf>
    <xf numFmtId="0" fontId="72" fillId="32" borderId="0" applyNumberFormat="0" applyBorder="0" applyAlignment="0" applyProtection="0"/>
    <xf numFmtId="0" fontId="86" fillId="0" borderId="0"/>
    <xf numFmtId="0" fontId="46" fillId="10" borderId="0" applyNumberFormat="0" applyBorder="0" applyAlignment="0" applyProtection="0">
      <alignment vertical="center"/>
    </xf>
    <xf numFmtId="0" fontId="46" fillId="15" borderId="0" applyNumberFormat="0" applyBorder="0" applyAlignment="0" applyProtection="0">
      <alignment vertical="center"/>
    </xf>
    <xf numFmtId="0" fontId="68" fillId="0" borderId="0" applyNumberFormat="0" applyFill="0" applyBorder="0" applyAlignment="0" applyProtection="0">
      <alignment vertical="center"/>
    </xf>
    <xf numFmtId="195" fontId="0" fillId="0" borderId="0" applyFont="0" applyFill="0" applyBorder="0" applyAlignment="0" applyProtection="0"/>
    <xf numFmtId="0" fontId="87" fillId="9" borderId="0" applyNumberFormat="0" applyBorder="0" applyAlignment="0" applyProtection="0">
      <alignment vertical="center"/>
    </xf>
    <xf numFmtId="40" fontId="0" fillId="0" borderId="0" applyFont="0" applyFill="0" applyBorder="0" applyAlignment="0" applyProtection="0"/>
    <xf numFmtId="0" fontId="0" fillId="0" borderId="0" applyNumberFormat="0" applyFont="0" applyFill="0" applyBorder="0" applyAlignment="0" applyProtection="0">
      <alignment horizontal="left"/>
    </xf>
    <xf numFmtId="0" fontId="88" fillId="0" borderId="0" applyProtection="0"/>
    <xf numFmtId="1" fontId="2" fillId="0" borderId="2" applyFill="0" applyProtection="0">
      <alignment horizontal="center"/>
    </xf>
    <xf numFmtId="196" fontId="0" fillId="0" borderId="0" applyFont="0" applyFill="0" applyBorder="0" applyAlignment="0" applyProtection="0"/>
    <xf numFmtId="0" fontId="89" fillId="0" borderId="0" applyNumberFormat="0" applyFill="0" applyBorder="0" applyAlignment="0" applyProtection="0"/>
    <xf numFmtId="0" fontId="46" fillId="18" borderId="0" applyNumberFormat="0" applyBorder="0" applyAlignment="0" applyProtection="0">
      <alignment vertical="center"/>
    </xf>
    <xf numFmtId="0" fontId="90" fillId="0" borderId="0"/>
    <xf numFmtId="0" fontId="91" fillId="0" borderId="56" applyNumberFormat="0" applyFill="0" applyAlignment="0" applyProtection="0">
      <alignment vertical="center"/>
    </xf>
    <xf numFmtId="0" fontId="47" fillId="11" borderId="0" applyNumberFormat="0" applyBorder="0" applyAlignment="0" applyProtection="0">
      <alignment vertical="center"/>
    </xf>
    <xf numFmtId="197" fontId="0" fillId="0" borderId="0" applyFont="0" applyFill="0" applyBorder="0" applyAlignment="0" applyProtection="0"/>
    <xf numFmtId="0" fontId="74" fillId="0" borderId="16">
      <alignment horizontal="left" vertical="center"/>
    </xf>
    <xf numFmtId="198" fontId="0" fillId="0" borderId="0" applyFont="0" applyFill="0" applyBorder="0" applyAlignment="0" applyProtection="0"/>
    <xf numFmtId="49" fontId="0" fillId="0" borderId="0" applyFont="0" applyFill="0" applyBorder="0" applyAlignment="0" applyProtection="0"/>
    <xf numFmtId="0" fontId="92" fillId="0" borderId="0"/>
    <xf numFmtId="199" fontId="70" fillId="0" borderId="0"/>
    <xf numFmtId="0" fontId="93" fillId="5" borderId="0" applyNumberFormat="0" applyBorder="0" applyAlignment="0" applyProtection="0"/>
    <xf numFmtId="0" fontId="64" fillId="0" borderId="0" applyNumberFormat="0" applyFill="0" applyBorder="0" applyAlignment="0" applyProtection="0">
      <alignment vertical="top"/>
    </xf>
    <xf numFmtId="0" fontId="46" fillId="22" borderId="0" applyNumberFormat="0" applyBorder="0" applyAlignment="0" applyProtection="0">
      <alignment vertical="center"/>
    </xf>
    <xf numFmtId="0" fontId="94" fillId="0" borderId="0" applyNumberFormat="0" applyFill="0" applyBorder="0" applyAlignment="0" applyProtection="0"/>
    <xf numFmtId="0" fontId="95" fillId="0" borderId="0"/>
    <xf numFmtId="0" fontId="0" fillId="0" borderId="0" applyNumberFormat="0" applyFill="0" applyBorder="0" applyAlignment="0" applyProtection="0"/>
    <xf numFmtId="0" fontId="96" fillId="0" borderId="0"/>
    <xf numFmtId="0" fontId="2" fillId="0" borderId="7" applyNumberFormat="0" applyFill="0" applyProtection="0">
      <alignment horizontal="right"/>
    </xf>
    <xf numFmtId="200" fontId="0" fillId="0" borderId="0" applyFont="0" applyFill="0" applyBorder="0" applyAlignment="0" applyProtection="0"/>
    <xf numFmtId="201" fontId="0" fillId="0" borderId="0" applyFont="0" applyFill="0" applyBorder="0" applyAlignment="0" applyProtection="0"/>
    <xf numFmtId="0" fontId="97" fillId="0" borderId="7" applyNumberFormat="0" applyFill="0" applyProtection="0">
      <alignment horizontal="center"/>
    </xf>
    <xf numFmtId="0" fontId="74" fillId="0" borderId="59" applyNumberFormat="0" applyAlignment="0" applyProtection="0">
      <alignment horizontal="left" vertical="center"/>
    </xf>
    <xf numFmtId="3" fontId="0" fillId="0" borderId="0" applyFont="0" applyFill="0" applyBorder="0" applyAlignment="0" applyProtection="0"/>
    <xf numFmtId="0" fontId="93" fillId="3" borderId="15" applyNumberFormat="0" applyBorder="0" applyAlignment="0" applyProtection="0"/>
    <xf numFmtId="0" fontId="98" fillId="5" borderId="53" applyNumberFormat="0" applyAlignment="0" applyProtection="0">
      <alignment vertical="center"/>
    </xf>
    <xf numFmtId="181" fontId="99" fillId="33" borderId="0"/>
    <xf numFmtId="0" fontId="10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48">
    <xf numFmtId="0" fontId="0" fillId="0" borderId="0" xfId="0"/>
    <xf numFmtId="0" fontId="1" fillId="0" borderId="0" xfId="0" applyFont="1"/>
    <xf numFmtId="0" fontId="2" fillId="0" borderId="0" xfId="0" applyFont="1"/>
    <xf numFmtId="0" fontId="3" fillId="0" borderId="0" xfId="0" applyFont="1" applyBorder="1" applyAlignment="1">
      <alignment horizontal="center" vertical="center"/>
    </xf>
    <xf numFmtId="0" fontId="4" fillId="0" borderId="1" xfId="0" applyFont="1" applyBorder="1"/>
    <xf numFmtId="0" fontId="2" fillId="0" borderId="1" xfId="0" applyFont="1" applyBorder="1"/>
    <xf numFmtId="0" fontId="4" fillId="0" borderId="1" xfId="0" applyFont="1" applyBorder="1" applyAlignment="1">
      <alignment horizontal="right"/>
    </xf>
    <xf numFmtId="187" fontId="0" fillId="0" borderId="2" xfId="114" applyNumberFormat="1" applyFont="1" applyFill="1" applyBorder="1" applyAlignment="1">
      <alignment horizontal="center" vertical="center"/>
    </xf>
    <xf numFmtId="187" fontId="0" fillId="0" borderId="3" xfId="114" applyNumberFormat="1" applyFont="1" applyFill="1" applyBorder="1" applyAlignment="1">
      <alignment horizontal="center" vertical="center"/>
    </xf>
    <xf numFmtId="0" fontId="5" fillId="0" borderId="4" xfId="0" applyFont="1" applyBorder="1" applyAlignment="1">
      <alignment horizontal="center" vertical="center"/>
    </xf>
    <xf numFmtId="202" fontId="0" fillId="0" borderId="5" xfId="0" applyNumberFormat="1" applyFont="1" applyFill="1" applyBorder="1" applyAlignment="1">
      <alignment horizontal="right" vertical="center"/>
    </xf>
    <xf numFmtId="203" fontId="0" fillId="0" borderId="6" xfId="114"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203" fontId="0" fillId="0" borderId="0" xfId="114" applyNumberFormat="1" applyFont="1" applyFill="1" applyBorder="1" applyAlignment="1">
      <alignment horizontal="right" vertical="center"/>
    </xf>
    <xf numFmtId="0" fontId="5" fillId="0" borderId="4" xfId="0" applyNumberFormat="1" applyFont="1" applyBorder="1" applyAlignment="1">
      <alignment horizontal="center"/>
    </xf>
    <xf numFmtId="0" fontId="0" fillId="0" borderId="4" xfId="0" applyNumberFormat="1" applyBorder="1"/>
    <xf numFmtId="0" fontId="0" fillId="0" borderId="0" xfId="0" applyNumberFormat="1" applyBorder="1"/>
    <xf numFmtId="202" fontId="0" fillId="0" borderId="4" xfId="0" applyNumberFormat="1" applyFont="1" applyFill="1" applyBorder="1" applyAlignment="1">
      <alignment horizontal="right" vertical="center"/>
    </xf>
    <xf numFmtId="202" fontId="0" fillId="0" borderId="0" xfId="0" applyNumberFormat="1" applyFont="1" applyFill="1" applyBorder="1" applyAlignment="1">
      <alignment horizontal="right" vertical="center"/>
    </xf>
    <xf numFmtId="203" fontId="0" fillId="0" borderId="5" xfId="0" applyNumberFormat="1" applyBorder="1"/>
    <xf numFmtId="203" fontId="0" fillId="0" borderId="0" xfId="0" applyNumberFormat="1" applyBorder="1"/>
    <xf numFmtId="0" fontId="5" fillId="0" borderId="2" xfId="0" applyNumberFormat="1" applyFont="1" applyBorder="1" applyAlignment="1">
      <alignment horizontal="center"/>
    </xf>
    <xf numFmtId="203" fontId="0" fillId="0" borderId="7" xfId="0" applyNumberFormat="1" applyBorder="1"/>
    <xf numFmtId="203" fontId="0" fillId="0" borderId="3" xfId="0" applyNumberFormat="1" applyBorder="1"/>
    <xf numFmtId="0" fontId="3" fillId="0" borderId="1" xfId="0" applyFont="1" applyFill="1" applyBorder="1" applyAlignment="1">
      <alignment horizontal="center" vertical="center"/>
    </xf>
    <xf numFmtId="0" fontId="0" fillId="0" borderId="1" xfId="0" applyFont="1" applyFill="1" applyBorder="1" applyAlignment="1">
      <alignment horizontal="center"/>
    </xf>
    <xf numFmtId="204" fontId="0" fillId="0" borderId="5" xfId="0" applyNumberFormat="1" applyFont="1" applyBorder="1" applyAlignment="1">
      <alignment horizontal="right" vertical="center"/>
    </xf>
    <xf numFmtId="205" fontId="0" fillId="0" borderId="5" xfId="0" applyNumberFormat="1" applyFont="1" applyBorder="1" applyAlignment="1">
      <alignment horizontal="right" vertical="center"/>
    </xf>
    <xf numFmtId="203" fontId="0" fillId="0" borderId="6" xfId="0" applyNumberFormat="1" applyFont="1" applyBorder="1" applyAlignment="1">
      <alignment horizontal="right" vertical="center"/>
    </xf>
    <xf numFmtId="203" fontId="0" fillId="0" borderId="6" xfId="0" applyNumberFormat="1" applyFont="1" applyFill="1" applyBorder="1" applyAlignment="1">
      <alignment horizontal="right" vertical="center"/>
    </xf>
    <xf numFmtId="0" fontId="5" fillId="0" borderId="0" xfId="0" applyFont="1" applyBorder="1" applyAlignment="1">
      <alignment horizontal="center" vertical="center"/>
    </xf>
    <xf numFmtId="203" fontId="0" fillId="0" borderId="0" xfId="0" applyNumberFormat="1" applyFont="1" applyFill="1" applyBorder="1" applyAlignment="1">
      <alignment horizontal="right" vertical="center"/>
    </xf>
    <xf numFmtId="205" fontId="0" fillId="0" borderId="4" xfId="0" applyNumberFormat="1" applyFont="1" applyBorder="1" applyAlignment="1">
      <alignment horizontal="right" vertical="center"/>
    </xf>
    <xf numFmtId="203" fontId="0" fillId="0" borderId="0" xfId="0" applyNumberFormat="1" applyBorder="1" applyAlignment="1">
      <alignment horizontal="right"/>
    </xf>
    <xf numFmtId="205" fontId="0" fillId="0" borderId="4" xfId="0" applyNumberFormat="1" applyBorder="1"/>
    <xf numFmtId="203" fontId="0" fillId="0" borderId="0" xfId="129" applyNumberFormat="1" applyFont="1" applyFill="1" applyBorder="1" applyAlignment="1">
      <alignment horizontal="right" vertical="center"/>
    </xf>
    <xf numFmtId="205" fontId="0" fillId="0" borderId="7" xfId="0" applyNumberFormat="1" applyFont="1" applyBorder="1" applyAlignment="1">
      <alignment horizontal="right" vertical="center"/>
    </xf>
    <xf numFmtId="203" fontId="0" fillId="0" borderId="3" xfId="129" applyNumberFormat="1" applyFont="1" applyFill="1" applyBorder="1" applyAlignment="1">
      <alignment horizontal="right" vertical="center"/>
    </xf>
    <xf numFmtId="0" fontId="3" fillId="0" borderId="0" xfId="0" applyFont="1" applyFill="1" applyBorder="1" applyAlignment="1">
      <alignment horizontal="center" vertical="center"/>
    </xf>
    <xf numFmtId="204" fontId="0" fillId="0" borderId="4" xfId="0" applyNumberFormat="1" applyFont="1" applyBorder="1" applyAlignment="1">
      <alignment horizontal="right" vertical="center"/>
    </xf>
    <xf numFmtId="0" fontId="0" fillId="0" borderId="5" xfId="0" applyNumberFormat="1" applyBorder="1"/>
    <xf numFmtId="0" fontId="0" fillId="0" borderId="7" xfId="0" applyNumberFormat="1" applyBorder="1"/>
    <xf numFmtId="0" fontId="0" fillId="0" borderId="0" xfId="0" applyFont="1"/>
    <xf numFmtId="0" fontId="4" fillId="0" borderId="0" xfId="0" applyFont="1"/>
    <xf numFmtId="0" fontId="0" fillId="0" borderId="0" xfId="0" applyBorder="1"/>
    <xf numFmtId="0" fontId="3" fillId="0" borderId="1" xfId="0" applyFont="1" applyBorder="1" applyAlignment="1">
      <alignment horizontal="center" vertical="center"/>
    </xf>
    <xf numFmtId="0" fontId="0" fillId="0" borderId="0" xfId="0" applyFont="1" applyFill="1" applyAlignment="1"/>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0" fillId="0" borderId="0" xfId="0" applyFont="1" applyBorder="1"/>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Border="1" applyAlignment="1">
      <alignment horizontal="right" vertical="center"/>
    </xf>
    <xf numFmtId="202" fontId="0" fillId="0" borderId="6" xfId="0" applyNumberFormat="1" applyFont="1" applyBorder="1" applyAlignment="1">
      <alignment horizontal="right" vertical="center"/>
    </xf>
    <xf numFmtId="0" fontId="8" fillId="0" borderId="4" xfId="0" applyFont="1" applyBorder="1" applyAlignment="1">
      <alignment horizontal="center" vertical="center" wrapText="1"/>
    </xf>
    <xf numFmtId="203" fontId="0" fillId="0" borderId="0" xfId="0" applyNumberFormat="1" applyBorder="1" applyAlignment="1">
      <alignment vertical="center"/>
    </xf>
    <xf numFmtId="204" fontId="0" fillId="0" borderId="2" xfId="0" applyNumberFormat="1" applyFont="1" applyBorder="1" applyAlignment="1">
      <alignment horizontal="right" vertical="center"/>
    </xf>
    <xf numFmtId="203" fontId="0" fillId="0" borderId="3" xfId="0" applyNumberFormat="1" applyBorder="1" applyAlignment="1">
      <alignment vertical="center"/>
    </xf>
    <xf numFmtId="204" fontId="0" fillId="0" borderId="5" xfId="75" applyNumberFormat="1" applyFont="1" applyBorder="1" applyAlignment="1">
      <alignment horizontal="right" vertical="center"/>
    </xf>
    <xf numFmtId="204" fontId="0" fillId="0" borderId="5" xfId="75" applyNumberFormat="1" applyFont="1" applyBorder="1" applyAlignment="1">
      <alignment horizontal="right" vertical="center" wrapText="1"/>
    </xf>
    <xf numFmtId="203" fontId="0" fillId="0" borderId="6" xfId="114" applyNumberFormat="1" applyFont="1" applyFill="1" applyBorder="1" applyAlignment="1">
      <alignment horizontal="right" vertical="center" wrapText="1"/>
    </xf>
    <xf numFmtId="206" fontId="0" fillId="0" borderId="5" xfId="0" applyNumberFormat="1" applyBorder="1" applyAlignment="1">
      <alignment wrapText="1"/>
    </xf>
    <xf numFmtId="0" fontId="0" fillId="0" borderId="5" xfId="0" applyBorder="1" applyAlignment="1">
      <alignment wrapText="1"/>
    </xf>
    <xf numFmtId="0" fontId="5" fillId="0" borderId="4" xfId="0" applyNumberFormat="1" applyFont="1" applyBorder="1" applyAlignment="1">
      <alignment horizontal="center" vertical="center"/>
    </xf>
    <xf numFmtId="0" fontId="0" fillId="0" borderId="5" xfId="0" applyNumberFormat="1" applyBorder="1" applyAlignment="1">
      <alignment wrapText="1"/>
    </xf>
    <xf numFmtId="0" fontId="0" fillId="0" borderId="6" xfId="0" applyNumberFormat="1" applyBorder="1" applyAlignment="1">
      <alignment wrapText="1"/>
    </xf>
    <xf numFmtId="203" fontId="0" fillId="0" borderId="6" xfId="0" applyNumberFormat="1" applyBorder="1" applyAlignment="1">
      <alignment wrapText="1"/>
    </xf>
    <xf numFmtId="0" fontId="5" fillId="0" borderId="6" xfId="0" applyNumberFormat="1" applyFont="1" applyBorder="1" applyAlignment="1">
      <alignment horizontal="center" vertical="center"/>
    </xf>
    <xf numFmtId="207" fontId="0" fillId="0" borderId="5" xfId="0" applyNumberFormat="1" applyBorder="1" applyAlignment="1">
      <alignment wrapText="1"/>
    </xf>
    <xf numFmtId="0" fontId="0" fillId="0" borderId="0" xfId="0" applyNumberFormat="1" applyBorder="1" applyAlignment="1">
      <alignment wrapText="1"/>
    </xf>
    <xf numFmtId="203" fontId="0" fillId="0" borderId="0" xfId="0" applyNumberFormat="1" applyBorder="1" applyAlignment="1">
      <alignment wrapText="1"/>
    </xf>
    <xf numFmtId="207" fontId="0" fillId="0" borderId="4" xfId="0" applyNumberFormat="1" applyBorder="1"/>
    <xf numFmtId="207" fontId="0" fillId="0" borderId="11" xfId="0" applyNumberFormat="1" applyBorder="1"/>
    <xf numFmtId="203" fontId="0" fillId="0" borderId="12" xfId="0" applyNumberFormat="1" applyBorder="1"/>
    <xf numFmtId="204" fontId="0" fillId="0" borderId="5" xfId="0" applyNumberFormat="1" applyFont="1" applyFill="1" applyBorder="1" applyAlignment="1">
      <alignment horizontal="right" vertical="center"/>
    </xf>
    <xf numFmtId="202" fontId="0" fillId="0" borderId="6" xfId="0" applyNumberFormat="1" applyFont="1" applyFill="1" applyBorder="1" applyAlignment="1">
      <alignment horizontal="right" vertical="center"/>
    </xf>
    <xf numFmtId="0" fontId="0" fillId="0" borderId="4" xfId="0" applyBorder="1"/>
    <xf numFmtId="0" fontId="0" fillId="0" borderId="6" xfId="0" applyBorder="1"/>
    <xf numFmtId="0" fontId="5" fillId="0" borderId="0" xfId="0" applyNumberFormat="1" applyFont="1" applyBorder="1" applyAlignment="1">
      <alignment horizontal="center" vertical="center"/>
    </xf>
    <xf numFmtId="0" fontId="0" fillId="2" borderId="7" xfId="0" applyFont="1" applyFill="1" applyBorder="1" applyAlignment="1">
      <alignment horizontal="right" vertical="center"/>
    </xf>
    <xf numFmtId="203" fontId="0" fillId="2" borderId="13" xfId="0" applyNumberFormat="1" applyFont="1" applyFill="1" applyBorder="1" applyAlignment="1">
      <alignment horizontal="right"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5" fillId="0" borderId="4" xfId="0" applyFont="1" applyBorder="1" applyAlignment="1">
      <alignment horizontal="center"/>
    </xf>
    <xf numFmtId="0" fontId="0" fillId="0" borderId="5" xfId="0" applyBorder="1"/>
    <xf numFmtId="0" fontId="0" fillId="0" borderId="0" xfId="0" applyFont="1" applyBorder="1" applyAlignment="1">
      <alignment horizontal="right" vertical="center"/>
    </xf>
    <xf numFmtId="203" fontId="0" fillId="0" borderId="6" xfId="0" applyNumberFormat="1" applyBorder="1"/>
    <xf numFmtId="203" fontId="0" fillId="0" borderId="6" xfId="0" applyNumberFormat="1" applyFill="1" applyBorder="1"/>
    <xf numFmtId="0" fontId="5" fillId="0" borderId="0" xfId="0" applyFont="1" applyBorder="1" applyAlignment="1">
      <alignment horizontal="center"/>
    </xf>
    <xf numFmtId="203" fontId="0" fillId="0" borderId="0" xfId="0" applyNumberFormat="1"/>
    <xf numFmtId="0" fontId="5" fillId="0" borderId="0" xfId="0" applyNumberFormat="1" applyFont="1" applyBorder="1" applyAlignment="1">
      <alignment horizontal="center"/>
    </xf>
    <xf numFmtId="0" fontId="5" fillId="0" borderId="5" xfId="0" applyNumberFormat="1" applyFont="1" applyBorder="1" applyAlignment="1">
      <alignment horizontal="center"/>
    </xf>
    <xf numFmtId="0" fontId="0" fillId="0" borderId="0" xfId="101" applyFont="1" applyFill="1">
      <alignment vertical="center"/>
    </xf>
    <xf numFmtId="0" fontId="0" fillId="0" borderId="0" xfId="101" applyFill="1" applyAlignment="1">
      <alignment horizontal="center" vertical="center"/>
    </xf>
    <xf numFmtId="0" fontId="0" fillId="0" borderId="0" xfId="101" applyFill="1">
      <alignment vertical="center"/>
    </xf>
    <xf numFmtId="0" fontId="3" fillId="0" borderId="0" xfId="101" applyFont="1" applyFill="1" applyBorder="1" applyAlignment="1">
      <alignment horizontal="center" vertical="center"/>
    </xf>
    <xf numFmtId="0" fontId="5" fillId="0" borderId="14" xfId="101" applyFont="1" applyFill="1" applyBorder="1" applyAlignment="1">
      <alignment horizontal="center" vertical="center"/>
    </xf>
    <xf numFmtId="0" fontId="0" fillId="0" borderId="15" xfId="101" applyFont="1" applyFill="1" applyBorder="1" applyAlignment="1">
      <alignment horizontal="center" vertical="center" wrapText="1"/>
    </xf>
    <xf numFmtId="0" fontId="0" fillId="0" borderId="16" xfId="101" applyFont="1" applyFill="1" applyBorder="1" applyAlignment="1">
      <alignment horizontal="center" vertical="center" wrapText="1"/>
    </xf>
    <xf numFmtId="0" fontId="0" fillId="0" borderId="17" xfId="101" applyFont="1" applyFill="1" applyBorder="1" applyAlignment="1">
      <alignment horizontal="center" vertical="center" wrapText="1"/>
    </xf>
    <xf numFmtId="0" fontId="0" fillId="0" borderId="0" xfId="101" applyFont="1" applyFill="1" applyAlignment="1">
      <alignment horizontal="center" vertical="center"/>
    </xf>
    <xf numFmtId="0" fontId="0" fillId="0" borderId="0" xfId="101" applyFill="1" applyBorder="1" applyAlignment="1">
      <alignment horizontal="center" vertical="center"/>
    </xf>
    <xf numFmtId="0" fontId="0" fillId="0" borderId="18" xfId="101" applyFont="1" applyFill="1" applyBorder="1" applyAlignment="1" applyProtection="1">
      <alignment horizontal="center" vertical="center"/>
    </xf>
    <xf numFmtId="207" fontId="0" fillId="0" borderId="6" xfId="101" applyNumberFormat="1" applyFont="1" applyFill="1" applyBorder="1" applyAlignment="1" applyProtection="1">
      <alignment horizontal="right" vertical="center"/>
    </xf>
    <xf numFmtId="204" fontId="0" fillId="0" borderId="19" xfId="114" applyNumberFormat="1" applyFont="1" applyFill="1" applyBorder="1" applyAlignment="1">
      <alignment horizontal="right" vertical="center"/>
    </xf>
    <xf numFmtId="204" fontId="0" fillId="0" borderId="0" xfId="114" applyNumberFormat="1" applyFont="1" applyFill="1" applyBorder="1" applyAlignment="1">
      <alignment horizontal="right" vertical="center"/>
    </xf>
    <xf numFmtId="0" fontId="10" fillId="0" borderId="0" xfId="0" applyFont="1" applyAlignment="1">
      <alignment horizontal="right"/>
    </xf>
    <xf numFmtId="0" fontId="11" fillId="0" borderId="0" xfId="0" applyFont="1"/>
    <xf numFmtId="208" fontId="0" fillId="0" borderId="20" xfId="114" applyNumberFormat="1" applyFont="1" applyFill="1" applyBorder="1" applyAlignment="1">
      <alignment horizontal="right" vertical="center"/>
    </xf>
    <xf numFmtId="203" fontId="0" fillId="0" borderId="6" xfId="101" applyNumberFormat="1" applyFont="1" applyFill="1" applyBorder="1" applyAlignment="1" applyProtection="1">
      <alignment horizontal="right" vertical="center"/>
    </xf>
    <xf numFmtId="205" fontId="0" fillId="0" borderId="0" xfId="101" applyNumberFormat="1" applyFill="1" applyAlignment="1">
      <alignment horizontal="center" vertical="center"/>
    </xf>
    <xf numFmtId="0" fontId="12" fillId="0" borderId="0" xfId="101" applyFont="1" applyBorder="1" applyAlignment="1">
      <alignment horizontal="right" vertical="center" wrapText="1"/>
    </xf>
    <xf numFmtId="207" fontId="0" fillId="0" borderId="21" xfId="101" applyNumberFormat="1" applyFont="1" applyFill="1" applyBorder="1" applyAlignment="1" applyProtection="1">
      <alignment horizontal="right" vertical="center"/>
    </xf>
    <xf numFmtId="0" fontId="0" fillId="0" borderId="0" xfId="108">
      <alignment vertical="center"/>
    </xf>
    <xf numFmtId="203" fontId="0" fillId="0" borderId="0" xfId="101" applyNumberFormat="1" applyFill="1" applyAlignment="1">
      <alignment horizontal="center" vertical="center"/>
    </xf>
    <xf numFmtId="203" fontId="13" fillId="0" borderId="0" xfId="114" applyNumberFormat="1" applyFont="1" applyFill="1" applyBorder="1" applyAlignment="1">
      <alignment horizontal="right" vertical="center"/>
    </xf>
    <xf numFmtId="203" fontId="0" fillId="0" borderId="0" xfId="101" applyNumberFormat="1" applyFill="1">
      <alignment vertical="center"/>
    </xf>
    <xf numFmtId="0" fontId="12" fillId="0" borderId="0" xfId="101" applyFont="1" applyAlignment="1">
      <alignment horizontal="right" vertical="center" wrapText="1"/>
    </xf>
    <xf numFmtId="0" fontId="0" fillId="0" borderId="22" xfId="101" applyFont="1" applyFill="1" applyBorder="1" applyAlignment="1" applyProtection="1">
      <alignment horizontal="center" vertical="center"/>
    </xf>
    <xf numFmtId="208" fontId="0" fillId="0" borderId="23" xfId="114" applyNumberFormat="1" applyFont="1" applyFill="1" applyBorder="1" applyAlignment="1">
      <alignment horizontal="right" vertical="center"/>
    </xf>
    <xf numFmtId="203" fontId="0" fillId="0" borderId="10" xfId="114" applyNumberFormat="1" applyFont="1" applyFill="1" applyBorder="1" applyAlignment="1">
      <alignment horizontal="right" vertical="center"/>
    </xf>
    <xf numFmtId="207" fontId="0" fillId="0" borderId="24" xfId="101" applyNumberFormat="1" applyFont="1" applyFill="1" applyBorder="1" applyAlignment="1" applyProtection="1">
      <alignment horizontal="right" vertical="center"/>
    </xf>
    <xf numFmtId="203" fontId="0" fillId="0" borderId="10" xfId="101" applyNumberFormat="1" applyFont="1" applyFill="1" applyBorder="1" applyAlignment="1" applyProtection="1">
      <alignment horizontal="right" vertical="center"/>
    </xf>
    <xf numFmtId="207" fontId="0" fillId="0" borderId="10" xfId="101" applyNumberFormat="1" applyFont="1" applyFill="1" applyBorder="1" applyAlignment="1" applyProtection="1">
      <alignment horizontal="right" vertical="center"/>
    </xf>
    <xf numFmtId="0" fontId="0" fillId="0" borderId="0" xfId="101" applyFill="1" applyBorder="1">
      <alignment vertical="center"/>
    </xf>
    <xf numFmtId="0" fontId="0" fillId="0" borderId="0" xfId="159" applyFont="1" applyFill="1">
      <alignment vertical="center"/>
    </xf>
    <xf numFmtId="0" fontId="0" fillId="0" borderId="0" xfId="0" applyFont="1" applyFill="1"/>
    <xf numFmtId="0" fontId="14" fillId="0" borderId="0" xfId="0" applyFont="1" applyFill="1" applyAlignment="1">
      <alignment horizontal="center" vertical="center"/>
    </xf>
    <xf numFmtId="0" fontId="15" fillId="0" borderId="25" xfId="75" applyFont="1" applyFill="1" applyBorder="1" applyAlignment="1">
      <alignment horizontal="center" vertical="center" wrapText="1"/>
    </xf>
    <xf numFmtId="0" fontId="15" fillId="0" borderId="26" xfId="151" applyFont="1" applyFill="1" applyBorder="1" applyAlignment="1">
      <alignment horizontal="center" vertical="center"/>
    </xf>
    <xf numFmtId="0" fontId="15" fillId="0" borderId="27" xfId="151" applyFont="1" applyFill="1" applyBorder="1" applyAlignment="1">
      <alignment horizontal="center" vertical="center"/>
    </xf>
    <xf numFmtId="0" fontId="16" fillId="0" borderId="28" xfId="75" applyFont="1" applyFill="1" applyBorder="1" applyAlignment="1">
      <alignment horizontal="center" vertical="center" wrapText="1"/>
    </xf>
    <xf numFmtId="0" fontId="15" fillId="0" borderId="15" xfId="75" applyFont="1" applyFill="1" applyBorder="1" applyAlignment="1">
      <alignment horizontal="center" vertical="center" wrapText="1"/>
    </xf>
    <xf numFmtId="0" fontId="15" fillId="0" borderId="17" xfId="75" applyFont="1" applyFill="1" applyBorder="1" applyAlignment="1">
      <alignment horizontal="center" vertical="center" wrapText="1"/>
    </xf>
    <xf numFmtId="0" fontId="16" fillId="0" borderId="29" xfId="0" applyFont="1" applyFill="1" applyBorder="1" applyAlignment="1">
      <alignment vertical="center" wrapText="1"/>
    </xf>
    <xf numFmtId="205" fontId="4" fillId="0" borderId="5" xfId="101" applyNumberFormat="1" applyFont="1" applyFill="1" applyBorder="1" applyAlignment="1" applyProtection="1">
      <alignment horizontal="center" vertical="center" wrapText="1"/>
    </xf>
    <xf numFmtId="203" fontId="4" fillId="0" borderId="6" xfId="101" applyNumberFormat="1" applyFont="1" applyFill="1" applyBorder="1" applyAlignment="1" applyProtection="1">
      <alignment horizontal="center" vertical="center" wrapText="1"/>
    </xf>
    <xf numFmtId="0" fontId="17" fillId="0" borderId="4" xfId="0" applyFont="1" applyFill="1" applyBorder="1" applyAlignment="1">
      <alignment vertical="center" wrapText="1"/>
    </xf>
    <xf numFmtId="205" fontId="18" fillId="0" borderId="5" xfId="101" applyNumberFormat="1" applyFont="1" applyFill="1" applyBorder="1" applyAlignment="1" applyProtection="1">
      <alignment horizontal="right" vertical="center" wrapText="1"/>
    </xf>
    <xf numFmtId="203" fontId="18" fillId="0" borderId="6" xfId="101" applyNumberFormat="1" applyFont="1" applyFill="1" applyBorder="1" applyAlignment="1" applyProtection="1">
      <alignment horizontal="right" vertical="center" wrapText="1"/>
    </xf>
    <xf numFmtId="205" fontId="17" fillId="0" borderId="4" xfId="0" applyNumberFormat="1" applyFont="1" applyFill="1" applyBorder="1" applyAlignment="1">
      <alignment vertical="center" wrapText="1"/>
    </xf>
    <xf numFmtId="205" fontId="16" fillId="0" borderId="4" xfId="0" applyNumberFormat="1" applyFont="1" applyFill="1" applyBorder="1" applyAlignment="1">
      <alignment vertical="center" wrapText="1"/>
    </xf>
    <xf numFmtId="205" fontId="18" fillId="0" borderId="5" xfId="114" applyNumberFormat="1" applyFont="1" applyFill="1" applyBorder="1" applyAlignment="1">
      <alignment horizontal="right" vertical="center" wrapText="1"/>
    </xf>
    <xf numFmtId="203" fontId="18" fillId="0" borderId="6" xfId="114" applyNumberFormat="1" applyFont="1" applyFill="1" applyBorder="1" applyAlignment="1">
      <alignment horizontal="right" vertical="center" wrapText="1"/>
    </xf>
    <xf numFmtId="205" fontId="17" fillId="0" borderId="8" xfId="0" applyNumberFormat="1" applyFont="1" applyFill="1" applyBorder="1" applyAlignment="1">
      <alignment vertical="center" wrapText="1"/>
    </xf>
    <xf numFmtId="205" fontId="18" fillId="0" borderId="9" xfId="101" applyNumberFormat="1" applyFont="1" applyFill="1" applyBorder="1" applyAlignment="1" applyProtection="1">
      <alignment horizontal="right" vertical="center" wrapText="1"/>
    </xf>
    <xf numFmtId="203" fontId="18" fillId="0" borderId="10" xfId="101" applyNumberFormat="1" applyFont="1" applyFill="1" applyBorder="1" applyAlignment="1" applyProtection="1">
      <alignment horizontal="right" vertical="center" wrapText="1"/>
    </xf>
    <xf numFmtId="0" fontId="0" fillId="0" borderId="0" xfId="159" applyFont="1" applyFill="1" applyAlignment="1">
      <alignment horizontal="left" vertical="center" wrapText="1"/>
    </xf>
    <xf numFmtId="203" fontId="4" fillId="0" borderId="0" xfId="101" applyNumberFormat="1" applyFont="1" applyFill="1" applyBorder="1" applyAlignment="1" applyProtection="1">
      <alignment horizontal="center" vertical="center" wrapText="1"/>
    </xf>
    <xf numFmtId="203" fontId="18" fillId="0" borderId="0" xfId="101" applyNumberFormat="1" applyFont="1" applyFill="1" applyBorder="1" applyAlignment="1" applyProtection="1">
      <alignment horizontal="right" vertical="center" wrapText="1"/>
    </xf>
    <xf numFmtId="203" fontId="18" fillId="0" borderId="0" xfId="101" applyNumberFormat="1" applyFont="1" applyFill="1" applyBorder="1" applyAlignment="1" applyProtection="1">
      <alignment horizontal="center" vertical="center" wrapText="1"/>
    </xf>
    <xf numFmtId="0" fontId="0" fillId="0" borderId="0" xfId="159" applyFont="1" applyFill="1" applyBorder="1">
      <alignment vertical="center"/>
    </xf>
    <xf numFmtId="203" fontId="18" fillId="0" borderId="0" xfId="114" applyNumberFormat="1" applyFont="1" applyFill="1" applyBorder="1" applyAlignment="1">
      <alignment horizontal="right" vertical="center" wrapText="1"/>
    </xf>
    <xf numFmtId="205" fontId="18" fillId="0" borderId="5" xfId="101" applyNumberFormat="1" applyFont="1" applyFill="1" applyBorder="1" applyAlignment="1" applyProtection="1">
      <alignment horizontal="center" vertical="center" wrapText="1"/>
    </xf>
    <xf numFmtId="203" fontId="18" fillId="0" borderId="6" xfId="101" applyNumberFormat="1" applyFont="1" applyFill="1" applyBorder="1" applyAlignment="1" applyProtection="1">
      <alignment horizontal="center" vertical="center" wrapText="1"/>
    </xf>
    <xf numFmtId="0" fontId="0" fillId="0" borderId="0" xfId="0" applyFont="1" applyFill="1" applyBorder="1" applyAlignment="1"/>
    <xf numFmtId="0" fontId="0" fillId="0" borderId="0" xfId="159" applyFont="1" applyFill="1" applyBorder="1" applyAlignment="1">
      <alignment vertical="center"/>
    </xf>
    <xf numFmtId="205" fontId="4" fillId="0" borderId="19" xfId="0" applyNumberFormat="1" applyFont="1" applyFill="1" applyBorder="1" applyAlignment="1">
      <alignment horizontal="right" vertical="center" wrapText="1"/>
    </xf>
    <xf numFmtId="203" fontId="4" fillId="0" borderId="30" xfId="0" applyNumberFormat="1" applyFont="1" applyFill="1" applyBorder="1" applyAlignment="1">
      <alignment horizontal="right" vertical="center" wrapText="1"/>
    </xf>
    <xf numFmtId="205" fontId="18" fillId="0" borderId="5" xfId="0" applyNumberFormat="1" applyFont="1" applyFill="1" applyBorder="1" applyAlignment="1">
      <alignment horizontal="right" vertical="center" wrapText="1"/>
    </xf>
    <xf numFmtId="203" fontId="18" fillId="0" borderId="6" xfId="0" applyNumberFormat="1" applyFont="1" applyFill="1" applyBorder="1" applyAlignment="1">
      <alignment horizontal="right" vertical="center" wrapText="1"/>
    </xf>
    <xf numFmtId="203" fontId="18" fillId="0" borderId="6" xfId="159" applyNumberFormat="1" applyFont="1" applyFill="1" applyBorder="1" applyAlignment="1">
      <alignment horizontal="right" vertical="center" wrapText="1"/>
    </xf>
    <xf numFmtId="205" fontId="18" fillId="0" borderId="9" xfId="0" applyNumberFormat="1" applyFont="1" applyFill="1" applyBorder="1" applyAlignment="1">
      <alignment horizontal="right" vertical="center" wrapText="1"/>
    </xf>
    <xf numFmtId="203" fontId="18" fillId="0" borderId="10" xfId="159" applyNumberFormat="1" applyFont="1" applyFill="1" applyBorder="1" applyAlignment="1">
      <alignment horizontal="right" vertical="center" wrapText="1"/>
    </xf>
    <xf numFmtId="0" fontId="4" fillId="0" borderId="0" xfId="159" applyFont="1" applyFill="1" applyAlignment="1">
      <alignment horizontal="left" vertical="center" wrapText="1"/>
    </xf>
    <xf numFmtId="0" fontId="14" fillId="0" borderId="0" xfId="0" applyFont="1" applyFill="1" applyAlignment="1">
      <alignment horizontal="center" vertical="center" wrapText="1"/>
    </xf>
    <xf numFmtId="205" fontId="18" fillId="0" borderId="5" xfId="0" applyNumberFormat="1" applyFont="1" applyFill="1" applyBorder="1" applyAlignment="1">
      <alignment horizontal="center" vertical="center" wrapText="1"/>
    </xf>
    <xf numFmtId="203" fontId="18" fillId="0" borderId="6" xfId="0" applyNumberFormat="1" applyFont="1" applyFill="1" applyBorder="1" applyAlignment="1">
      <alignment horizontal="center" vertical="center" wrapText="1"/>
    </xf>
    <xf numFmtId="0" fontId="0" fillId="0" borderId="0" xfId="0" applyFill="1"/>
    <xf numFmtId="207" fontId="15" fillId="0" borderId="31" xfId="151" applyNumberFormat="1" applyFont="1" applyFill="1" applyBorder="1" applyAlignment="1">
      <alignment horizontal="center" vertical="center" wrapText="1"/>
    </xf>
    <xf numFmtId="203" fontId="15" fillId="0" borderId="32" xfId="151" applyNumberFormat="1" applyFont="1" applyFill="1" applyBorder="1" applyAlignment="1">
      <alignment horizontal="center" vertical="center" wrapText="1"/>
    </xf>
    <xf numFmtId="207" fontId="18" fillId="0" borderId="33" xfId="0" applyNumberFormat="1" applyFont="1" applyFill="1" applyBorder="1" applyAlignment="1">
      <alignment horizontal="center" vertical="center" wrapText="1"/>
    </xf>
    <xf numFmtId="203" fontId="18" fillId="0" borderId="34" xfId="0" applyNumberFormat="1" applyFont="1" applyFill="1" applyBorder="1" applyAlignment="1">
      <alignment horizontal="center" vertical="center" wrapText="1"/>
    </xf>
    <xf numFmtId="0" fontId="17" fillId="0" borderId="8" xfId="0" applyFont="1" applyFill="1" applyBorder="1" applyAlignment="1">
      <alignment vertical="center" wrapText="1"/>
    </xf>
    <xf numFmtId="207" fontId="18" fillId="0" borderId="35" xfId="0" applyNumberFormat="1" applyFont="1" applyFill="1" applyBorder="1" applyAlignment="1">
      <alignment horizontal="center" vertical="center" wrapText="1"/>
    </xf>
    <xf numFmtId="203" fontId="18" fillId="0" borderId="36" xfId="0" applyNumberFormat="1" applyFont="1" applyFill="1" applyBorder="1" applyAlignment="1">
      <alignment horizontal="center" vertical="center" wrapText="1"/>
    </xf>
    <xf numFmtId="0" fontId="14" fillId="0" borderId="0" xfId="0" applyFont="1" applyFill="1" applyBorder="1" applyAlignment="1">
      <alignment horizontal="justify" vertical="center"/>
    </xf>
    <xf numFmtId="0" fontId="19" fillId="0" borderId="28" xfId="75" applyFont="1" applyFill="1" applyBorder="1" applyAlignment="1">
      <alignment horizontal="center" vertical="center" wrapText="1"/>
    </xf>
    <xf numFmtId="203" fontId="15" fillId="0" borderId="5" xfId="101" applyNumberFormat="1" applyFont="1" applyFill="1" applyBorder="1" applyAlignment="1" applyProtection="1">
      <alignment horizontal="right" vertical="center" wrapText="1"/>
    </xf>
    <xf numFmtId="203" fontId="15" fillId="0" borderId="6" xfId="101" applyNumberFormat="1" applyFont="1" applyFill="1" applyBorder="1" applyAlignment="1" applyProtection="1">
      <alignment horizontal="right" vertical="center" wrapText="1"/>
    </xf>
    <xf numFmtId="203" fontId="18" fillId="0" borderId="5" xfId="101" applyNumberFormat="1" applyFont="1" applyFill="1" applyBorder="1" applyAlignment="1" applyProtection="1">
      <alignment horizontal="right" vertical="center" wrapText="1"/>
    </xf>
    <xf numFmtId="203" fontId="18" fillId="0" borderId="5" xfId="114" applyNumberFormat="1" applyFont="1" applyFill="1" applyBorder="1" applyAlignment="1">
      <alignment horizontal="right" vertical="center" wrapText="1"/>
    </xf>
    <xf numFmtId="205" fontId="16" fillId="0" borderId="8" xfId="0" applyNumberFormat="1" applyFont="1" applyFill="1" applyBorder="1" applyAlignment="1">
      <alignment vertical="center" wrapText="1"/>
    </xf>
    <xf numFmtId="203" fontId="15" fillId="0" borderId="9" xfId="101" applyNumberFormat="1" applyFont="1" applyFill="1" applyBorder="1" applyAlignment="1" applyProtection="1">
      <alignment horizontal="right" vertical="center" wrapText="1"/>
    </xf>
    <xf numFmtId="203" fontId="15" fillId="0" borderId="10" xfId="101" applyNumberFormat="1" applyFont="1" applyFill="1" applyBorder="1" applyAlignment="1" applyProtection="1">
      <alignment horizontal="right" vertical="center" wrapText="1"/>
    </xf>
    <xf numFmtId="0" fontId="18" fillId="0" borderId="0" xfId="0" applyFont="1" applyFill="1" applyAlignment="1">
      <alignment horizontal="left" vertical="center" wrapText="1"/>
    </xf>
    <xf numFmtId="205" fontId="16" fillId="0" borderId="29" xfId="0" applyNumberFormat="1" applyFont="1" applyFill="1" applyBorder="1" applyAlignment="1">
      <alignment vertical="center" wrapText="1"/>
    </xf>
    <xf numFmtId="205" fontId="20" fillId="0" borderId="6" xfId="101" applyNumberFormat="1" applyFont="1" applyFill="1" applyBorder="1" applyAlignment="1" applyProtection="1">
      <alignment horizontal="right" vertical="center" wrapText="1"/>
    </xf>
    <xf numFmtId="203" fontId="20" fillId="0" borderId="6" xfId="101" applyNumberFormat="1" applyFont="1" applyFill="1" applyBorder="1" applyAlignment="1" applyProtection="1">
      <alignment horizontal="right" vertical="center" wrapText="1"/>
    </xf>
    <xf numFmtId="0" fontId="20" fillId="0" borderId="6" xfId="101" applyNumberFormat="1" applyFont="1" applyFill="1" applyBorder="1" applyAlignment="1" applyProtection="1">
      <alignment horizontal="right" vertical="center" wrapText="1"/>
    </xf>
    <xf numFmtId="205" fontId="4" fillId="0" borderId="6" xfId="101" applyNumberFormat="1" applyFont="1" applyFill="1" applyBorder="1" applyAlignment="1" applyProtection="1">
      <alignment horizontal="right" vertical="center" wrapText="1"/>
    </xf>
    <xf numFmtId="203" fontId="4" fillId="0" borderId="6" xfId="101" applyNumberFormat="1" applyFont="1" applyFill="1" applyBorder="1" applyAlignment="1" applyProtection="1">
      <alignment horizontal="right" vertical="center" wrapText="1"/>
    </xf>
    <xf numFmtId="0" fontId="17" fillId="0" borderId="4" xfId="159" applyFont="1" applyFill="1" applyBorder="1" applyAlignment="1">
      <alignment vertical="center"/>
    </xf>
    <xf numFmtId="0" fontId="16" fillId="0" borderId="4" xfId="159" applyFont="1" applyFill="1" applyBorder="1" applyAlignment="1">
      <alignment vertical="center"/>
    </xf>
    <xf numFmtId="205" fontId="20" fillId="0" borderId="5" xfId="101" applyNumberFormat="1" applyFont="1" applyFill="1" applyBorder="1" applyAlignment="1" applyProtection="1">
      <alignment horizontal="right" vertical="center" wrapText="1"/>
    </xf>
    <xf numFmtId="207" fontId="4" fillId="0" borderId="6" xfId="101" applyNumberFormat="1" applyFont="1" applyFill="1" applyBorder="1" applyAlignment="1" applyProtection="1">
      <alignment horizontal="right" vertical="center" wrapText="1"/>
    </xf>
    <xf numFmtId="0" fontId="17" fillId="0" borderId="8" xfId="159" applyFont="1" applyFill="1" applyBorder="1" applyAlignment="1">
      <alignment vertical="center"/>
    </xf>
    <xf numFmtId="205" fontId="4" fillId="0" borderId="9" xfId="0" applyNumberFormat="1" applyFont="1" applyFill="1" applyBorder="1" applyAlignment="1">
      <alignment horizontal="right" vertical="center" wrapText="1"/>
    </xf>
    <xf numFmtId="203" fontId="4" fillId="0" borderId="10" xfId="159" applyNumberFormat="1" applyFont="1" applyFill="1" applyBorder="1" applyAlignment="1">
      <alignment horizontal="right" vertical="center" wrapText="1"/>
    </xf>
    <xf numFmtId="203" fontId="4" fillId="0" borderId="10" xfId="159" applyNumberFormat="1" applyFont="1" applyFill="1" applyBorder="1" applyAlignment="1">
      <alignment horizontal="center" vertical="center" wrapText="1"/>
    </xf>
    <xf numFmtId="205" fontId="15" fillId="0" borderId="5" xfId="101" applyNumberFormat="1" applyFont="1" applyFill="1" applyBorder="1" applyAlignment="1" applyProtection="1">
      <alignment horizontal="right" vertical="center" wrapText="1"/>
    </xf>
    <xf numFmtId="0" fontId="9" fillId="0" borderId="0" xfId="0" applyFont="1" applyFill="1"/>
    <xf numFmtId="205" fontId="21" fillId="0" borderId="29" xfId="0" applyNumberFormat="1" applyFont="1" applyFill="1" applyBorder="1" applyAlignment="1">
      <alignment vertical="center" wrapText="1"/>
    </xf>
    <xf numFmtId="205" fontId="20" fillId="0" borderId="19" xfId="0" applyNumberFormat="1" applyFont="1" applyFill="1" applyBorder="1" applyAlignment="1">
      <alignment vertical="center" wrapText="1"/>
    </xf>
    <xf numFmtId="203" fontId="20" fillId="0" borderId="30" xfId="0" applyNumberFormat="1" applyFont="1" applyFill="1" applyBorder="1" applyAlignment="1">
      <alignment vertical="center" wrapText="1"/>
    </xf>
    <xf numFmtId="0" fontId="9" fillId="0" borderId="0" xfId="159" applyFont="1" applyFill="1">
      <alignment vertical="center"/>
    </xf>
    <xf numFmtId="205" fontId="21" fillId="0" borderId="4" xfId="0" applyNumberFormat="1" applyFont="1" applyFill="1" applyBorder="1" applyAlignment="1">
      <alignment vertical="center" wrapText="1"/>
    </xf>
    <xf numFmtId="205" fontId="20" fillId="0" borderId="5" xfId="0" applyNumberFormat="1" applyFont="1" applyFill="1" applyBorder="1" applyAlignment="1">
      <alignment vertical="center" wrapText="1"/>
    </xf>
    <xf numFmtId="205" fontId="20" fillId="0" borderId="6" xfId="0" applyNumberFormat="1" applyFont="1" applyFill="1" applyBorder="1" applyAlignment="1">
      <alignment vertical="center" wrapText="1"/>
    </xf>
    <xf numFmtId="205" fontId="22" fillId="0" borderId="4" xfId="0" applyNumberFormat="1" applyFont="1" applyFill="1" applyBorder="1" applyAlignment="1">
      <alignment vertical="center" wrapText="1"/>
    </xf>
    <xf numFmtId="205" fontId="4" fillId="0" borderId="5" xfId="0" applyNumberFormat="1" applyFont="1" applyFill="1" applyBorder="1" applyAlignment="1">
      <alignment vertical="center" wrapText="1"/>
    </xf>
    <xf numFmtId="203" fontId="4" fillId="0" borderId="6" xfId="0" applyNumberFormat="1" applyFont="1" applyFill="1" applyBorder="1" applyAlignment="1">
      <alignment vertical="center" wrapText="1"/>
    </xf>
    <xf numFmtId="205" fontId="4" fillId="0" borderId="6" xfId="0" applyNumberFormat="1" applyFont="1" applyFill="1" applyBorder="1" applyAlignment="1">
      <alignment horizontal="center" vertical="center" wrapText="1"/>
    </xf>
    <xf numFmtId="205" fontId="22" fillId="0" borderId="5" xfId="0" applyNumberFormat="1" applyFont="1" applyFill="1" applyBorder="1" applyAlignment="1">
      <alignment horizontal="right" vertical="center" wrapText="1"/>
    </xf>
    <xf numFmtId="203" fontId="20" fillId="0" borderId="6" xfId="0" applyNumberFormat="1" applyFont="1" applyFill="1" applyBorder="1" applyAlignment="1">
      <alignment vertical="center" wrapText="1"/>
    </xf>
    <xf numFmtId="0" fontId="22" fillId="0" borderId="4" xfId="159" applyFont="1" applyFill="1" applyBorder="1" applyAlignment="1">
      <alignment vertical="center"/>
    </xf>
    <xf numFmtId="203" fontId="4" fillId="0" borderId="6" xfId="159" applyNumberFormat="1" applyFont="1" applyFill="1" applyBorder="1" applyAlignment="1">
      <alignment vertical="center" wrapText="1"/>
    </xf>
    <xf numFmtId="0" fontId="22" fillId="0" borderId="8" xfId="159" applyFont="1" applyFill="1" applyBorder="1" applyAlignment="1">
      <alignment vertical="center"/>
    </xf>
    <xf numFmtId="205" fontId="4" fillId="0" borderId="9" xfId="0" applyNumberFormat="1" applyFont="1" applyFill="1" applyBorder="1" applyAlignment="1">
      <alignment vertical="center" wrapText="1"/>
    </xf>
    <xf numFmtId="203" fontId="4" fillId="0" borderId="10" xfId="159" applyNumberFormat="1" applyFont="1" applyFill="1" applyBorder="1" applyAlignment="1">
      <alignment vertical="center" wrapText="1"/>
    </xf>
    <xf numFmtId="0" fontId="0" fillId="0" borderId="0" xfId="140" applyFont="1" applyFill="1" applyBorder="1" applyAlignment="1">
      <alignment vertical="center"/>
    </xf>
    <xf numFmtId="0" fontId="23" fillId="0" borderId="0" xfId="140" applyFont="1" applyFill="1" applyBorder="1" applyAlignment="1">
      <alignment vertical="center"/>
    </xf>
    <xf numFmtId="0" fontId="15" fillId="0" borderId="26" xfId="75" applyFont="1" applyFill="1" applyBorder="1" applyAlignment="1">
      <alignment horizontal="center" vertical="center" wrapText="1"/>
    </xf>
    <xf numFmtId="0" fontId="16" fillId="0" borderId="15" xfId="75" applyFont="1" applyFill="1" applyBorder="1" applyAlignment="1">
      <alignment horizontal="center" vertical="center" wrapText="1"/>
    </xf>
    <xf numFmtId="0" fontId="16" fillId="0" borderId="29" xfId="0" applyFont="1" applyFill="1" applyBorder="1" applyAlignment="1">
      <alignment horizontal="justify" vertical="center" wrapText="1"/>
    </xf>
    <xf numFmtId="0" fontId="16" fillId="0" borderId="19" xfId="0" applyFont="1" applyFill="1" applyBorder="1" applyAlignment="1">
      <alignment horizontal="center" vertical="center" wrapText="1"/>
    </xf>
    <xf numFmtId="0" fontId="17" fillId="0" borderId="4" xfId="0" applyFont="1" applyFill="1" applyBorder="1" applyAlignment="1">
      <alignment horizontal="justify" vertical="center" wrapText="1"/>
    </xf>
    <xf numFmtId="0" fontId="17" fillId="0" borderId="5" xfId="0" applyFont="1" applyFill="1" applyBorder="1" applyAlignment="1">
      <alignment horizontal="center" vertical="center" wrapText="1"/>
    </xf>
    <xf numFmtId="0" fontId="16" fillId="0" borderId="4" xfId="0" applyFont="1" applyFill="1" applyBorder="1" applyAlignment="1">
      <alignment horizontal="justify" vertical="center" wrapText="1"/>
    </xf>
    <xf numFmtId="0" fontId="16" fillId="0" borderId="5" xfId="0" applyFont="1" applyFill="1" applyBorder="1" applyAlignment="1">
      <alignment horizontal="center" vertical="center" wrapText="1"/>
    </xf>
    <xf numFmtId="207" fontId="15" fillId="0" borderId="5" xfId="101" applyNumberFormat="1" applyFont="1" applyFill="1" applyBorder="1" applyAlignment="1" applyProtection="1">
      <alignment horizontal="right" vertical="center" wrapText="1"/>
    </xf>
    <xf numFmtId="207" fontId="18" fillId="0" borderId="5" xfId="101" applyNumberFormat="1" applyFont="1" applyFill="1" applyBorder="1" applyAlignment="1" applyProtection="1">
      <alignment horizontal="right" vertical="center" wrapText="1"/>
    </xf>
    <xf numFmtId="205" fontId="9" fillId="0" borderId="6" xfId="140" applyNumberFormat="1" applyFont="1" applyFill="1" applyBorder="1" applyAlignment="1">
      <alignment vertical="center" wrapText="1"/>
    </xf>
    <xf numFmtId="203" fontId="9" fillId="0" borderId="6" xfId="140" applyNumberFormat="1" applyFont="1" applyFill="1" applyBorder="1" applyAlignment="1">
      <alignment vertical="center" wrapText="1"/>
    </xf>
    <xf numFmtId="0" fontId="17" fillId="0" borderId="4" xfId="140" applyFont="1" applyFill="1" applyBorder="1" applyAlignment="1">
      <alignment vertical="center"/>
    </xf>
    <xf numFmtId="0" fontId="17" fillId="0" borderId="5" xfId="140" applyFont="1" applyFill="1" applyBorder="1" applyAlignment="1">
      <alignment horizontal="center" vertical="center"/>
    </xf>
    <xf numFmtId="205" fontId="0" fillId="0" borderId="6" xfId="140" applyNumberFormat="1" applyFont="1" applyFill="1" applyBorder="1" applyAlignment="1">
      <alignment vertical="center" wrapText="1"/>
    </xf>
    <xf numFmtId="203" fontId="0" fillId="0" borderId="6" xfId="140" applyNumberFormat="1" applyFont="1" applyFill="1" applyBorder="1" applyAlignment="1">
      <alignment vertical="center" wrapText="1"/>
    </xf>
    <xf numFmtId="0" fontId="16" fillId="0" borderId="4" xfId="140" applyFont="1" applyFill="1" applyBorder="1" applyAlignment="1">
      <alignment vertical="center"/>
    </xf>
    <xf numFmtId="0" fontId="16" fillId="0" borderId="5" xfId="140" applyFont="1" applyFill="1" applyBorder="1" applyAlignment="1">
      <alignment horizontal="center" vertical="center"/>
    </xf>
    <xf numFmtId="0" fontId="17" fillId="0" borderId="8" xfId="140" applyFont="1" applyFill="1" applyBorder="1" applyAlignment="1">
      <alignment vertical="center"/>
    </xf>
    <xf numFmtId="0" fontId="17" fillId="0" borderId="9" xfId="140" applyFont="1" applyFill="1" applyBorder="1" applyAlignment="1">
      <alignment horizontal="center" vertical="center"/>
    </xf>
    <xf numFmtId="205" fontId="0" fillId="0" borderId="10" xfId="140" applyNumberFormat="1" applyFont="1" applyFill="1" applyBorder="1" applyAlignment="1">
      <alignment vertical="center" wrapText="1"/>
    </xf>
    <xf numFmtId="203" fontId="0" fillId="0" borderId="10" xfId="140" applyNumberFormat="1" applyFont="1" applyFill="1" applyBorder="1" applyAlignment="1">
      <alignment vertical="center" wrapText="1"/>
    </xf>
    <xf numFmtId="0" fontId="0" fillId="0" borderId="0" xfId="140" applyFont="1" applyFill="1" applyAlignment="1">
      <alignment horizontal="left" vertical="center"/>
    </xf>
    <xf numFmtId="0" fontId="0" fillId="0" borderId="0" xfId="0" applyFont="1" applyFill="1" applyAlignment="1">
      <alignment vertical="center"/>
    </xf>
    <xf numFmtId="0" fontId="0" fillId="0" borderId="0" xfId="140" applyFont="1" applyFill="1">
      <alignment vertical="center"/>
    </xf>
    <xf numFmtId="0" fontId="24" fillId="0" borderId="0" xfId="0" applyFont="1" applyFill="1" applyBorder="1" applyAlignment="1">
      <alignment vertical="center"/>
    </xf>
    <xf numFmtId="0" fontId="24" fillId="0" borderId="6" xfId="0" applyFont="1" applyFill="1" applyBorder="1" applyAlignment="1">
      <alignment horizontal="center" vertical="center" wrapText="1"/>
    </xf>
    <xf numFmtId="0" fontId="25" fillId="0" borderId="0" xfId="0" applyFont="1" applyFill="1" applyBorder="1" applyAlignment="1">
      <alignment vertical="center"/>
    </xf>
    <xf numFmtId="0" fontId="25" fillId="0" borderId="6"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8" fillId="0" borderId="5" xfId="0" applyFont="1" applyFill="1" applyBorder="1" applyAlignment="1">
      <alignment horizontal="center" vertical="center" wrapText="1"/>
    </xf>
    <xf numFmtId="0" fontId="18" fillId="0" borderId="8"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0" fillId="0" borderId="0" xfId="0" applyFill="1" applyAlignment="1">
      <alignment vertical="center"/>
    </xf>
    <xf numFmtId="0" fontId="15" fillId="0" borderId="37" xfId="75" applyFont="1" applyFill="1" applyBorder="1" applyAlignment="1">
      <alignment horizontal="center" vertical="center" wrapText="1"/>
    </xf>
    <xf numFmtId="0" fontId="15" fillId="0" borderId="3" xfId="75" applyFont="1" applyFill="1" applyBorder="1" applyAlignment="1">
      <alignment horizontal="center" vertical="center" wrapText="1"/>
    </xf>
    <xf numFmtId="0" fontId="17" fillId="0" borderId="4" xfId="0" applyFont="1" applyFill="1" applyBorder="1" applyAlignment="1">
      <alignment vertical="center"/>
    </xf>
    <xf numFmtId="207" fontId="18" fillId="0" borderId="5" xfId="114" applyNumberFormat="1" applyFont="1" applyFill="1" applyBorder="1" applyAlignment="1">
      <alignment horizontal="right" vertical="center" wrapText="1"/>
    </xf>
    <xf numFmtId="0" fontId="18" fillId="0" borderId="6" xfId="114" applyNumberFormat="1" applyFont="1" applyFill="1" applyBorder="1" applyAlignment="1">
      <alignment horizontal="right" vertical="center" wrapText="1"/>
    </xf>
    <xf numFmtId="0" fontId="15" fillId="0" borderId="4" xfId="0" applyFont="1" applyFill="1" applyBorder="1" applyAlignment="1">
      <alignment horizontal="justify" vertical="center" wrapText="1"/>
    </xf>
    <xf numFmtId="0" fontId="4" fillId="0" borderId="0" xfId="140" applyFont="1" applyFill="1" applyAlignment="1">
      <alignment horizontal="left" vertical="center" wrapText="1"/>
    </xf>
    <xf numFmtId="207" fontId="18" fillId="0" borderId="9" xfId="101" applyNumberFormat="1" applyFont="1" applyFill="1" applyBorder="1" applyAlignment="1" applyProtection="1">
      <alignment horizontal="right" vertical="center" wrapText="1"/>
    </xf>
    <xf numFmtId="205" fontId="15" fillId="0" borderId="25" xfId="0" applyNumberFormat="1" applyFont="1" applyFill="1" applyBorder="1" applyAlignment="1">
      <alignment horizontal="center" vertical="center" wrapText="1"/>
    </xf>
    <xf numFmtId="205" fontId="15" fillId="0" borderId="38" xfId="0" applyNumberFormat="1" applyFont="1" applyFill="1" applyBorder="1" applyAlignment="1">
      <alignment horizontal="center" vertical="center" wrapText="1"/>
    </xf>
    <xf numFmtId="205" fontId="17" fillId="0" borderId="29" xfId="0" applyNumberFormat="1" applyFont="1" applyFill="1" applyBorder="1" applyAlignment="1">
      <alignment vertical="center" wrapText="1"/>
    </xf>
    <xf numFmtId="205" fontId="17" fillId="0" borderId="29" xfId="0" applyNumberFormat="1" applyFont="1" applyFill="1" applyBorder="1" applyAlignment="1">
      <alignment horizontal="center" vertical="center" wrapText="1"/>
    </xf>
    <xf numFmtId="205" fontId="18" fillId="0" borderId="30" xfId="101" applyNumberFormat="1" applyFont="1" applyFill="1" applyBorder="1" applyAlignment="1" applyProtection="1">
      <alignment horizontal="right" vertical="center" wrapText="1"/>
    </xf>
    <xf numFmtId="205" fontId="17" fillId="0" borderId="4" xfId="0" applyNumberFormat="1" applyFont="1" applyFill="1" applyBorder="1" applyAlignment="1">
      <alignment horizontal="center" vertical="center" wrapText="1"/>
    </xf>
    <xf numFmtId="205" fontId="18" fillId="0" borderId="6" xfId="101" applyNumberFormat="1" applyFont="1" applyFill="1" applyBorder="1" applyAlignment="1" applyProtection="1">
      <alignment horizontal="right" vertical="center" wrapText="1"/>
    </xf>
    <xf numFmtId="205" fontId="18" fillId="0" borderId="6" xfId="101" applyNumberFormat="1" applyFont="1" applyFill="1" applyBorder="1" applyAlignment="1" applyProtection="1">
      <alignment horizontal="center" vertical="center" wrapText="1"/>
    </xf>
    <xf numFmtId="205" fontId="17" fillId="0" borderId="8" xfId="0" applyNumberFormat="1" applyFont="1" applyFill="1" applyBorder="1" applyAlignment="1">
      <alignment horizontal="center" vertical="center" wrapText="1"/>
    </xf>
    <xf numFmtId="203" fontId="18" fillId="0" borderId="10" xfId="101" applyNumberFormat="1" applyFont="1" applyFill="1" applyBorder="1" applyAlignment="1" applyProtection="1">
      <alignment horizontal="center" vertical="center" wrapText="1"/>
    </xf>
    <xf numFmtId="205" fontId="16" fillId="0" borderId="28" xfId="0" applyNumberFormat="1" applyFont="1" applyFill="1" applyBorder="1" applyAlignment="1">
      <alignment horizontal="center" vertical="center" wrapText="1"/>
    </xf>
    <xf numFmtId="205" fontId="16" fillId="0" borderId="7" xfId="0" applyNumberFormat="1" applyFont="1" applyFill="1" applyBorder="1" applyAlignment="1">
      <alignment horizontal="center" vertical="center" wrapText="1"/>
    </xf>
    <xf numFmtId="0" fontId="22" fillId="0" borderId="0" xfId="159" applyFont="1" applyFill="1" applyAlignment="1">
      <alignment horizontal="left" vertical="center"/>
    </xf>
    <xf numFmtId="0" fontId="22" fillId="0" borderId="0" xfId="159" applyFont="1" applyFill="1">
      <alignment vertical="center"/>
    </xf>
    <xf numFmtId="0" fontId="18" fillId="0" borderId="0" xfId="0" applyFont="1" applyFill="1" applyAlignment="1">
      <alignment vertical="center"/>
    </xf>
    <xf numFmtId="0" fontId="18" fillId="0" borderId="0" xfId="140" applyFont="1" applyFill="1">
      <alignment vertical="center"/>
    </xf>
    <xf numFmtId="0" fontId="15" fillId="0" borderId="39" xfId="75" applyFont="1" applyFill="1" applyBorder="1" applyAlignment="1">
      <alignment horizontal="center" vertical="center" wrapText="1"/>
    </xf>
    <xf numFmtId="0" fontId="15" fillId="0" borderId="38" xfId="75" applyFont="1" applyFill="1" applyBorder="1" applyAlignment="1">
      <alignment horizontal="center" vertical="center" wrapText="1"/>
    </xf>
    <xf numFmtId="0" fontId="16" fillId="0" borderId="2" xfId="75" applyFont="1" applyFill="1" applyBorder="1" applyAlignment="1">
      <alignment horizontal="center" vertical="center" wrapText="1"/>
    </xf>
    <xf numFmtId="0" fontId="16" fillId="0" borderId="7" xfId="75" applyFont="1" applyFill="1" applyBorder="1" applyAlignment="1">
      <alignment horizontal="center" vertical="center" wrapText="1"/>
    </xf>
    <xf numFmtId="205" fontId="18" fillId="0" borderId="40" xfId="140" applyNumberFormat="1" applyFont="1" applyFill="1" applyBorder="1" applyAlignment="1">
      <alignment horizontal="right" vertical="center" wrapText="1"/>
    </xf>
    <xf numFmtId="203" fontId="18" fillId="0" borderId="41" xfId="140" applyNumberFormat="1" applyFont="1" applyFill="1" applyBorder="1" applyAlignment="1">
      <alignment horizontal="right" vertical="center" wrapText="1"/>
    </xf>
    <xf numFmtId="205" fontId="18" fillId="0" borderId="40" xfId="140" applyNumberFormat="1" applyFont="1" applyFill="1" applyBorder="1" applyAlignment="1">
      <alignment horizontal="center" vertical="center" wrapText="1"/>
    </xf>
    <xf numFmtId="203" fontId="18" fillId="0" borderId="41" xfId="140" applyNumberFormat="1" applyFont="1" applyFill="1" applyBorder="1" applyAlignment="1">
      <alignment horizontal="center" vertical="center" wrapText="1"/>
    </xf>
    <xf numFmtId="205" fontId="18" fillId="0" borderId="42" xfId="140" applyNumberFormat="1" applyFont="1" applyFill="1" applyBorder="1" applyAlignment="1">
      <alignment horizontal="right" vertical="center" wrapText="1"/>
    </xf>
    <xf numFmtId="203" fontId="18" fillId="0" borderId="43" xfId="140" applyNumberFormat="1" applyFont="1" applyFill="1" applyBorder="1" applyAlignment="1">
      <alignment horizontal="right" vertical="center" wrapText="1"/>
    </xf>
    <xf numFmtId="0" fontId="4" fillId="0" borderId="0" xfId="0" applyFont="1" applyFill="1" applyAlignment="1">
      <alignment horizontal="left" vertical="center" wrapText="1"/>
    </xf>
    <xf numFmtId="0" fontId="0"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4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4" fillId="0" borderId="28" xfId="0" applyFont="1" applyFill="1" applyBorder="1" applyAlignment="1">
      <alignment horizontal="left" vertical="center" wrapText="1"/>
    </xf>
    <xf numFmtId="208" fontId="4" fillId="0" borderId="15" xfId="0" applyNumberFormat="1" applyFont="1" applyFill="1" applyBorder="1" applyAlignment="1">
      <alignment horizontal="center" vertical="center" wrapText="1"/>
    </xf>
    <xf numFmtId="203" fontId="4" fillId="0" borderId="15" xfId="0" applyNumberFormat="1" applyFont="1" applyFill="1" applyBorder="1" applyAlignment="1">
      <alignment horizontal="center" vertical="center" wrapText="1"/>
    </xf>
    <xf numFmtId="203" fontId="4" fillId="0" borderId="17" xfId="0" applyNumberFormat="1" applyFont="1" applyFill="1" applyBorder="1" applyAlignment="1">
      <alignment horizontal="center" vertical="center" wrapText="1"/>
    </xf>
    <xf numFmtId="208" fontId="4" fillId="0" borderId="0" xfId="0" applyNumberFormat="1" applyFont="1" applyFill="1" applyBorder="1" applyAlignment="1">
      <alignment horizontal="center" vertical="center" wrapText="1"/>
    </xf>
    <xf numFmtId="0" fontId="4" fillId="0" borderId="29" xfId="0" applyFont="1" applyFill="1" applyBorder="1" applyAlignment="1">
      <alignment horizontal="left" vertical="center" wrapText="1"/>
    </xf>
    <xf numFmtId="203" fontId="4" fillId="0" borderId="19" xfId="0" applyNumberFormat="1" applyFont="1" applyFill="1" applyBorder="1" applyAlignment="1">
      <alignment horizontal="center" vertical="center" wrapText="1"/>
    </xf>
    <xf numFmtId="203" fontId="4" fillId="0" borderId="30" xfId="0" applyNumberFormat="1" applyFont="1" applyFill="1" applyBorder="1" applyAlignment="1">
      <alignment horizontal="center" vertical="center" wrapText="1"/>
    </xf>
    <xf numFmtId="0" fontId="4" fillId="0" borderId="45" xfId="0" applyFont="1" applyFill="1" applyBorder="1" applyAlignment="1">
      <alignment horizontal="left" vertical="center" wrapText="1"/>
    </xf>
    <xf numFmtId="205" fontId="4" fillId="0" borderId="46" xfId="0" applyNumberFormat="1" applyFont="1" applyFill="1" applyBorder="1" applyAlignment="1">
      <alignment horizontal="center" vertical="center" wrapText="1"/>
    </xf>
    <xf numFmtId="203" fontId="4" fillId="0" borderId="46" xfId="0" applyNumberFormat="1" applyFont="1" applyFill="1" applyBorder="1" applyAlignment="1">
      <alignment horizontal="center" vertical="center" wrapText="1"/>
    </xf>
    <xf numFmtId="208" fontId="4" fillId="0" borderId="46" xfId="0" applyNumberFormat="1" applyFont="1" applyFill="1" applyBorder="1" applyAlignment="1">
      <alignment horizontal="center" vertical="center" wrapText="1"/>
    </xf>
    <xf numFmtId="203" fontId="4" fillId="0" borderId="47" xfId="0" applyNumberFormat="1" applyFont="1" applyFill="1" applyBorder="1" applyAlignment="1">
      <alignment horizontal="center" vertical="center" wrapText="1"/>
    </xf>
    <xf numFmtId="0" fontId="0" fillId="0" borderId="0" xfId="0" applyFont="1" applyFill="1" applyAlignment="1">
      <alignment horizontal="left" vertical="center" wrapText="1"/>
    </xf>
    <xf numFmtId="0" fontId="15" fillId="0" borderId="48" xfId="151" applyFont="1" applyFill="1" applyBorder="1" applyAlignment="1">
      <alignment horizontal="center" vertical="center"/>
    </xf>
    <xf numFmtId="0" fontId="25" fillId="0" borderId="6" xfId="0" applyFont="1" applyFill="1" applyBorder="1" applyAlignment="1">
      <alignment horizontal="center" vertical="center"/>
    </xf>
    <xf numFmtId="203" fontId="18" fillId="0" borderId="0" xfId="140" applyNumberFormat="1" applyFont="1" applyFill="1" applyAlignment="1">
      <alignment horizontal="right" vertical="center" wrapText="1"/>
    </xf>
    <xf numFmtId="0" fontId="17" fillId="0" borderId="0" xfId="0" applyFont="1" applyFill="1" applyAlignment="1">
      <alignment horizontal="justify" vertical="center" wrapText="1"/>
    </xf>
    <xf numFmtId="0" fontId="17" fillId="0" borderId="6" xfId="0" applyFont="1" applyFill="1" applyBorder="1" applyAlignment="1">
      <alignment horizontal="center" vertical="center" wrapText="1"/>
    </xf>
    <xf numFmtId="203" fontId="18" fillId="0" borderId="0" xfId="101" applyNumberFormat="1" applyFont="1" applyFill="1" applyAlignment="1" applyProtection="1">
      <alignment horizontal="right" vertical="center" wrapText="1"/>
    </xf>
    <xf numFmtId="208" fontId="18" fillId="0" borderId="9" xfId="101" applyNumberFormat="1" applyFont="1" applyFill="1" applyBorder="1" applyAlignment="1" applyProtection="1">
      <alignment horizontal="right" vertical="center" wrapText="1"/>
    </xf>
    <xf numFmtId="208" fontId="18" fillId="0" borderId="10" xfId="101" applyNumberFormat="1" applyFont="1" applyFill="1" applyBorder="1" applyAlignment="1" applyProtection="1">
      <alignment horizontal="right" vertical="center" wrapText="1"/>
    </xf>
    <xf numFmtId="0" fontId="17" fillId="0" borderId="29" xfId="0" applyFont="1" applyFill="1" applyBorder="1" applyAlignment="1">
      <alignment horizontal="justify" vertical="center" wrapText="1"/>
    </xf>
    <xf numFmtId="0" fontId="17" fillId="0" borderId="19" xfId="0" applyFont="1" applyFill="1" applyBorder="1" applyAlignment="1">
      <alignment horizontal="center" vertical="center" wrapText="1"/>
    </xf>
    <xf numFmtId="203" fontId="18" fillId="0" borderId="30" xfId="114" applyNumberFormat="1" applyFont="1" applyFill="1" applyBorder="1" applyAlignment="1">
      <alignment horizontal="right" vertical="center" wrapText="1"/>
    </xf>
    <xf numFmtId="203" fontId="18" fillId="0" borderId="30" xfId="114" applyNumberFormat="1" applyFont="1" applyFill="1" applyBorder="1" applyAlignment="1">
      <alignment horizontal="center" vertical="center" wrapText="1"/>
    </xf>
    <xf numFmtId="208" fontId="18" fillId="0" borderId="6" xfId="114" applyNumberFormat="1" applyFont="1" applyFill="1" applyBorder="1" applyAlignment="1">
      <alignment horizontal="center" vertical="center"/>
    </xf>
    <xf numFmtId="208" fontId="18" fillId="0" borderId="0" xfId="114" applyNumberFormat="1" applyFont="1" applyFill="1" applyBorder="1" applyAlignment="1">
      <alignment horizontal="center" vertical="center"/>
    </xf>
    <xf numFmtId="205" fontId="18" fillId="0" borderId="5" xfId="140" applyNumberFormat="1" applyFont="1" applyFill="1" applyBorder="1" applyAlignment="1">
      <alignment horizontal="right" vertical="center" wrapText="1"/>
    </xf>
    <xf numFmtId="0" fontId="18" fillId="0" borderId="4" xfId="140" applyFont="1" applyFill="1" applyBorder="1">
      <alignment vertical="center"/>
    </xf>
    <xf numFmtId="0" fontId="18" fillId="0" borderId="5" xfId="140" applyFont="1" applyFill="1" applyBorder="1" applyAlignment="1">
      <alignment horizontal="center" vertical="center"/>
    </xf>
    <xf numFmtId="203" fontId="18" fillId="0" borderId="6" xfId="140" applyNumberFormat="1" applyFont="1" applyFill="1" applyBorder="1" applyAlignment="1">
      <alignment horizontal="right" vertical="center" wrapText="1"/>
    </xf>
    <xf numFmtId="0" fontId="18" fillId="0" borderId="8" xfId="140" applyFont="1" applyFill="1" applyBorder="1">
      <alignment vertical="center"/>
    </xf>
    <xf numFmtId="0" fontId="18" fillId="0" borderId="9" xfId="140" applyFont="1" applyFill="1" applyBorder="1" applyAlignment="1">
      <alignment horizontal="center" vertical="center"/>
    </xf>
    <xf numFmtId="205" fontId="18" fillId="0" borderId="9" xfId="140" applyNumberFormat="1" applyFont="1" applyFill="1" applyBorder="1" applyAlignment="1">
      <alignment horizontal="right" vertical="center" wrapText="1"/>
    </xf>
    <xf numFmtId="203" fontId="18" fillId="0" borderId="10" xfId="140" applyNumberFormat="1" applyFont="1" applyFill="1" applyBorder="1" applyAlignment="1">
      <alignment horizontal="right" vertical="center" wrapText="1"/>
    </xf>
  </cellXfs>
  <cellStyles count="20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1 2" xfId="49"/>
    <cellStyle name="40% - 强调文字颜色 3 2" xfId="50"/>
    <cellStyle name="表标题 5" xfId="51"/>
    <cellStyle name="Accent4 - 20% 8" xfId="52"/>
    <cellStyle name="好_M01-2(州市补助收入) 9" xfId="53"/>
    <cellStyle name="好_M03 7" xfId="54"/>
    <cellStyle name="好_1110洱源县 3" xfId="55"/>
    <cellStyle name="差_指标四 3" xfId="56"/>
    <cellStyle name="Accent5 - 60% 9" xfId="57"/>
    <cellStyle name="数字 9" xfId="58"/>
    <cellStyle name="Percent [2]" xfId="59"/>
    <cellStyle name="差_05玉溪" xfId="60"/>
    <cellStyle name="昗弨_Pacific Region P&amp;L" xfId="61"/>
    <cellStyle name="差_财政供养人员 2" xfId="62"/>
    <cellStyle name="Accent3 - 20% 4" xfId="63"/>
    <cellStyle name="20% - 强调文字颜色 2 2" xfId="64"/>
    <cellStyle name="Milliers_!!!GO" xfId="65"/>
    <cellStyle name="Accent4 - 60% 5" xfId="66"/>
    <cellStyle name="常规 2 8 4" xfId="67"/>
    <cellStyle name="Accent6 - 40%" xfId="68"/>
    <cellStyle name="好_530623_2006年县级财政报表附表 4" xfId="69"/>
    <cellStyle name="Total" xfId="70"/>
    <cellStyle name="Accent2 - 60% 3" xfId="71"/>
    <cellStyle name="Accent4 6" xfId="72"/>
    <cellStyle name="千位分隔[0] 2 4" xfId="73"/>
    <cellStyle name="捠壿 [0.00]_Region Orders (2)" xfId="74"/>
    <cellStyle name="样式 1" xfId="75"/>
    <cellStyle name="小数 7" xfId="76"/>
    <cellStyle name="差_Book1_1 8" xfId="77"/>
    <cellStyle name="Currency [0]" xfId="78"/>
    <cellStyle name="差_5334_2006年迪庆县级财政报表附表 9" xfId="79"/>
    <cellStyle name="百分比 3" xfId="80"/>
    <cellStyle name="20% - 强调文字颜色 3 2" xfId="81"/>
    <cellStyle name="Accent6 6" xfId="82"/>
    <cellStyle name="PSDate" xfId="83"/>
    <cellStyle name="Accent3 - 40% 4" xfId="84"/>
    <cellStyle name="好_Book1 9" xfId="85"/>
    <cellStyle name="40% - 强调文字颜色 6 2" xfId="86"/>
    <cellStyle name="好_下半年禁毒办案经费分配2544.3万元" xfId="87"/>
    <cellStyle name="20% - 强调文字颜色 6 2" xfId="88"/>
    <cellStyle name="差_Book1" xfId="89"/>
    <cellStyle name="Input Cells" xfId="90"/>
    <cellStyle name="no dec" xfId="91"/>
    <cellStyle name="Normal - Style1" xfId="92"/>
    <cellStyle name="Norma,_laroux_4_营业在建 (2)_E21" xfId="93"/>
    <cellStyle name="Accent6 - 60% 5" xfId="94"/>
    <cellStyle name="输入 2" xfId="95"/>
    <cellStyle name="好_5334_2006年迪庆县级财政报表附表 8" xfId="96"/>
    <cellStyle name="Calc Currency (0)" xfId="97"/>
    <cellStyle name="强调文字颜色 5 2" xfId="98"/>
    <cellStyle name="Moneda [0]_96 Risk" xfId="99"/>
    <cellStyle name="40% - 强调文字颜色 5 2" xfId="100"/>
    <cellStyle name="常规_2011年全省各市主要指标排位" xfId="101"/>
    <cellStyle name="解释性文本 2" xfId="102"/>
    <cellStyle name="Mon閠aire_!!!GO" xfId="103"/>
    <cellStyle name="Accent2 - 40% 7" xfId="104"/>
    <cellStyle name="Pourcentage_pldt" xfId="105"/>
    <cellStyle name="Accent5 3" xfId="106"/>
    <cellStyle name="借出原因" xfId="107"/>
    <cellStyle name="常规_分市5" xfId="108"/>
    <cellStyle name="Accent5 - 20% 5" xfId="109"/>
    <cellStyle name="好_530629_2006年县级财政报表附表 6" xfId="110"/>
    <cellStyle name="强调文字颜色 3 2" xfId="111"/>
    <cellStyle name="差_下半年禁毒办案经费分配2544.3万元" xfId="112"/>
    <cellStyle name="标题 3 2" xfId="113"/>
    <cellStyle name="Normal_3H8" xfId="114"/>
    <cellStyle name="千位分隔 3 3" xfId="115"/>
    <cellStyle name="Date" xfId="116"/>
    <cellStyle name="商品名称" xfId="117"/>
    <cellStyle name="差_530629_2006年县级财政报表附表 6" xfId="118"/>
    <cellStyle name="comma zerodec" xfId="119"/>
    <cellStyle name="PSSpacer" xfId="120"/>
    <cellStyle name="检查单元格 2" xfId="121"/>
    <cellStyle name="强调 2" xfId="122"/>
    <cellStyle name="强调文字颜色 2 2" xfId="123"/>
    <cellStyle name="捠壿_Region Orders (2)" xfId="124"/>
    <cellStyle name="标题 2 2" xfId="125"/>
    <cellStyle name="Dollar (zero dec)" xfId="126"/>
    <cellStyle name="Fixed" xfId="127"/>
    <cellStyle name="HEADING2" xfId="128"/>
    <cellStyle name="常规_2001-2002年报表制度" xfId="129"/>
    <cellStyle name="60% - 强调文字颜色 3 2" xfId="130"/>
    <cellStyle name="输出 2" xfId="131"/>
    <cellStyle name="40% - 强调文字颜色 2 2" xfId="132"/>
    <cellStyle name="6mal" xfId="133"/>
    <cellStyle name="Accent2 7" xfId="134"/>
    <cellStyle name="_ET_STYLE_NoName_00_" xfId="135"/>
    <cellStyle name="日期" xfId="136"/>
    <cellStyle name="표준_0N-HANDLING " xfId="137"/>
    <cellStyle name="PSHeading" xfId="138"/>
    <cellStyle name="20% - 强调文字颜色 4 2" xfId="139"/>
    <cellStyle name="常规_农业生产情况" xfId="140"/>
    <cellStyle name="New Times Roman" xfId="141"/>
    <cellStyle name="常规_2000.07" xfId="142"/>
    <cellStyle name="sstot" xfId="143"/>
    <cellStyle name="PSDec" xfId="144"/>
    <cellStyle name="标题 1 2" xfId="145"/>
    <cellStyle name="警告文本 2" xfId="146"/>
    <cellStyle name="콤마 [0]_BOILER-CO1" xfId="147"/>
    <cellStyle name="_计财部审批要件" xfId="148"/>
    <cellStyle name="汇总 2" xfId="149"/>
    <cellStyle name="Currency_!!!GO" xfId="150"/>
    <cellStyle name="常规_Sheet1" xfId="151"/>
    <cellStyle name="常规 4 3" xfId="152"/>
    <cellStyle name="强调 3" xfId="153"/>
    <cellStyle name="Moneda_96 Risk" xfId="154"/>
    <cellStyle name="20% - 强调文字颜色 5 2" xfId="155"/>
    <cellStyle name="部门" xfId="156"/>
    <cellStyle name="60% - 强调文字颜色 6 2" xfId="157"/>
    <cellStyle name="per.style" xfId="158"/>
    <cellStyle name="常规_2010年2月投资月报" xfId="159"/>
    <cellStyle name="args.style" xfId="160"/>
    <cellStyle name="强调 1" xfId="161"/>
    <cellStyle name="_Book1_2" xfId="162"/>
    <cellStyle name="强调文字颜色 1 2" xfId="163"/>
    <cellStyle name="60% - 强调文字颜色 2 2" xfId="164"/>
    <cellStyle name="标题 4 2" xfId="165"/>
    <cellStyle name="烹拳 [0]_ +Foil &amp; -FOIL &amp; PAPER" xfId="166"/>
    <cellStyle name="适中 2" xfId="167"/>
    <cellStyle name="Millares_96 Risk" xfId="168"/>
    <cellStyle name="PSChar" xfId="169"/>
    <cellStyle name="HEADING1" xfId="170"/>
    <cellStyle name="数量" xfId="171"/>
    <cellStyle name="烹拳_ +Foil &amp; -FOIL &amp; PAPER" xfId="172"/>
    <cellStyle name="RowLevel_0" xfId="173"/>
    <cellStyle name="强调文字颜色 4 2" xfId="174"/>
    <cellStyle name="钎霖_4岿角利" xfId="175"/>
    <cellStyle name="链接单元格 2" xfId="176"/>
    <cellStyle name="20% - 强调文字颜色 1 2" xfId="177"/>
    <cellStyle name="霓付 [0]_ +Foil &amp; -FOIL &amp; PAPER" xfId="178"/>
    <cellStyle name="Header2" xfId="179"/>
    <cellStyle name="霓付_ +Foil &amp; -FOIL &amp; PAPER" xfId="180"/>
    <cellStyle name="_Book1_3" xfId="181"/>
    <cellStyle name="未定义" xfId="182"/>
    <cellStyle name="Currency1" xfId="183"/>
    <cellStyle name="Grey" xfId="184"/>
    <cellStyle name="ColLevel_0" xfId="185"/>
    <cellStyle name="强调文字颜色 6 2" xfId="186"/>
    <cellStyle name="分级显示列_1_Book1" xfId="187"/>
    <cellStyle name="_0202" xfId="188"/>
    <cellStyle name="分级显示行_1_13区汇总" xfId="189"/>
    <cellStyle name="Standard_AREAS" xfId="190"/>
    <cellStyle name="编号" xfId="191"/>
    <cellStyle name="Mon閠aire [0]_!!!GO" xfId="192"/>
    <cellStyle name="Comma_!!!GO" xfId="193"/>
    <cellStyle name="标题1" xfId="194"/>
    <cellStyle name="Header1" xfId="195"/>
    <cellStyle name="PSInt" xfId="196"/>
    <cellStyle name="Input [yellow]" xfId="197"/>
    <cellStyle name="计算 2" xfId="198"/>
    <cellStyle name="Linked Cells" xfId="199"/>
    <cellStyle name="常规 2" xfId="200"/>
    <cellStyle name="0,0&#13;&#10;NA&#13;&#10;" xfId="201"/>
    <cellStyle name="常规_202551311112062" xfId="202"/>
    <cellStyle name="常规_20245791243234" xfId="203"/>
    <cellStyle name="常规_2025513111124406" xfId="204"/>
    <cellStyle name="常规_2026512154648640" xfId="205"/>
    <cellStyle name="常规_2026512154651406" xfId="206"/>
    <cellStyle name="常规_20245791246125" xfId="207"/>
    <cellStyle name="常规_2026610151349421" xfId="208"/>
  </cellStyles>
  <tableStyles count="0" defaultTableStyle="TableStyleMedium9"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5.xml"/><Relationship Id="rId38" Type="http://schemas.openxmlformats.org/officeDocument/2006/relationships/externalLink" Target="externalLinks/externalLink4.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NTS01\jhc\unzipped\Eastern%20Airline%20FE\Spares\FILES\SMCTS2\SMCTSS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http:\\10.124.1.30\cgi-bin\read_attach\application\octet-stream1MKxqC5YTFM=\&#25509;&#25910;&#25991;&#20214;&#30446;&#24405;\&#39044;&#31639;&#32929;212052004-5-13%2016&#65306;33&#65306;36\2004&#24180;&#24120;&#29992;\2004&#26376;&#2525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zq\LOCALS~1\Temp\04&#20307;&#21046;&#31185;\03&#24180;&#32456;&#32467;&#31639;&#21450;&#25968;&#25454;&#20998;&#26512;\2006&#24180;\&#20915;&#31639;&#21450;&#25968;&#25454;&#20998;&#26512;\&#20915;&#31639;&#20998;&#26512;&#36164;&#26009;&#32467;&#26524;\&#21439;&#32423;&#36130;&#25919;&#25253;&#34920;&#38468;&#34920;\01&#26118;&#26126;\01&#26118;&#261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os\.wxwork_local\data\1688849875461450_1970325008038486\Cache\File\2025-11\\home\uos\Desktop\10&#26376;&#25968;&#25454;\&#26376;&#24230;&#26376;&#25253;\\home\uos\Desktop\\\DBSERVER\&#39044;&#31639;&#21496;\&#20849;&#20139;&#25968;&#25454;\&#21382;&#24180;&#20915;&#31639;\1996&#24180;\1996&#24180;&#20915;&#31639;&#27719;&#24635;\2021&#28246;&#21271;&#3046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os\.wxwork_local\data\1688849875461450_1970325008038486\Cache\File\2025-11\\\home\uos\Desktop\10&#26376;&#25968;&#25454;\&#26376;&#24230;&#26376;&#25253;\\\home\uos\Desktop\A:\WINDOWS.000\Desktop\&#25105;&#30340;&#20844;&#25991;&#21253;\&#36213;&#21746;&#36132;&#25991;&#20214;&#22841;\&#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月报"/>
      <sheetName val="1月报"/>
      <sheetName val="2月报"/>
      <sheetName val="3月报"/>
      <sheetName val="4月报"/>
      <sheetName val="5月报"/>
      <sheetName val="6月报"/>
      <sheetName val="7月报"/>
      <sheetName val="8月报"/>
      <sheetName val="9月报"/>
      <sheetName val="10月报"/>
      <sheetName val="11月报"/>
      <sheetName val="12月报"/>
      <sheetName val="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A01"/>
      <sheetName val="A02"/>
      <sheetName val="A03"/>
      <sheetName val="A04"/>
      <sheetName val="A05"/>
      <sheetName val="A06"/>
      <sheetName val="A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四月份月报"/>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18" sqref="B18:C28"/>
    </sheetView>
  </sheetViews>
  <sheetFormatPr defaultColWidth="9" defaultRowHeight="14.25"/>
  <sheetData/>
  <pageMargins left="0.75" right="0.75" top="1" bottom="1" header="0.5" footer="0.5"/>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34"/>
  <sheetViews>
    <sheetView zoomScale="80" zoomScaleNormal="80" workbookViewId="0">
      <pane xSplit="2" ySplit="3" topLeftCell="C4" activePane="bottomRight" state="frozen"/>
      <selection/>
      <selection pane="topRight"/>
      <selection pane="bottomLeft"/>
      <selection pane="bottomRight" activeCell="A38" sqref="A38"/>
    </sheetView>
  </sheetViews>
  <sheetFormatPr defaultColWidth="9" defaultRowHeight="14.25"/>
  <cols>
    <col min="1" max="1" width="29.625" style="254" customWidth="1"/>
    <col min="2" max="2" width="10.625" style="254" customWidth="1"/>
    <col min="3" max="3" width="9.375" style="254"/>
    <col min="4" max="12" width="8.75" style="254" customWidth="1"/>
    <col min="13" max="16384" width="9" style="254"/>
  </cols>
  <sheetData>
    <row r="1" ht="24.95" customHeight="1" spans="1:12">
      <c r="A1" s="135" t="s">
        <v>197</v>
      </c>
      <c r="B1" s="135"/>
      <c r="C1" s="135"/>
      <c r="D1" s="135"/>
      <c r="E1" s="135"/>
      <c r="F1" s="135"/>
      <c r="G1" s="135"/>
      <c r="H1" s="135"/>
      <c r="I1" s="135"/>
      <c r="J1" s="135"/>
      <c r="K1" s="135"/>
      <c r="L1" s="135"/>
    </row>
    <row r="2" s="263" customFormat="1" ht="21" customHeight="1" spans="1:12">
      <c r="A2" s="136" t="s">
        <v>1</v>
      </c>
      <c r="B2" s="230" t="s">
        <v>94</v>
      </c>
      <c r="C2" s="137" t="s">
        <v>3</v>
      </c>
      <c r="D2" s="138"/>
      <c r="E2" s="137" t="s">
        <v>4</v>
      </c>
      <c r="F2" s="138"/>
      <c r="G2" s="137" t="s">
        <v>5</v>
      </c>
      <c r="H2" s="138"/>
      <c r="I2" s="137" t="s">
        <v>6</v>
      </c>
      <c r="J2" s="138"/>
      <c r="K2" s="137" t="s">
        <v>7</v>
      </c>
      <c r="L2" s="138"/>
    </row>
    <row r="3" s="263" customFormat="1" ht="21" customHeight="1" spans="1:12">
      <c r="A3" s="139"/>
      <c r="B3" s="231"/>
      <c r="C3" s="140" t="s">
        <v>8</v>
      </c>
      <c r="D3" s="141" t="s">
        <v>9</v>
      </c>
      <c r="E3" s="140" t="s">
        <v>8</v>
      </c>
      <c r="F3" s="141" t="s">
        <v>9</v>
      </c>
      <c r="G3" s="140" t="s">
        <v>8</v>
      </c>
      <c r="H3" s="141" t="s">
        <v>9</v>
      </c>
      <c r="I3" s="140" t="s">
        <v>8</v>
      </c>
      <c r="J3" s="141" t="s">
        <v>9</v>
      </c>
      <c r="K3" s="140" t="s">
        <v>8</v>
      </c>
      <c r="L3" s="141" t="s">
        <v>9</v>
      </c>
    </row>
    <row r="4" ht="18" customHeight="1" spans="1:12">
      <c r="A4" s="257" t="s">
        <v>198</v>
      </c>
      <c r="B4" s="258" t="s">
        <v>104</v>
      </c>
      <c r="C4" s="239">
        <v>399.82322</v>
      </c>
      <c r="D4" s="147">
        <v>0.5</v>
      </c>
      <c r="E4" s="239">
        <v>62.7661</v>
      </c>
      <c r="F4" s="147">
        <v>7.4</v>
      </c>
      <c r="G4" s="239">
        <v>98.02414</v>
      </c>
      <c r="H4" s="147">
        <v>9.5</v>
      </c>
      <c r="I4" s="239">
        <v>130.72221</v>
      </c>
      <c r="J4" s="147">
        <v>8.8</v>
      </c>
      <c r="K4" s="239">
        <v>163.44125</v>
      </c>
      <c r="L4" s="147">
        <v>6.5</v>
      </c>
    </row>
    <row r="5" ht="18" customHeight="1" spans="1:12">
      <c r="A5" s="257" t="s">
        <v>199</v>
      </c>
      <c r="B5" s="258" t="s">
        <v>104</v>
      </c>
      <c r="C5" s="239">
        <v>36</v>
      </c>
      <c r="D5" s="147">
        <v>-4.5</v>
      </c>
      <c r="E5" s="239">
        <v>3.81172</v>
      </c>
      <c r="F5" s="147">
        <v>-1.1</v>
      </c>
      <c r="G5" s="239">
        <v>6.48685</v>
      </c>
      <c r="H5" s="147">
        <v>0.8</v>
      </c>
      <c r="I5" s="239">
        <v>8.74346</v>
      </c>
      <c r="J5" s="147">
        <v>-1.8</v>
      </c>
      <c r="K5" s="239">
        <v>12.1243</v>
      </c>
      <c r="L5" s="147">
        <v>-5.5</v>
      </c>
    </row>
    <row r="6" ht="18" customHeight="1" spans="1:12">
      <c r="A6" s="257" t="s">
        <v>200</v>
      </c>
      <c r="B6" s="258" t="s">
        <v>104</v>
      </c>
      <c r="C6" s="239">
        <v>69.09887</v>
      </c>
      <c r="D6" s="147">
        <v>11.6</v>
      </c>
      <c r="E6" s="239">
        <v>37.05726</v>
      </c>
      <c r="F6" s="147">
        <v>-11.4</v>
      </c>
      <c r="G6" s="239">
        <v>49.74914</v>
      </c>
      <c r="H6" s="147">
        <v>3</v>
      </c>
      <c r="I6" s="239">
        <v>50.90873</v>
      </c>
      <c r="J6" s="147">
        <v>3.6</v>
      </c>
      <c r="K6" s="239">
        <v>58.41634</v>
      </c>
      <c r="L6" s="147">
        <v>12.4</v>
      </c>
    </row>
    <row r="7" ht="18" customHeight="1" spans="1:12">
      <c r="A7" s="257" t="s">
        <v>201</v>
      </c>
      <c r="B7" s="258" t="s">
        <v>104</v>
      </c>
      <c r="C7" s="239">
        <v>9.47291</v>
      </c>
      <c r="D7" s="147">
        <v>62.3</v>
      </c>
      <c r="E7" s="239">
        <v>0.74596</v>
      </c>
      <c r="F7" s="147">
        <v>-41.8</v>
      </c>
      <c r="G7" s="239">
        <v>1.22953</v>
      </c>
      <c r="H7" s="147">
        <v>-41.7</v>
      </c>
      <c r="I7" s="239">
        <v>1.82063</v>
      </c>
      <c r="J7" s="147">
        <v>-35.5</v>
      </c>
      <c r="K7" s="239">
        <v>2.47905</v>
      </c>
      <c r="L7" s="147">
        <v>-33.1</v>
      </c>
    </row>
    <row r="8" ht="18" customHeight="1" spans="1:12">
      <c r="A8" s="257" t="s">
        <v>202</v>
      </c>
      <c r="B8" s="258" t="s">
        <v>104</v>
      </c>
      <c r="C8" s="239">
        <v>7.87436</v>
      </c>
      <c r="D8" s="147">
        <v>0.2</v>
      </c>
      <c r="E8" s="239">
        <v>1.33969</v>
      </c>
      <c r="F8" s="147">
        <v>0.2</v>
      </c>
      <c r="G8" s="239">
        <v>1.99555</v>
      </c>
      <c r="H8" s="147">
        <v>2.7</v>
      </c>
      <c r="I8" s="239">
        <v>2.63663</v>
      </c>
      <c r="J8" s="147">
        <v>2.9</v>
      </c>
      <c r="K8" s="239">
        <v>3.33861</v>
      </c>
      <c r="L8" s="147">
        <v>3.3</v>
      </c>
    </row>
    <row r="9" ht="18" customHeight="1" spans="1:12">
      <c r="A9" s="257" t="s">
        <v>203</v>
      </c>
      <c r="B9" s="258" t="s">
        <v>204</v>
      </c>
      <c r="C9" s="239">
        <v>103449</v>
      </c>
      <c r="D9" s="147">
        <v>1.1</v>
      </c>
      <c r="E9" s="239">
        <v>27006</v>
      </c>
      <c r="F9" s="147">
        <v>97.7</v>
      </c>
      <c r="G9" s="239">
        <v>30864</v>
      </c>
      <c r="H9" s="147">
        <v>36.6</v>
      </c>
      <c r="I9" s="239">
        <v>30864</v>
      </c>
      <c r="J9" s="147">
        <v>-6.6</v>
      </c>
      <c r="K9" s="239">
        <v>39522</v>
      </c>
      <c r="L9" s="147">
        <v>-5.2</v>
      </c>
    </row>
    <row r="10" ht="18" customHeight="1" spans="1:12">
      <c r="A10" s="257" t="s">
        <v>205</v>
      </c>
      <c r="B10" s="258" t="s">
        <v>204</v>
      </c>
      <c r="C10" s="239">
        <v>103449</v>
      </c>
      <c r="D10" s="147">
        <v>1.1</v>
      </c>
      <c r="E10" s="239">
        <v>27006</v>
      </c>
      <c r="F10" s="147">
        <v>97.7</v>
      </c>
      <c r="G10" s="239">
        <v>30864</v>
      </c>
      <c r="H10" s="147">
        <v>36.6</v>
      </c>
      <c r="I10" s="239">
        <v>30864</v>
      </c>
      <c r="J10" s="147">
        <v>-6.6</v>
      </c>
      <c r="K10" s="239">
        <v>39522</v>
      </c>
      <c r="L10" s="147">
        <v>-5.2</v>
      </c>
    </row>
    <row r="11" ht="18" customHeight="1" spans="1:12">
      <c r="A11" s="257" t="s">
        <v>206</v>
      </c>
      <c r="B11" s="258" t="s">
        <v>104</v>
      </c>
      <c r="C11" s="239">
        <v>41.50753</v>
      </c>
      <c r="D11" s="147">
        <v>-9.5</v>
      </c>
      <c r="E11" s="239">
        <v>7.48557</v>
      </c>
      <c r="F11" s="147">
        <v>9.9</v>
      </c>
      <c r="G11" s="239">
        <v>10.6787</v>
      </c>
      <c r="H11" s="147">
        <v>6.4</v>
      </c>
      <c r="I11" s="239">
        <v>14.21296</v>
      </c>
      <c r="J11" s="147">
        <v>8.7</v>
      </c>
      <c r="K11" s="239">
        <v>17.75215</v>
      </c>
      <c r="L11" s="147">
        <v>7.4</v>
      </c>
    </row>
    <row r="12" ht="18" customHeight="1" spans="1:12">
      <c r="A12" s="257" t="s">
        <v>207</v>
      </c>
      <c r="B12" s="258" t="s">
        <v>104</v>
      </c>
      <c r="C12" s="239">
        <v>30.62721</v>
      </c>
      <c r="D12" s="147">
        <v>-1.1</v>
      </c>
      <c r="E12" s="239">
        <v>4.23789</v>
      </c>
      <c r="F12" s="147">
        <v>0.3</v>
      </c>
      <c r="G12" s="239">
        <v>6.50653</v>
      </c>
      <c r="H12" s="147">
        <v>-3.6</v>
      </c>
      <c r="I12" s="239">
        <v>8.58568</v>
      </c>
      <c r="J12" s="147">
        <v>-5.1</v>
      </c>
      <c r="K12" s="239">
        <v>10.94849</v>
      </c>
      <c r="L12" s="147">
        <v>-5.7</v>
      </c>
    </row>
    <row r="13" ht="18" customHeight="1" spans="1:12">
      <c r="A13" s="257" t="s">
        <v>208</v>
      </c>
      <c r="B13" s="258" t="s">
        <v>209</v>
      </c>
      <c r="C13" s="239">
        <v>109</v>
      </c>
      <c r="D13" s="147">
        <v>-4.1</v>
      </c>
      <c r="E13" s="239">
        <v>29.05</v>
      </c>
      <c r="F13" s="147">
        <v>4.9</v>
      </c>
      <c r="G13" s="239">
        <v>38.505</v>
      </c>
      <c r="H13" s="147">
        <v>-4.5</v>
      </c>
      <c r="I13" s="239">
        <v>47.755</v>
      </c>
      <c r="J13" s="147">
        <v>-1.1</v>
      </c>
      <c r="K13" s="239">
        <v>59.28</v>
      </c>
      <c r="L13" s="147">
        <v>0.7</v>
      </c>
    </row>
    <row r="14" ht="18" customHeight="1" spans="1:12">
      <c r="A14" s="257" t="s">
        <v>210</v>
      </c>
      <c r="B14" s="258" t="s">
        <v>211</v>
      </c>
      <c r="C14" s="239">
        <v>9561.3</v>
      </c>
      <c r="D14" s="147">
        <v>20.6</v>
      </c>
      <c r="E14" s="239">
        <v>1744.5</v>
      </c>
      <c r="F14" s="147">
        <v>33.1</v>
      </c>
      <c r="G14" s="239">
        <v>2204.5</v>
      </c>
      <c r="H14" s="147">
        <v>13.6</v>
      </c>
      <c r="I14" s="239">
        <v>3230.4</v>
      </c>
      <c r="J14" s="147">
        <v>15.3</v>
      </c>
      <c r="K14" s="239">
        <v>4066.5</v>
      </c>
      <c r="L14" s="147">
        <v>13.8</v>
      </c>
    </row>
    <row r="15" ht="18" customHeight="1" spans="1:12">
      <c r="A15" s="257" t="s">
        <v>212</v>
      </c>
      <c r="B15" s="258" t="s">
        <v>213</v>
      </c>
      <c r="C15" s="239">
        <v>15.9</v>
      </c>
      <c r="D15" s="147">
        <v>-29.3</v>
      </c>
      <c r="E15" s="239">
        <v>10.9</v>
      </c>
      <c r="F15" s="147">
        <v>-0.9</v>
      </c>
      <c r="G15" s="239">
        <v>17.9</v>
      </c>
      <c r="H15" s="147">
        <v>-39.5</v>
      </c>
      <c r="I15" s="239">
        <v>20</v>
      </c>
      <c r="J15" s="147">
        <v>-53.6</v>
      </c>
      <c r="K15" s="239">
        <v>21.6</v>
      </c>
      <c r="L15" s="147">
        <v>-56</v>
      </c>
    </row>
    <row r="16" ht="18" customHeight="1" spans="1:12">
      <c r="A16" s="257" t="s">
        <v>214</v>
      </c>
      <c r="B16" s="258" t="s">
        <v>104</v>
      </c>
      <c r="C16" s="239">
        <v>0</v>
      </c>
      <c r="D16" s="147">
        <v>-100</v>
      </c>
      <c r="E16" s="239">
        <v>0</v>
      </c>
      <c r="F16" s="147">
        <v>0</v>
      </c>
      <c r="G16" s="239">
        <v>4.8442</v>
      </c>
      <c r="H16" s="147">
        <v>0</v>
      </c>
      <c r="I16" s="239">
        <v>6.9573</v>
      </c>
      <c r="J16" s="147">
        <v>0</v>
      </c>
      <c r="K16" s="239">
        <v>9.563</v>
      </c>
      <c r="L16" s="147">
        <v>0</v>
      </c>
    </row>
    <row r="17" ht="18" customHeight="1" spans="1:12">
      <c r="A17" s="257" t="s">
        <v>215</v>
      </c>
      <c r="B17" s="258" t="s">
        <v>216</v>
      </c>
      <c r="C17" s="239">
        <v>11.38482</v>
      </c>
      <c r="D17" s="147">
        <v>-57.8</v>
      </c>
      <c r="E17" s="239">
        <v>2.80637</v>
      </c>
      <c r="F17" s="147">
        <v>0.3</v>
      </c>
      <c r="G17" s="239">
        <v>4.52522</v>
      </c>
      <c r="H17" s="147">
        <v>7.9</v>
      </c>
      <c r="I17" s="239">
        <v>6.20016</v>
      </c>
      <c r="J17" s="147">
        <v>6.9</v>
      </c>
      <c r="K17" s="239">
        <v>8.07882</v>
      </c>
      <c r="L17" s="147">
        <v>10.4</v>
      </c>
    </row>
    <row r="18" ht="18" customHeight="1" spans="1:12">
      <c r="A18" s="257" t="s">
        <v>217</v>
      </c>
      <c r="B18" s="258" t="s">
        <v>218</v>
      </c>
      <c r="C18" s="239">
        <v>94.699</v>
      </c>
      <c r="D18" s="147">
        <v>-21.9</v>
      </c>
      <c r="E18" s="239">
        <v>12.5617</v>
      </c>
      <c r="F18" s="147">
        <v>-5.8</v>
      </c>
      <c r="G18" s="239">
        <v>18.8799</v>
      </c>
      <c r="H18" s="147">
        <v>-14</v>
      </c>
      <c r="I18" s="239">
        <v>26.9764</v>
      </c>
      <c r="J18" s="147">
        <v>-10.1</v>
      </c>
      <c r="K18" s="239">
        <v>34.9231</v>
      </c>
      <c r="L18" s="147">
        <v>-7.3</v>
      </c>
    </row>
    <row r="19" ht="18" customHeight="1" spans="1:12">
      <c r="A19" s="257" t="s">
        <v>219</v>
      </c>
      <c r="B19" s="258" t="s">
        <v>104</v>
      </c>
      <c r="C19" s="239">
        <v>96.43947</v>
      </c>
      <c r="D19" s="147">
        <v>-55.7</v>
      </c>
      <c r="E19" s="239">
        <v>18.85739</v>
      </c>
      <c r="F19" s="147">
        <v>27</v>
      </c>
      <c r="G19" s="239">
        <v>33.0951</v>
      </c>
      <c r="H19" s="147">
        <v>60</v>
      </c>
      <c r="I19" s="239">
        <v>48.45682</v>
      </c>
      <c r="J19" s="147">
        <v>67.7</v>
      </c>
      <c r="K19" s="239">
        <v>63.07743</v>
      </c>
      <c r="L19" s="147">
        <v>70.1</v>
      </c>
    </row>
    <row r="20" ht="18" customHeight="1" spans="1:12">
      <c r="A20" s="257" t="s">
        <v>220</v>
      </c>
      <c r="B20" s="258" t="s">
        <v>104</v>
      </c>
      <c r="C20" s="239">
        <v>12.88666</v>
      </c>
      <c r="D20" s="147">
        <v>-57.1</v>
      </c>
      <c r="E20" s="239">
        <v>2.44849</v>
      </c>
      <c r="F20" s="147">
        <v>6.2</v>
      </c>
      <c r="G20" s="239">
        <v>3.68893</v>
      </c>
      <c r="H20" s="147">
        <v>11.6</v>
      </c>
      <c r="I20" s="239">
        <v>5.03748</v>
      </c>
      <c r="J20" s="147">
        <v>10.7</v>
      </c>
      <c r="K20" s="239">
        <v>6.29091</v>
      </c>
      <c r="L20" s="147">
        <v>18.2</v>
      </c>
    </row>
    <row r="21" ht="18" customHeight="1" spans="1:12">
      <c r="A21" s="257" t="s">
        <v>221</v>
      </c>
      <c r="B21" s="258" t="s">
        <v>104</v>
      </c>
      <c r="C21" s="239">
        <v>1574.4721</v>
      </c>
      <c r="D21" s="147">
        <v>15.2061</v>
      </c>
      <c r="E21" s="239">
        <v>240.1277</v>
      </c>
      <c r="F21" s="147">
        <v>-2.6749</v>
      </c>
      <c r="G21" s="239">
        <v>363.1988</v>
      </c>
      <c r="H21" s="147">
        <v>-0.7634</v>
      </c>
      <c r="I21" s="239">
        <v>476.235</v>
      </c>
      <c r="J21" s="147">
        <v>-3.9769</v>
      </c>
      <c r="K21" s="239">
        <v>599.7637</v>
      </c>
      <c r="L21" s="147">
        <v>-6.2832</v>
      </c>
    </row>
    <row r="22" ht="18" customHeight="1" spans="1:12">
      <c r="A22" s="257" t="s">
        <v>222</v>
      </c>
      <c r="B22" s="258" t="s">
        <v>104</v>
      </c>
      <c r="C22" s="239">
        <v>504.1896</v>
      </c>
      <c r="D22" s="147">
        <v>15.6998</v>
      </c>
      <c r="E22" s="239">
        <v>80.6378</v>
      </c>
      <c r="F22" s="147">
        <v>-1.4866</v>
      </c>
      <c r="G22" s="239">
        <v>123.5672</v>
      </c>
      <c r="H22" s="147">
        <v>5.4483</v>
      </c>
      <c r="I22" s="239">
        <v>158.9804</v>
      </c>
      <c r="J22" s="147">
        <v>-2.8821</v>
      </c>
      <c r="K22" s="239">
        <v>201.0169</v>
      </c>
      <c r="L22" s="147">
        <v>-3.4948</v>
      </c>
    </row>
    <row r="23" ht="18" customHeight="1" spans="1:12">
      <c r="A23" s="257" t="s">
        <v>223</v>
      </c>
      <c r="B23" s="258" t="s">
        <v>104</v>
      </c>
      <c r="C23" s="239">
        <v>400.7474</v>
      </c>
      <c r="D23" s="147">
        <v>-1.0455</v>
      </c>
      <c r="E23" s="239">
        <v>61.0688</v>
      </c>
      <c r="F23" s="147">
        <v>-2.2649</v>
      </c>
      <c r="G23" s="239">
        <v>99.3478</v>
      </c>
      <c r="H23" s="147">
        <v>8.8114</v>
      </c>
      <c r="I23" s="239">
        <v>138.5654</v>
      </c>
      <c r="J23" s="147">
        <v>10.4952</v>
      </c>
      <c r="K23" s="239">
        <v>167.6643</v>
      </c>
      <c r="L23" s="147">
        <v>3.0163</v>
      </c>
    </row>
    <row r="24" ht="18" customHeight="1" spans="1:12">
      <c r="A24" s="257" t="s">
        <v>224</v>
      </c>
      <c r="B24" s="258" t="s">
        <v>104</v>
      </c>
      <c r="C24" s="239">
        <v>60.8502</v>
      </c>
      <c r="D24" s="147">
        <v>-28.8743</v>
      </c>
      <c r="E24" s="239">
        <v>8.3167</v>
      </c>
      <c r="F24" s="147">
        <v>0.2769</v>
      </c>
      <c r="G24" s="239">
        <v>12.7168</v>
      </c>
      <c r="H24" s="147">
        <v>-1.8583</v>
      </c>
      <c r="I24" s="239">
        <v>19.3423</v>
      </c>
      <c r="J24" s="147">
        <v>23.5688</v>
      </c>
      <c r="K24" s="239">
        <v>25.6875</v>
      </c>
      <c r="L24" s="147">
        <v>12.7987</v>
      </c>
    </row>
    <row r="25" ht="18" customHeight="1" spans="1:12">
      <c r="A25" s="257" t="s">
        <v>225</v>
      </c>
      <c r="B25" s="258" t="s">
        <v>104</v>
      </c>
      <c r="C25" s="239">
        <v>27.4813</v>
      </c>
      <c r="D25" s="147">
        <v>-17.0109</v>
      </c>
      <c r="E25" s="239">
        <v>2.3613</v>
      </c>
      <c r="F25" s="147">
        <v>-37.2333</v>
      </c>
      <c r="G25" s="239">
        <v>3.4361</v>
      </c>
      <c r="H25" s="147">
        <v>-31.5123</v>
      </c>
      <c r="I25" s="239">
        <v>3.4</v>
      </c>
      <c r="J25" s="147">
        <v>-29.8416</v>
      </c>
      <c r="K25" s="239">
        <v>3.8296</v>
      </c>
      <c r="L25" s="147">
        <v>-55.123</v>
      </c>
    </row>
    <row r="26" ht="18" customHeight="1" spans="1:12">
      <c r="A26" s="257" t="s">
        <v>226</v>
      </c>
      <c r="B26" s="258" t="s">
        <v>104</v>
      </c>
      <c r="C26" s="239">
        <v>70.5696</v>
      </c>
      <c r="D26" s="147">
        <v>13.0985</v>
      </c>
      <c r="E26" s="239">
        <v>13.7525</v>
      </c>
      <c r="F26" s="147">
        <v>27.9139</v>
      </c>
      <c r="G26" s="239">
        <v>18.0917</v>
      </c>
      <c r="H26" s="147">
        <v>24.8877</v>
      </c>
      <c r="I26" s="239">
        <v>22.1303</v>
      </c>
      <c r="J26" s="147">
        <v>8.2915</v>
      </c>
      <c r="K26" s="239">
        <v>28.0694</v>
      </c>
      <c r="L26" s="147">
        <v>7.177</v>
      </c>
    </row>
    <row r="27" ht="18" customHeight="1" spans="1:12">
      <c r="A27" s="257" t="s">
        <v>227</v>
      </c>
      <c r="B27" s="258" t="s">
        <v>104</v>
      </c>
      <c r="C27" s="267">
        <v>421.37318</v>
      </c>
      <c r="D27" s="151">
        <v>-25.3</v>
      </c>
      <c r="E27" s="267">
        <v>60.8299</v>
      </c>
      <c r="F27" s="151">
        <v>1.7</v>
      </c>
      <c r="G27" s="267">
        <v>85.47541</v>
      </c>
      <c r="H27" s="151">
        <v>-11.4</v>
      </c>
      <c r="I27" s="267">
        <v>120.82477</v>
      </c>
      <c r="J27" s="151">
        <v>-9</v>
      </c>
      <c r="K27" s="267">
        <v>153.39312</v>
      </c>
      <c r="L27" s="151">
        <v>-10.4</v>
      </c>
    </row>
    <row r="28" ht="18" customHeight="1" spans="1:12">
      <c r="A28" s="234" t="s">
        <v>228</v>
      </c>
      <c r="B28" s="235" t="s">
        <v>216</v>
      </c>
      <c r="C28" s="239">
        <v>965.95985</v>
      </c>
      <c r="D28" s="147">
        <v>-5.1</v>
      </c>
      <c r="E28" s="239">
        <v>135.94202</v>
      </c>
      <c r="F28" s="147">
        <v>-15.9</v>
      </c>
      <c r="G28" s="239">
        <v>180.56103</v>
      </c>
      <c r="H28" s="147">
        <v>-24.9</v>
      </c>
      <c r="I28" s="239">
        <v>241.9513</v>
      </c>
      <c r="J28" s="147">
        <v>-24.2</v>
      </c>
      <c r="K28" s="239">
        <v>299.48066</v>
      </c>
      <c r="L28" s="147">
        <v>-25.6</v>
      </c>
    </row>
    <row r="29" ht="18" customHeight="1" spans="1:12">
      <c r="A29" s="234" t="s">
        <v>229</v>
      </c>
      <c r="B29" s="235" t="s">
        <v>104</v>
      </c>
      <c r="C29" s="239">
        <v>1207.4209</v>
      </c>
      <c r="D29" s="147">
        <v>2.9</v>
      </c>
      <c r="E29" s="239">
        <v>194.1661</v>
      </c>
      <c r="F29" s="147">
        <v>-2.1</v>
      </c>
      <c r="G29" s="239">
        <v>292.91</v>
      </c>
      <c r="H29" s="147">
        <v>-2.9</v>
      </c>
      <c r="I29" s="239">
        <v>370.0947</v>
      </c>
      <c r="J29" s="147">
        <v>-8</v>
      </c>
      <c r="K29" s="239">
        <v>454.2638</v>
      </c>
      <c r="L29" s="147">
        <v>-10.2</v>
      </c>
    </row>
    <row r="30" ht="18" customHeight="1" spans="1:12">
      <c r="A30" s="259" t="s">
        <v>230</v>
      </c>
      <c r="B30" s="260" t="s">
        <v>104</v>
      </c>
      <c r="C30" s="239">
        <v>1252.9275</v>
      </c>
      <c r="D30" s="147">
        <v>-2.4</v>
      </c>
      <c r="E30" s="239">
        <v>219.8868</v>
      </c>
      <c r="F30" s="147">
        <v>0.1</v>
      </c>
      <c r="G30" s="239">
        <v>330.3397</v>
      </c>
      <c r="H30" s="147">
        <v>0.2</v>
      </c>
      <c r="I30" s="239">
        <v>416.7086</v>
      </c>
      <c r="J30" s="147">
        <v>-4.5</v>
      </c>
      <c r="K30" s="239">
        <v>509.7086</v>
      </c>
      <c r="L30" s="147">
        <v>-6.5</v>
      </c>
    </row>
    <row r="31" ht="18" customHeight="1" spans="1:12">
      <c r="A31" s="259" t="s">
        <v>231</v>
      </c>
      <c r="B31" s="260" t="s">
        <v>104</v>
      </c>
      <c r="C31" s="239">
        <v>1202.8209</v>
      </c>
      <c r="D31" s="147">
        <v>0.7</v>
      </c>
      <c r="E31" s="239">
        <v>191.76826</v>
      </c>
      <c r="F31" s="147">
        <v>-5.8</v>
      </c>
      <c r="G31" s="239">
        <v>295.79089</v>
      </c>
      <c r="H31" s="147">
        <v>-3.9</v>
      </c>
      <c r="I31" s="239">
        <v>380.9398</v>
      </c>
      <c r="J31" s="147">
        <v>-6.9</v>
      </c>
      <c r="K31" s="239">
        <v>463.99959</v>
      </c>
      <c r="L31" s="147">
        <v>-9.6</v>
      </c>
    </row>
    <row r="32" ht="18" customHeight="1" spans="1:12">
      <c r="A32" s="259" t="s">
        <v>232</v>
      </c>
      <c r="B32" s="260" t="s">
        <v>213</v>
      </c>
      <c r="C32" s="239">
        <v>3095.6662</v>
      </c>
      <c r="D32" s="147">
        <v>-12.3</v>
      </c>
      <c r="E32" s="239">
        <v>449.9538</v>
      </c>
      <c r="F32" s="147">
        <v>-9.2</v>
      </c>
      <c r="G32" s="239">
        <v>685.2396</v>
      </c>
      <c r="H32" s="147">
        <v>-14.8</v>
      </c>
      <c r="I32" s="239">
        <v>927.0971</v>
      </c>
      <c r="J32" s="147">
        <v>-9.2</v>
      </c>
      <c r="K32" s="239">
        <v>1163.4951</v>
      </c>
      <c r="L32" s="147">
        <v>-7</v>
      </c>
    </row>
    <row r="33" ht="18" customHeight="1" spans="1:12">
      <c r="A33" s="259" t="s">
        <v>233</v>
      </c>
      <c r="B33" s="260" t="s">
        <v>234</v>
      </c>
      <c r="C33" s="239">
        <v>26.26</v>
      </c>
      <c r="D33" s="147">
        <v>-80.4</v>
      </c>
      <c r="E33" s="239">
        <v>3.9096</v>
      </c>
      <c r="F33" s="147">
        <v>0</v>
      </c>
      <c r="G33" s="239">
        <v>5.0954</v>
      </c>
      <c r="H33" s="147">
        <v>0</v>
      </c>
      <c r="I33" s="239">
        <v>6.2203</v>
      </c>
      <c r="J33" s="147">
        <v>0</v>
      </c>
      <c r="K33" s="239">
        <v>8.0826</v>
      </c>
      <c r="L33" s="147">
        <v>0</v>
      </c>
    </row>
    <row r="34" ht="18" customHeight="1" spans="1:12">
      <c r="A34" s="261" t="s">
        <v>235</v>
      </c>
      <c r="B34" s="262" t="s">
        <v>62</v>
      </c>
      <c r="C34" s="271">
        <v>431.4703</v>
      </c>
      <c r="D34" s="154">
        <v>7.4816</v>
      </c>
      <c r="E34" s="271">
        <v>64.2894</v>
      </c>
      <c r="F34" s="154">
        <v>-4.3474</v>
      </c>
      <c r="G34" s="271">
        <v>107.0145</v>
      </c>
      <c r="H34" s="154">
        <v>0.4493</v>
      </c>
      <c r="I34" s="271">
        <v>150.6642</v>
      </c>
      <c r="J34" s="154">
        <v>6.2613</v>
      </c>
      <c r="K34" s="271">
        <v>193.1712</v>
      </c>
      <c r="L34" s="154">
        <v>8.8995</v>
      </c>
    </row>
  </sheetData>
  <mergeCells count="8">
    <mergeCell ref="A1:L1"/>
    <mergeCell ref="C2:D2"/>
    <mergeCell ref="E2:F2"/>
    <mergeCell ref="G2:H2"/>
    <mergeCell ref="I2:J2"/>
    <mergeCell ref="K2:L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K29"/>
  <sheetViews>
    <sheetView zoomScale="80" zoomScaleNormal="80" workbookViewId="0">
      <pane xSplit="1" ySplit="3" topLeftCell="D4" activePane="bottomRight" state="frozen"/>
      <selection/>
      <selection pane="topRight"/>
      <selection pane="bottomLeft"/>
      <selection pane="bottomRight" activeCell="L25" sqref="L25"/>
    </sheetView>
  </sheetViews>
  <sheetFormatPr defaultColWidth="9" defaultRowHeight="14.25"/>
  <cols>
    <col min="1" max="1" width="46.4" style="254" customWidth="1"/>
    <col min="2" max="2" width="11.625" style="254"/>
    <col min="3" max="11" width="9.44166666666667" style="254" customWidth="1"/>
    <col min="12" max="16384" width="9" style="254"/>
  </cols>
  <sheetData>
    <row r="1" ht="24.95" customHeight="1" spans="1:11">
      <c r="A1" s="135" t="s">
        <v>236</v>
      </c>
      <c r="B1" s="135"/>
      <c r="C1" s="135"/>
      <c r="D1" s="135"/>
      <c r="E1" s="135"/>
      <c r="F1" s="135"/>
      <c r="G1" s="135"/>
      <c r="H1" s="135"/>
      <c r="I1" s="135"/>
      <c r="J1" s="135"/>
      <c r="K1" s="135"/>
    </row>
    <row r="2" s="263" customFormat="1" ht="21" customHeight="1" spans="1:11">
      <c r="A2" s="264" t="s">
        <v>1</v>
      </c>
      <c r="B2" s="137" t="s">
        <v>3</v>
      </c>
      <c r="C2" s="138"/>
      <c r="D2" s="137" t="s">
        <v>4</v>
      </c>
      <c r="E2" s="138"/>
      <c r="F2" s="137" t="s">
        <v>5</v>
      </c>
      <c r="G2" s="138"/>
      <c r="H2" s="137" t="s">
        <v>6</v>
      </c>
      <c r="I2" s="138"/>
      <c r="J2" s="137" t="s">
        <v>7</v>
      </c>
      <c r="K2" s="138"/>
    </row>
    <row r="3" s="263" customFormat="1" ht="30" customHeight="1" spans="1:11">
      <c r="A3" s="265"/>
      <c r="B3" s="140" t="s">
        <v>8</v>
      </c>
      <c r="C3" s="141" t="s">
        <v>9</v>
      </c>
      <c r="D3" s="140" t="s">
        <v>8</v>
      </c>
      <c r="E3" s="141" t="s">
        <v>9</v>
      </c>
      <c r="F3" s="140" t="s">
        <v>8</v>
      </c>
      <c r="G3" s="141" t="s">
        <v>9</v>
      </c>
      <c r="H3" s="140" t="s">
        <v>8</v>
      </c>
      <c r="I3" s="141" t="s">
        <v>9</v>
      </c>
      <c r="J3" s="140" t="s">
        <v>8</v>
      </c>
      <c r="K3" s="141" t="s">
        <v>9</v>
      </c>
    </row>
    <row r="4" ht="23.45" customHeight="1" spans="1:11">
      <c r="A4" s="232" t="s">
        <v>237</v>
      </c>
      <c r="B4" s="208">
        <v>2453.16</v>
      </c>
      <c r="C4" s="187">
        <v>9.8</v>
      </c>
      <c r="D4" s="208">
        <v>456.52</v>
      </c>
      <c r="E4" s="187">
        <v>16.7</v>
      </c>
      <c r="F4" s="208">
        <v>710.39</v>
      </c>
      <c r="G4" s="187">
        <v>18.1</v>
      </c>
      <c r="H4" s="208">
        <v>935.81</v>
      </c>
      <c r="I4" s="187">
        <v>16.9</v>
      </c>
      <c r="J4" s="208">
        <v>1172.16</v>
      </c>
      <c r="K4" s="187">
        <v>17.1</v>
      </c>
    </row>
    <row r="5" ht="23.45" customHeight="1" spans="1:11">
      <c r="A5" s="234" t="s">
        <v>238</v>
      </c>
      <c r="B5" s="146">
        <v>105.21</v>
      </c>
      <c r="C5" s="147">
        <v>45.3</v>
      </c>
      <c r="D5" s="146">
        <v>17.51</v>
      </c>
      <c r="E5" s="147">
        <v>19.3</v>
      </c>
      <c r="F5" s="146">
        <v>26.31</v>
      </c>
      <c r="G5" s="147">
        <v>14.6</v>
      </c>
      <c r="H5" s="146">
        <v>33.8</v>
      </c>
      <c r="I5" s="147">
        <v>8.7</v>
      </c>
      <c r="J5" s="146">
        <v>42.93</v>
      </c>
      <c r="K5" s="147">
        <v>7.3</v>
      </c>
    </row>
    <row r="6" ht="23.45" customHeight="1" spans="1:11">
      <c r="A6" s="234" t="s">
        <v>239</v>
      </c>
      <c r="B6" s="146">
        <v>1876.51</v>
      </c>
      <c r="C6" s="147">
        <v>6.6</v>
      </c>
      <c r="D6" s="146">
        <v>378.35</v>
      </c>
      <c r="E6" s="147">
        <v>22.3</v>
      </c>
      <c r="F6" s="146">
        <v>577.62</v>
      </c>
      <c r="G6" s="147">
        <v>23.9</v>
      </c>
      <c r="H6" s="146">
        <v>743.78</v>
      </c>
      <c r="I6" s="147">
        <v>20.8</v>
      </c>
      <c r="J6" s="146">
        <v>919.88</v>
      </c>
      <c r="K6" s="147">
        <v>19.7</v>
      </c>
    </row>
    <row r="7" ht="23.45" customHeight="1" spans="1:11">
      <c r="A7" s="234" t="s">
        <v>240</v>
      </c>
      <c r="B7" s="146">
        <v>471.43</v>
      </c>
      <c r="C7" s="147">
        <v>17.7</v>
      </c>
      <c r="D7" s="146">
        <v>60.66</v>
      </c>
      <c r="E7" s="147">
        <v>-9.6</v>
      </c>
      <c r="F7" s="146">
        <v>106.46</v>
      </c>
      <c r="G7" s="147">
        <v>-5.3</v>
      </c>
      <c r="H7" s="146">
        <v>158.23</v>
      </c>
      <c r="I7" s="147">
        <v>3</v>
      </c>
      <c r="J7" s="146">
        <v>209.36</v>
      </c>
      <c r="K7" s="147">
        <v>8.8</v>
      </c>
    </row>
    <row r="8" ht="23.45" customHeight="1" spans="1:11">
      <c r="A8" s="236" t="s">
        <v>241</v>
      </c>
      <c r="B8" s="208">
        <v>2254.51</v>
      </c>
      <c r="C8" s="187">
        <v>12.2</v>
      </c>
      <c r="D8" s="208">
        <v>412.76</v>
      </c>
      <c r="E8" s="187">
        <v>17.3</v>
      </c>
      <c r="F8" s="208">
        <v>642.34</v>
      </c>
      <c r="G8" s="187">
        <v>17.8</v>
      </c>
      <c r="H8" s="208">
        <v>850.64</v>
      </c>
      <c r="I8" s="187">
        <v>16.4</v>
      </c>
      <c r="J8" s="208">
        <v>1067.94</v>
      </c>
      <c r="K8" s="187">
        <v>16.6</v>
      </c>
    </row>
    <row r="9" ht="23.45" customHeight="1" spans="1:11">
      <c r="A9" s="234" t="s">
        <v>146</v>
      </c>
      <c r="B9" s="146">
        <v>721.89</v>
      </c>
      <c r="C9" s="147">
        <v>23.4</v>
      </c>
      <c r="D9" s="146">
        <v>111.71</v>
      </c>
      <c r="E9" s="147">
        <v>-3.3</v>
      </c>
      <c r="F9" s="146">
        <v>167.58</v>
      </c>
      <c r="G9" s="147">
        <v>-5</v>
      </c>
      <c r="H9" s="146">
        <v>222.02</v>
      </c>
      <c r="I9" s="147">
        <v>-5</v>
      </c>
      <c r="J9" s="146">
        <v>279.79</v>
      </c>
      <c r="K9" s="147">
        <v>-4.3</v>
      </c>
    </row>
    <row r="10" ht="23.45" customHeight="1" spans="1:11">
      <c r="A10" s="266" t="s">
        <v>242</v>
      </c>
      <c r="B10" s="146">
        <v>121.38</v>
      </c>
      <c r="C10" s="147">
        <v>11.7</v>
      </c>
      <c r="D10" s="146">
        <v>86.62</v>
      </c>
      <c r="E10" s="147">
        <v>399.9</v>
      </c>
      <c r="F10" s="146">
        <v>131.34</v>
      </c>
      <c r="G10" s="147">
        <v>400.6</v>
      </c>
      <c r="H10" s="146">
        <v>168.56</v>
      </c>
      <c r="I10" s="147">
        <v>363.1</v>
      </c>
      <c r="J10" s="146">
        <v>208.04</v>
      </c>
      <c r="K10" s="147">
        <v>354.3</v>
      </c>
    </row>
    <row r="11" ht="23.45" customHeight="1" spans="1:11">
      <c r="A11" s="234" t="s">
        <v>243</v>
      </c>
      <c r="B11" s="146">
        <v>28.84</v>
      </c>
      <c r="C11" s="147">
        <v>49.1</v>
      </c>
      <c r="D11" s="146">
        <v>5.63</v>
      </c>
      <c r="E11" s="147">
        <v>59.9</v>
      </c>
      <c r="F11" s="146">
        <v>7.85</v>
      </c>
      <c r="G11" s="147">
        <v>47.6</v>
      </c>
      <c r="H11" s="146">
        <v>10.64</v>
      </c>
      <c r="I11" s="147">
        <v>46.7</v>
      </c>
      <c r="J11" s="146">
        <v>13.05</v>
      </c>
      <c r="K11" s="147">
        <v>46.2</v>
      </c>
    </row>
    <row r="12" ht="23.45" customHeight="1" spans="1:11">
      <c r="A12" s="234" t="s">
        <v>244</v>
      </c>
      <c r="B12" s="146">
        <v>912.9</v>
      </c>
      <c r="C12" s="147">
        <v>1.8</v>
      </c>
      <c r="D12" s="146">
        <v>148.52</v>
      </c>
      <c r="E12" s="147">
        <v>-0.1</v>
      </c>
      <c r="F12" s="146">
        <v>229.67</v>
      </c>
      <c r="G12" s="147">
        <v>1.9</v>
      </c>
      <c r="H12" s="146">
        <v>291.97</v>
      </c>
      <c r="I12" s="147">
        <v>-2.8</v>
      </c>
      <c r="J12" s="146">
        <v>358.67</v>
      </c>
      <c r="K12" s="147">
        <v>-4.9</v>
      </c>
    </row>
    <row r="13" ht="23.45" customHeight="1" spans="1:11">
      <c r="A13" s="234" t="s">
        <v>245</v>
      </c>
      <c r="B13" s="146">
        <v>0.23</v>
      </c>
      <c r="C13" s="147">
        <v>-29.4</v>
      </c>
      <c r="D13" s="146">
        <v>0</v>
      </c>
      <c r="E13" s="147">
        <v>266.7</v>
      </c>
      <c r="F13" s="146">
        <v>0</v>
      </c>
      <c r="G13" s="147">
        <v>161.2</v>
      </c>
      <c r="H13" s="146">
        <v>0</v>
      </c>
      <c r="I13" s="147">
        <v>170.3</v>
      </c>
      <c r="J13" s="146">
        <v>0</v>
      </c>
      <c r="K13" s="147">
        <v>186.4</v>
      </c>
    </row>
    <row r="14" ht="23.45" customHeight="1" spans="1:11">
      <c r="A14" s="234" t="s">
        <v>161</v>
      </c>
      <c r="B14" s="146">
        <v>469.28</v>
      </c>
      <c r="C14" s="147">
        <v>17.8</v>
      </c>
      <c r="D14" s="146">
        <v>60.29</v>
      </c>
      <c r="E14" s="147">
        <v>-9.7</v>
      </c>
      <c r="F14" s="146">
        <v>105.89</v>
      </c>
      <c r="G14" s="147">
        <v>-5.3</v>
      </c>
      <c r="H14" s="146">
        <v>157.46</v>
      </c>
      <c r="I14" s="147">
        <v>3</v>
      </c>
      <c r="J14" s="146">
        <v>208.39</v>
      </c>
      <c r="K14" s="147">
        <v>8.9</v>
      </c>
    </row>
    <row r="15" ht="23.45" customHeight="1" spans="1:11">
      <c r="A15" s="236" t="s">
        <v>246</v>
      </c>
      <c r="B15" s="238">
        <v>1313294.27</v>
      </c>
      <c r="C15" s="187">
        <v>6.9</v>
      </c>
      <c r="D15" s="238">
        <v>242666.09</v>
      </c>
      <c r="E15" s="187">
        <v>19.1</v>
      </c>
      <c r="F15" s="238">
        <v>379798.92</v>
      </c>
      <c r="G15" s="187">
        <v>22.1</v>
      </c>
      <c r="H15" s="238">
        <v>506700.04</v>
      </c>
      <c r="I15" s="187">
        <v>21.6</v>
      </c>
      <c r="J15" s="238">
        <v>639505.5</v>
      </c>
      <c r="K15" s="187">
        <v>21.3</v>
      </c>
    </row>
    <row r="16" ht="23.45" customHeight="1" spans="1:11">
      <c r="A16" s="234" t="s">
        <v>146</v>
      </c>
      <c r="B16" s="267">
        <v>271797.69</v>
      </c>
      <c r="C16" s="268">
        <v>13.5</v>
      </c>
      <c r="D16" s="267">
        <v>39982.12</v>
      </c>
      <c r="E16" s="151">
        <v>-6</v>
      </c>
      <c r="F16" s="267">
        <v>62822.79</v>
      </c>
      <c r="G16" s="151">
        <v>-3.6</v>
      </c>
      <c r="H16" s="267">
        <v>84459.01</v>
      </c>
      <c r="I16" s="151">
        <v>-3</v>
      </c>
      <c r="J16" s="267">
        <v>107150.04</v>
      </c>
      <c r="K16" s="151">
        <v>-2.8</v>
      </c>
    </row>
    <row r="17" ht="23.45" customHeight="1" spans="1:11">
      <c r="A17" s="234" t="s">
        <v>242</v>
      </c>
      <c r="B17" s="239">
        <v>151217.84</v>
      </c>
      <c r="C17" s="147">
        <v>9.7</v>
      </c>
      <c r="D17" s="239">
        <v>57960.04</v>
      </c>
      <c r="E17" s="147">
        <v>159.1</v>
      </c>
      <c r="F17" s="239">
        <v>88457.37</v>
      </c>
      <c r="G17" s="147">
        <v>156.8</v>
      </c>
      <c r="H17" s="239">
        <v>116390.67</v>
      </c>
      <c r="I17" s="147">
        <v>149.8</v>
      </c>
      <c r="J17" s="239">
        <v>145117.34</v>
      </c>
      <c r="K17" s="147">
        <v>147.2</v>
      </c>
    </row>
    <row r="18" ht="23.45" customHeight="1" spans="1:11">
      <c r="A18" s="234" t="s">
        <v>243</v>
      </c>
      <c r="B18" s="239">
        <v>50891.18</v>
      </c>
      <c r="C18" s="147">
        <v>9.7</v>
      </c>
      <c r="D18" s="239">
        <v>8329.47</v>
      </c>
      <c r="E18" s="147">
        <v>7.5</v>
      </c>
      <c r="F18" s="239">
        <v>12436.22</v>
      </c>
      <c r="G18" s="147">
        <v>7.1</v>
      </c>
      <c r="H18" s="239">
        <v>16468.76</v>
      </c>
      <c r="I18" s="147">
        <v>3.1</v>
      </c>
      <c r="J18" s="239">
        <v>20545.34</v>
      </c>
      <c r="K18" s="147">
        <v>2.4</v>
      </c>
    </row>
    <row r="19" ht="23.45" customHeight="1" spans="1:11">
      <c r="A19" s="234" t="s">
        <v>244</v>
      </c>
      <c r="B19" s="239">
        <v>657938.06</v>
      </c>
      <c r="C19" s="147">
        <v>1.7</v>
      </c>
      <c r="D19" s="239">
        <v>111998.19</v>
      </c>
      <c r="E19" s="147">
        <v>5.5</v>
      </c>
      <c r="F19" s="239">
        <v>173825.33</v>
      </c>
      <c r="G19" s="147">
        <v>8.9</v>
      </c>
      <c r="H19" s="239">
        <v>227074.5</v>
      </c>
      <c r="I19" s="147">
        <v>7</v>
      </c>
      <c r="J19" s="239">
        <v>283908.83</v>
      </c>
      <c r="K19" s="147">
        <v>5.8</v>
      </c>
    </row>
    <row r="20" ht="23.45" customHeight="1" spans="1:11">
      <c r="A20" s="234" t="s">
        <v>245</v>
      </c>
      <c r="B20" s="239">
        <v>1189.36</v>
      </c>
      <c r="C20" s="147">
        <v>5.7</v>
      </c>
      <c r="D20" s="239">
        <v>1.43</v>
      </c>
      <c r="E20" s="147">
        <v>266.7</v>
      </c>
      <c r="F20" s="239">
        <v>2.19</v>
      </c>
      <c r="G20" s="147">
        <v>160.7</v>
      </c>
      <c r="H20" s="239">
        <v>3.19</v>
      </c>
      <c r="I20" s="147">
        <v>170.3</v>
      </c>
      <c r="J20" s="239">
        <v>4.29</v>
      </c>
      <c r="K20" s="147">
        <v>186</v>
      </c>
    </row>
    <row r="21" ht="23.45" customHeight="1" spans="1:11">
      <c r="A21" s="259" t="s">
        <v>161</v>
      </c>
      <c r="B21" s="239">
        <v>180260.14</v>
      </c>
      <c r="C21" s="147">
        <v>15.1</v>
      </c>
      <c r="D21" s="239">
        <v>24394.84</v>
      </c>
      <c r="E21" s="147">
        <v>-1.8</v>
      </c>
      <c r="F21" s="239">
        <v>42255.02</v>
      </c>
      <c r="G21" s="147">
        <v>4.7</v>
      </c>
      <c r="H21" s="239">
        <v>62303.91</v>
      </c>
      <c r="I21" s="147">
        <v>13.6</v>
      </c>
      <c r="J21" s="239">
        <v>82779.66</v>
      </c>
      <c r="K21" s="147">
        <v>18</v>
      </c>
    </row>
    <row r="22" ht="23.45" customHeight="1" spans="1:11">
      <c r="A22" s="269" t="s">
        <v>247</v>
      </c>
      <c r="B22" s="208"/>
      <c r="C22" s="187">
        <v>6</v>
      </c>
      <c r="D22" s="208"/>
      <c r="E22" s="187">
        <v>2.6</v>
      </c>
      <c r="F22" s="208"/>
      <c r="G22" s="187">
        <v>10.9</v>
      </c>
      <c r="H22" s="208"/>
      <c r="I22" s="187">
        <v>7.2</v>
      </c>
      <c r="J22" s="208"/>
      <c r="K22" s="187">
        <v>3.9</v>
      </c>
    </row>
    <row r="23" ht="23.45" customHeight="1" spans="1:11">
      <c r="A23" s="259" t="s">
        <v>146</v>
      </c>
      <c r="B23" s="146"/>
      <c r="C23" s="147">
        <v>10.6</v>
      </c>
      <c r="D23" s="146"/>
      <c r="E23" s="147">
        <v>-2.7</v>
      </c>
      <c r="F23" s="146"/>
      <c r="G23" s="147">
        <v>8.2</v>
      </c>
      <c r="H23" s="146"/>
      <c r="I23" s="147">
        <v>1.59102564102564</v>
      </c>
      <c r="J23" s="146"/>
      <c r="K23" s="147">
        <v>-4.15849056603773</v>
      </c>
    </row>
    <row r="24" ht="23.45" customHeight="1" spans="1:11">
      <c r="A24" s="259" t="s">
        <v>242</v>
      </c>
      <c r="B24" s="146"/>
      <c r="C24" s="147">
        <v>24.9</v>
      </c>
      <c r="D24" s="146"/>
      <c r="E24" s="147">
        <v>63.9</v>
      </c>
      <c r="F24" s="146"/>
      <c r="G24" s="147">
        <v>87.3</v>
      </c>
      <c r="H24" s="146"/>
      <c r="I24" s="147">
        <v>87.974358974359</v>
      </c>
      <c r="J24" s="146"/>
      <c r="K24" s="147">
        <v>84.6172413793104</v>
      </c>
    </row>
    <row r="25" ht="23.45" customHeight="1" spans="1:11">
      <c r="A25" s="259" t="s">
        <v>243</v>
      </c>
      <c r="B25" s="146"/>
      <c r="C25" s="147">
        <v>-1.9</v>
      </c>
      <c r="D25" s="146"/>
      <c r="E25" s="147">
        <v>-1.2</v>
      </c>
      <c r="F25" s="146"/>
      <c r="G25" s="147">
        <v>-7.9</v>
      </c>
      <c r="H25" s="146"/>
      <c r="I25" s="147">
        <v>-9.93698630136986</v>
      </c>
      <c r="J25" s="146"/>
      <c r="K25" s="147">
        <v>-9.84905660377358</v>
      </c>
    </row>
    <row r="26" ht="23.45" customHeight="1" spans="1:11">
      <c r="A26" s="259" t="s">
        <v>244</v>
      </c>
      <c r="B26" s="146"/>
      <c r="C26" s="147">
        <v>3.7</v>
      </c>
      <c r="D26" s="146"/>
      <c r="E26" s="147">
        <v>4.1</v>
      </c>
      <c r="F26" s="146"/>
      <c r="G26" s="147">
        <v>5.5</v>
      </c>
      <c r="H26" s="146"/>
      <c r="I26" s="147">
        <v>0.748717948717949</v>
      </c>
      <c r="J26" s="146"/>
      <c r="K26" s="147">
        <v>-2.07924528301887</v>
      </c>
    </row>
    <row r="27" ht="23.45" customHeight="1" spans="1:11">
      <c r="A27" s="259" t="s">
        <v>245</v>
      </c>
      <c r="B27" s="146"/>
      <c r="C27" s="147">
        <v>4</v>
      </c>
      <c r="D27" s="146"/>
      <c r="E27" s="147">
        <v>55.1</v>
      </c>
      <c r="F27" s="146"/>
      <c r="G27" s="147">
        <v>65.8</v>
      </c>
      <c r="H27" s="146"/>
      <c r="I27" s="147">
        <v>65.325641025641</v>
      </c>
      <c r="J27" s="146"/>
      <c r="K27" s="147">
        <v>87.1758620689655</v>
      </c>
    </row>
    <row r="28" ht="23.45" customHeight="1" spans="1:11">
      <c r="A28" s="261" t="s">
        <v>161</v>
      </c>
      <c r="B28" s="153"/>
      <c r="C28" s="154">
        <v>-4</v>
      </c>
      <c r="D28" s="153"/>
      <c r="E28" s="154">
        <v>3.5</v>
      </c>
      <c r="F28" s="153"/>
      <c r="G28" s="154">
        <v>8.9</v>
      </c>
      <c r="H28" s="153"/>
      <c r="I28" s="154">
        <v>12.6346153846154</v>
      </c>
      <c r="J28" s="153"/>
      <c r="K28" s="154">
        <v>13.0672413793103</v>
      </c>
    </row>
    <row r="29" s="254" customFormat="1" ht="41" customHeight="1" spans="1:11">
      <c r="A29" s="270" t="s">
        <v>248</v>
      </c>
      <c r="B29" s="270"/>
      <c r="C29" s="270"/>
      <c r="D29" s="270"/>
      <c r="E29" s="270"/>
      <c r="F29" s="270"/>
      <c r="G29" s="270"/>
      <c r="H29" s="270"/>
      <c r="I29" s="270"/>
      <c r="J29" s="270"/>
      <c r="K29" s="270"/>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26"/>
  <sheetViews>
    <sheetView zoomScale="80" zoomScaleNormal="80" workbookViewId="0">
      <pane xSplit="2" ySplit="3" topLeftCell="E4" activePane="bottomRight" state="frozen"/>
      <selection/>
      <selection pane="topRight"/>
      <selection pane="bottomLeft"/>
      <selection pane="bottomRight" activeCell="A6" sqref="$A6:$XFD6"/>
    </sheetView>
  </sheetViews>
  <sheetFormatPr defaultColWidth="9" defaultRowHeight="14.25"/>
  <cols>
    <col min="1" max="1" width="33.125" style="254" customWidth="1"/>
    <col min="2" max="2" width="9.625" style="254" customWidth="1"/>
    <col min="3" max="3" width="11.5" style="254"/>
    <col min="4" max="12" width="10.375" style="254"/>
    <col min="13" max="16384" width="9" style="254"/>
  </cols>
  <sheetData>
    <row r="1" ht="24.95" customHeight="1" spans="1:12">
      <c r="A1" s="135" t="s">
        <v>249</v>
      </c>
      <c r="B1" s="135"/>
      <c r="C1" s="135"/>
      <c r="D1" s="135"/>
      <c r="E1" s="135"/>
      <c r="F1" s="135"/>
      <c r="G1" s="135"/>
      <c r="H1" s="135"/>
      <c r="I1" s="135"/>
      <c r="J1" s="135"/>
      <c r="K1" s="135"/>
      <c r="L1" s="135"/>
    </row>
    <row r="2" s="253" customFormat="1" ht="21" customHeight="1" spans="1:12">
      <c r="A2" s="136" t="s">
        <v>1</v>
      </c>
      <c r="B2" s="230" t="s">
        <v>94</v>
      </c>
      <c r="C2" s="137" t="s">
        <v>3</v>
      </c>
      <c r="D2" s="138"/>
      <c r="E2" s="137" t="s">
        <v>4</v>
      </c>
      <c r="F2" s="138"/>
      <c r="G2" s="137" t="s">
        <v>5</v>
      </c>
      <c r="H2" s="138"/>
      <c r="I2" s="137" t="s">
        <v>6</v>
      </c>
      <c r="J2" s="138"/>
      <c r="K2" s="137" t="s">
        <v>7</v>
      </c>
      <c r="L2" s="138"/>
    </row>
    <row r="3" s="253" customFormat="1" ht="37" customHeight="1" spans="1:12">
      <c r="A3" s="139"/>
      <c r="B3" s="231"/>
      <c r="C3" s="140" t="s">
        <v>8</v>
      </c>
      <c r="D3" s="141" t="s">
        <v>9</v>
      </c>
      <c r="E3" s="140" t="s">
        <v>8</v>
      </c>
      <c r="F3" s="141" t="s">
        <v>9</v>
      </c>
      <c r="G3" s="140" t="s">
        <v>8</v>
      </c>
      <c r="H3" s="141" t="s">
        <v>9</v>
      </c>
      <c r="I3" s="140" t="s">
        <v>8</v>
      </c>
      <c r="J3" s="141" t="s">
        <v>9</v>
      </c>
      <c r="K3" s="140" t="s">
        <v>8</v>
      </c>
      <c r="L3" s="141" t="s">
        <v>9</v>
      </c>
    </row>
    <row r="4" ht="26.1" customHeight="1" spans="1:12">
      <c r="A4" s="255" t="s">
        <v>250</v>
      </c>
      <c r="B4" s="256"/>
      <c r="C4" s="202"/>
      <c r="D4" s="196"/>
      <c r="E4" s="202"/>
      <c r="F4" s="196"/>
      <c r="G4" s="202"/>
      <c r="H4" s="196"/>
      <c r="I4" s="202"/>
      <c r="J4" s="196"/>
      <c r="K4" s="202"/>
      <c r="L4" s="196"/>
    </row>
    <row r="5" ht="26.1" customHeight="1" spans="1:12">
      <c r="A5" s="257" t="s">
        <v>251</v>
      </c>
      <c r="B5" s="258" t="s">
        <v>104</v>
      </c>
      <c r="C5" s="146">
        <v>26534.2128</v>
      </c>
      <c r="D5" s="147">
        <v>-3.51170363757451</v>
      </c>
      <c r="E5" s="146">
        <v>4571.9013</v>
      </c>
      <c r="F5" s="147">
        <v>5.87566589114696</v>
      </c>
      <c r="G5" s="146">
        <v>7025.7215</v>
      </c>
      <c r="H5" s="147">
        <v>4.16036487046072</v>
      </c>
      <c r="I5" s="146">
        <v>9435.9374</v>
      </c>
      <c r="J5" s="147">
        <v>3.55349193942764</v>
      </c>
      <c r="K5" s="146">
        <v>11819.3182</v>
      </c>
      <c r="L5" s="147">
        <v>2.38310066499927</v>
      </c>
    </row>
    <row r="6" ht="26.1" customHeight="1" spans="1:12">
      <c r="A6" s="257" t="s">
        <v>252</v>
      </c>
      <c r="B6" s="258" t="s">
        <v>71</v>
      </c>
      <c r="C6" s="146">
        <v>157.65235</v>
      </c>
      <c r="D6" s="147">
        <v>-4.47794247403894</v>
      </c>
      <c r="E6" s="146">
        <v>25.1375</v>
      </c>
      <c r="F6" s="147">
        <v>14.4820016759573</v>
      </c>
      <c r="G6" s="146">
        <v>41.1072</v>
      </c>
      <c r="H6" s="147">
        <v>16.2213473377674</v>
      </c>
      <c r="I6" s="146">
        <v>56.6508</v>
      </c>
      <c r="J6" s="147">
        <v>15.0324939362589</v>
      </c>
      <c r="K6" s="146">
        <v>71.6681</v>
      </c>
      <c r="L6" s="147">
        <v>14.0551607469243</v>
      </c>
    </row>
    <row r="7" ht="26.1" customHeight="1" spans="1:12">
      <c r="A7" s="255" t="s">
        <v>253</v>
      </c>
      <c r="B7" s="256" t="s">
        <v>254</v>
      </c>
      <c r="C7" s="208"/>
      <c r="D7" s="187"/>
      <c r="E7" s="208"/>
      <c r="F7" s="187"/>
      <c r="G7" s="208"/>
      <c r="H7" s="187"/>
      <c r="I7" s="208"/>
      <c r="J7" s="187"/>
      <c r="K7" s="208"/>
      <c r="L7" s="187"/>
    </row>
    <row r="8" ht="26.1" customHeight="1" spans="1:12">
      <c r="A8" s="257" t="s">
        <v>255</v>
      </c>
      <c r="B8" s="258" t="s">
        <v>69</v>
      </c>
      <c r="C8" s="146">
        <v>1.53051704</v>
      </c>
      <c r="D8" s="147">
        <v>0.880074430408314</v>
      </c>
      <c r="E8" s="146">
        <v>0.24715501</v>
      </c>
      <c r="F8" s="147">
        <v>10.8269477783156</v>
      </c>
      <c r="G8" s="146">
        <v>0.39211735</v>
      </c>
      <c r="H8" s="147">
        <v>7.09318822689085</v>
      </c>
      <c r="I8" s="146">
        <v>0.53613668</v>
      </c>
      <c r="J8" s="147">
        <v>7.33168386305165</v>
      </c>
      <c r="K8" s="146">
        <v>0.6823415</v>
      </c>
      <c r="L8" s="147">
        <v>7.02454094589416</v>
      </c>
    </row>
    <row r="9" ht="26.1" customHeight="1" spans="1:12">
      <c r="A9" s="257" t="s">
        <v>256</v>
      </c>
      <c r="B9" s="258" t="s">
        <v>66</v>
      </c>
      <c r="C9" s="146">
        <v>245.60940493</v>
      </c>
      <c r="D9" s="147">
        <v>-3.46662975421201</v>
      </c>
      <c r="E9" s="146">
        <v>38.16128826</v>
      </c>
      <c r="F9" s="147">
        <v>9.73282300751022</v>
      </c>
      <c r="G9" s="146">
        <v>61.83485529</v>
      </c>
      <c r="H9" s="147">
        <v>6.73113138179528</v>
      </c>
      <c r="I9" s="146">
        <v>85.24833684</v>
      </c>
      <c r="J9" s="147">
        <v>6.94111516493767</v>
      </c>
      <c r="K9" s="146">
        <v>109.35118717</v>
      </c>
      <c r="L9" s="147">
        <v>7.12959414274947</v>
      </c>
    </row>
    <row r="10" ht="26.1" customHeight="1" spans="1:12">
      <c r="A10" s="257" t="s">
        <v>257</v>
      </c>
      <c r="B10" s="258" t="s">
        <v>184</v>
      </c>
      <c r="C10" s="146">
        <v>1390.9235</v>
      </c>
      <c r="D10" s="147">
        <v>-1.35497912773575</v>
      </c>
      <c r="E10" s="146">
        <v>237.5556</v>
      </c>
      <c r="F10" s="147">
        <v>4.92993425193633</v>
      </c>
      <c r="G10" s="146">
        <v>354.6877</v>
      </c>
      <c r="H10" s="147">
        <v>3.90417283316987</v>
      </c>
      <c r="I10" s="146">
        <v>462.8607</v>
      </c>
      <c r="J10" s="147">
        <v>0.694895103297696</v>
      </c>
      <c r="K10" s="146">
        <v>584.3546</v>
      </c>
      <c r="L10" s="147">
        <v>0.704677306392099</v>
      </c>
    </row>
    <row r="11" ht="26.1" customHeight="1" spans="1:12">
      <c r="A11" s="257" t="s">
        <v>258</v>
      </c>
      <c r="B11" s="258" t="s">
        <v>259</v>
      </c>
      <c r="C11" s="146">
        <v>11.37790683</v>
      </c>
      <c r="D11" s="147">
        <v>-0.643090288076479</v>
      </c>
      <c r="E11" s="146">
        <v>1.99859053</v>
      </c>
      <c r="F11" s="147">
        <v>11.2966687461708</v>
      </c>
      <c r="G11" s="146">
        <v>2.96060581</v>
      </c>
      <c r="H11" s="147">
        <v>9.29207715025031</v>
      </c>
      <c r="I11" s="146">
        <v>3.96754536</v>
      </c>
      <c r="J11" s="147">
        <v>8.36394198457255</v>
      </c>
      <c r="K11" s="146">
        <v>5.00238085</v>
      </c>
      <c r="L11" s="147">
        <v>7.93217087828712</v>
      </c>
    </row>
    <row r="12" ht="26.1" customHeight="1" spans="1:12">
      <c r="A12" s="255" t="s">
        <v>260</v>
      </c>
      <c r="B12" s="256"/>
      <c r="C12" s="208"/>
      <c r="D12" s="187"/>
      <c r="E12" s="208"/>
      <c r="F12" s="187"/>
      <c r="G12" s="208"/>
      <c r="H12" s="187"/>
      <c r="I12" s="208"/>
      <c r="J12" s="187"/>
      <c r="K12" s="208"/>
      <c r="L12" s="187"/>
    </row>
    <row r="13" ht="26.1" customHeight="1" spans="1:12">
      <c r="A13" s="257" t="s">
        <v>255</v>
      </c>
      <c r="B13" s="258" t="s">
        <v>104</v>
      </c>
      <c r="C13" s="146">
        <v>5245.5384</v>
      </c>
      <c r="D13" s="147">
        <v>-0.869068870008638</v>
      </c>
      <c r="E13" s="146">
        <v>880.0769</v>
      </c>
      <c r="F13" s="147">
        <v>0.817443467835344</v>
      </c>
      <c r="G13" s="146">
        <v>1440.1673</v>
      </c>
      <c r="H13" s="147">
        <v>1.40085911755028</v>
      </c>
      <c r="I13" s="146">
        <v>1997.5664</v>
      </c>
      <c r="J13" s="147">
        <v>2.26238339660165</v>
      </c>
      <c r="K13" s="146">
        <v>2470.872</v>
      </c>
      <c r="L13" s="147">
        <v>1.89957493180188</v>
      </c>
    </row>
    <row r="14" ht="26.1" customHeight="1" spans="1:12">
      <c r="A14" s="257" t="s">
        <v>256</v>
      </c>
      <c r="B14" s="258" t="s">
        <v>66</v>
      </c>
      <c r="C14" s="146">
        <v>194.79675365</v>
      </c>
      <c r="D14" s="147">
        <v>3.42117480345434</v>
      </c>
      <c r="E14" s="146">
        <v>31.64560926</v>
      </c>
      <c r="F14" s="147">
        <v>14.7871370167351</v>
      </c>
      <c r="G14" s="146">
        <v>48.92950817</v>
      </c>
      <c r="H14" s="147">
        <v>3.17323815135258</v>
      </c>
      <c r="I14" s="146">
        <v>63.63020598</v>
      </c>
      <c r="J14" s="147">
        <v>1.6148529856852</v>
      </c>
      <c r="K14" s="146">
        <v>79.09663397</v>
      </c>
      <c r="L14" s="147">
        <v>2.76368655207484</v>
      </c>
    </row>
    <row r="15" ht="26.1" customHeight="1" spans="1:12">
      <c r="A15" s="257" t="s">
        <v>257</v>
      </c>
      <c r="B15" s="258" t="s">
        <v>184</v>
      </c>
      <c r="C15" s="146">
        <v>781.4125</v>
      </c>
      <c r="D15" s="147">
        <v>-1.68191197564105</v>
      </c>
      <c r="E15" s="146">
        <v>237.8618</v>
      </c>
      <c r="F15" s="147">
        <v>8.72380085219508</v>
      </c>
      <c r="G15" s="146">
        <v>323.5096</v>
      </c>
      <c r="H15" s="147">
        <v>13.0974892403256</v>
      </c>
      <c r="I15" s="146">
        <v>399.618</v>
      </c>
      <c r="J15" s="147">
        <v>14.2220644450961</v>
      </c>
      <c r="K15" s="146">
        <v>459.2618</v>
      </c>
      <c r="L15" s="147">
        <v>13.1918543393204</v>
      </c>
    </row>
    <row r="16" ht="26.1" customHeight="1" spans="1:12">
      <c r="A16" s="257" t="s">
        <v>258</v>
      </c>
      <c r="B16" s="258" t="s">
        <v>259</v>
      </c>
      <c r="C16" s="146">
        <v>1.88919318</v>
      </c>
      <c r="D16" s="147">
        <v>-0.552073795217878</v>
      </c>
      <c r="E16" s="146">
        <v>0.58179904</v>
      </c>
      <c r="F16" s="147">
        <v>7.56962486889583</v>
      </c>
      <c r="G16" s="146">
        <v>0.79059707</v>
      </c>
      <c r="H16" s="147">
        <v>12.6366734485897</v>
      </c>
      <c r="I16" s="146">
        <v>0.97439401</v>
      </c>
      <c r="J16" s="147">
        <v>13.7777466033969</v>
      </c>
      <c r="K16" s="146">
        <v>1.11499247</v>
      </c>
      <c r="L16" s="147">
        <v>12.9377578087617</v>
      </c>
    </row>
    <row r="17" ht="26.1" customHeight="1" spans="1:12">
      <c r="A17" s="255" t="s">
        <v>261</v>
      </c>
      <c r="B17" s="256"/>
      <c r="C17" s="208"/>
      <c r="D17" s="187"/>
      <c r="E17" s="208"/>
      <c r="F17" s="187"/>
      <c r="G17" s="208"/>
      <c r="H17" s="187"/>
      <c r="I17" s="208"/>
      <c r="J17" s="187"/>
      <c r="K17" s="208"/>
      <c r="L17" s="187"/>
    </row>
    <row r="18" ht="26.1" customHeight="1" spans="1:12">
      <c r="A18" s="257" t="s">
        <v>262</v>
      </c>
      <c r="B18" s="258" t="s">
        <v>11</v>
      </c>
      <c r="C18" s="150">
        <v>30.66530002</v>
      </c>
      <c r="D18" s="151">
        <v>10.9125342174434</v>
      </c>
      <c r="E18" s="150">
        <v>5.11253257</v>
      </c>
      <c r="F18" s="151">
        <v>12.3980192062225</v>
      </c>
      <c r="G18" s="150">
        <v>7.81331296</v>
      </c>
      <c r="H18" s="151">
        <v>10.5487451597139</v>
      </c>
      <c r="I18" s="150">
        <v>10.67047859</v>
      </c>
      <c r="J18" s="151">
        <v>11.3783598782805</v>
      </c>
      <c r="K18" s="150">
        <v>13.81035336</v>
      </c>
      <c r="L18" s="151">
        <v>11.8646642297102</v>
      </c>
    </row>
    <row r="19" ht="26.1" customHeight="1" spans="1:12">
      <c r="A19" s="234" t="s">
        <v>263</v>
      </c>
      <c r="B19" s="235" t="s">
        <v>11</v>
      </c>
      <c r="C19" s="146">
        <v>0.148189</v>
      </c>
      <c r="D19" s="147">
        <v>-9.5791028019135</v>
      </c>
      <c r="E19" s="146">
        <v>0.02635</v>
      </c>
      <c r="F19" s="147">
        <v>-4.99026465709959</v>
      </c>
      <c r="G19" s="146">
        <v>0.041413</v>
      </c>
      <c r="H19" s="147">
        <v>-3.45944937874443</v>
      </c>
      <c r="I19" s="146">
        <v>0.051886</v>
      </c>
      <c r="J19" s="147">
        <v>-3.41939206671258</v>
      </c>
      <c r="K19" s="146">
        <v>0.062336</v>
      </c>
      <c r="L19" s="147">
        <v>-5.27739366955888</v>
      </c>
    </row>
    <row r="20" ht="26.1" customHeight="1" spans="1:12">
      <c r="A20" s="234" t="s">
        <v>264</v>
      </c>
      <c r="B20" s="235" t="s">
        <v>11</v>
      </c>
      <c r="C20" s="146">
        <v>18.95636791</v>
      </c>
      <c r="D20" s="147">
        <v>12.3549869467773</v>
      </c>
      <c r="E20" s="146">
        <v>3.10576561</v>
      </c>
      <c r="F20" s="147">
        <v>14.1592824492477</v>
      </c>
      <c r="G20" s="146">
        <v>4.92777656</v>
      </c>
      <c r="H20" s="147">
        <v>15.730965686054</v>
      </c>
      <c r="I20" s="146">
        <v>6.83788432</v>
      </c>
      <c r="J20" s="147">
        <v>16.3988811879821</v>
      </c>
      <c r="K20" s="146">
        <v>9.0113544</v>
      </c>
      <c r="L20" s="147">
        <v>16.5049363091619</v>
      </c>
    </row>
    <row r="21" ht="26.1" customHeight="1" spans="1:12">
      <c r="A21" s="259" t="s">
        <v>265</v>
      </c>
      <c r="B21" s="260" t="s">
        <v>266</v>
      </c>
      <c r="C21" s="146">
        <v>33.9573849973</v>
      </c>
      <c r="D21" s="147">
        <v>16.9176116138145</v>
      </c>
      <c r="E21" s="146">
        <v>5.6124526585</v>
      </c>
      <c r="F21" s="147">
        <v>15.0838863893058</v>
      </c>
      <c r="G21" s="146">
        <v>8.9930042622</v>
      </c>
      <c r="H21" s="147">
        <v>13.6499110268808</v>
      </c>
      <c r="I21" s="146">
        <v>12.5447923365</v>
      </c>
      <c r="J21" s="147">
        <v>15.6995428300894</v>
      </c>
      <c r="K21" s="146">
        <v>16.4350293044</v>
      </c>
      <c r="L21" s="147">
        <v>18.4257440027918</v>
      </c>
    </row>
    <row r="22" ht="26.1" customHeight="1" spans="1:12">
      <c r="A22" s="259" t="s">
        <v>267</v>
      </c>
      <c r="B22" s="260" t="s">
        <v>218</v>
      </c>
      <c r="C22" s="146">
        <v>27478.6788</v>
      </c>
      <c r="D22" s="147">
        <v>14.8154688190505</v>
      </c>
      <c r="E22" s="146">
        <v>4054.3065</v>
      </c>
      <c r="F22" s="147">
        <v>17.6867113532734</v>
      </c>
      <c r="G22" s="146">
        <v>6917.8359</v>
      </c>
      <c r="H22" s="147">
        <v>16.4147319522552</v>
      </c>
      <c r="I22" s="146">
        <v>10217.2985</v>
      </c>
      <c r="J22" s="147">
        <v>20.1363089268605</v>
      </c>
      <c r="K22" s="146">
        <v>13951.3116</v>
      </c>
      <c r="L22" s="147">
        <v>24.7411571505965</v>
      </c>
    </row>
    <row r="23" ht="26.1" customHeight="1" spans="1:12">
      <c r="A23" s="259" t="s">
        <v>268</v>
      </c>
      <c r="B23" s="260" t="s">
        <v>218</v>
      </c>
      <c r="C23" s="146">
        <v>25298.8688</v>
      </c>
      <c r="D23" s="147">
        <v>17.309989487303</v>
      </c>
      <c r="E23" s="146">
        <v>3747.3565</v>
      </c>
      <c r="F23" s="147">
        <v>20.4581674472183</v>
      </c>
      <c r="G23" s="146">
        <v>6437.7859</v>
      </c>
      <c r="H23" s="147">
        <v>19.0468321736483</v>
      </c>
      <c r="I23" s="146">
        <v>9571.0085</v>
      </c>
      <c r="J23" s="147">
        <v>22.7952114349222</v>
      </c>
      <c r="K23" s="146">
        <v>13141.1716</v>
      </c>
      <c r="L23" s="147">
        <v>27.611708579216</v>
      </c>
    </row>
    <row r="24" ht="26.1" customHeight="1" spans="1:12">
      <c r="A24" s="259" t="s">
        <v>269</v>
      </c>
      <c r="B24" s="260" t="s">
        <v>218</v>
      </c>
      <c r="C24" s="146">
        <v>1358.6593</v>
      </c>
      <c r="D24" s="147">
        <v>18.6316153164491</v>
      </c>
      <c r="E24" s="146">
        <v>247.5824</v>
      </c>
      <c r="F24" s="147">
        <v>25.2491628805106</v>
      </c>
      <c r="G24" s="146">
        <v>381.3434</v>
      </c>
      <c r="H24" s="147">
        <v>24.985054629263</v>
      </c>
      <c r="I24" s="146">
        <v>510.3296</v>
      </c>
      <c r="J24" s="147">
        <v>25.2328747289907</v>
      </c>
      <c r="K24" s="146">
        <v>651.1433</v>
      </c>
      <c r="L24" s="147">
        <v>25.43423732059</v>
      </c>
    </row>
    <row r="25" ht="26.1" customHeight="1" spans="1:12">
      <c r="A25" s="259" t="s">
        <v>270</v>
      </c>
      <c r="B25" s="260" t="s">
        <v>218</v>
      </c>
      <c r="C25" s="146">
        <v>23935.314</v>
      </c>
      <c r="D25" s="147">
        <v>17.2385790929399</v>
      </c>
      <c r="E25" s="146">
        <v>3499.1155</v>
      </c>
      <c r="F25" s="147">
        <v>20.1405869712572</v>
      </c>
      <c r="G25" s="146">
        <v>6055.4702</v>
      </c>
      <c r="H25" s="147">
        <v>18.6983625033879</v>
      </c>
      <c r="I25" s="146">
        <v>9059.39</v>
      </c>
      <c r="J25" s="147">
        <v>22.6676612894534</v>
      </c>
      <c r="K25" s="146">
        <v>12488.4466</v>
      </c>
      <c r="L25" s="147">
        <v>27.7348395659</v>
      </c>
    </row>
    <row r="26" ht="26.1" customHeight="1" spans="1:12">
      <c r="A26" s="261" t="s">
        <v>271</v>
      </c>
      <c r="B26" s="262" t="s">
        <v>218</v>
      </c>
      <c r="C26" s="153">
        <v>4.8955</v>
      </c>
      <c r="D26" s="154">
        <v>5.32260493534993</v>
      </c>
      <c r="E26" s="153">
        <v>0.6586</v>
      </c>
      <c r="F26" s="154">
        <v>-9.79317901657307</v>
      </c>
      <c r="G26" s="153">
        <v>0.9723</v>
      </c>
      <c r="H26" s="154">
        <v>-11.8495013599275</v>
      </c>
      <c r="I26" s="153">
        <v>1.2889</v>
      </c>
      <c r="J26" s="154">
        <v>-12.1942911642482</v>
      </c>
      <c r="K26" s="153">
        <v>1.5817</v>
      </c>
      <c r="L26" s="154">
        <v>-12.8683964083072</v>
      </c>
    </row>
  </sheetData>
  <mergeCells count="8">
    <mergeCell ref="A1:L1"/>
    <mergeCell ref="C2:D2"/>
    <mergeCell ref="E2:F2"/>
    <mergeCell ref="G2:H2"/>
    <mergeCell ref="I2:J2"/>
    <mergeCell ref="K2:L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29"/>
  <sheetViews>
    <sheetView zoomScale="80" zoomScaleNormal="80" workbookViewId="0">
      <pane xSplit="2" ySplit="3" topLeftCell="C4" activePane="bottomRight" state="frozen"/>
      <selection/>
      <selection pane="topRight"/>
      <selection pane="bottomLeft"/>
      <selection pane="bottomRight" activeCell="G22" sqref="G22"/>
    </sheetView>
  </sheetViews>
  <sheetFormatPr defaultColWidth="9" defaultRowHeight="14.25"/>
  <cols>
    <col min="1" max="1" width="31.375" style="228" customWidth="1"/>
    <col min="2" max="2" width="9.625" style="228" customWidth="1"/>
    <col min="3" max="3" width="9.84166666666667" style="228" customWidth="1"/>
    <col min="4" max="12" width="9.525" style="228" customWidth="1"/>
    <col min="13" max="16384" width="9" style="228"/>
  </cols>
  <sheetData>
    <row r="1" ht="24.95" customHeight="1" spans="1:12">
      <c r="A1" s="135" t="s">
        <v>76</v>
      </c>
      <c r="B1" s="135"/>
      <c r="C1" s="135"/>
      <c r="D1" s="135"/>
      <c r="E1" s="135"/>
      <c r="F1" s="135"/>
      <c r="G1" s="135"/>
      <c r="H1" s="135"/>
      <c r="I1" s="135"/>
      <c r="J1" s="135"/>
      <c r="K1" s="135"/>
      <c r="L1" s="135"/>
    </row>
    <row r="2" ht="21" customHeight="1" spans="1:12">
      <c r="A2" s="136" t="s">
        <v>1</v>
      </c>
      <c r="B2" s="230" t="s">
        <v>94</v>
      </c>
      <c r="C2" s="137" t="s">
        <v>3</v>
      </c>
      <c r="D2" s="138"/>
      <c r="E2" s="137" t="s">
        <v>4</v>
      </c>
      <c r="F2" s="138"/>
      <c r="G2" s="137" t="s">
        <v>5</v>
      </c>
      <c r="H2" s="138"/>
      <c r="I2" s="137" t="s">
        <v>6</v>
      </c>
      <c r="J2" s="138"/>
      <c r="K2" s="137" t="s">
        <v>7</v>
      </c>
      <c r="L2" s="138"/>
    </row>
    <row r="3" ht="21" customHeight="1" spans="1:12">
      <c r="A3" s="139"/>
      <c r="B3" s="231"/>
      <c r="C3" s="140" t="s">
        <v>8</v>
      </c>
      <c r="D3" s="141" t="s">
        <v>9</v>
      </c>
      <c r="E3" s="140" t="s">
        <v>8</v>
      </c>
      <c r="F3" s="141" t="s">
        <v>9</v>
      </c>
      <c r="G3" s="140" t="s">
        <v>8</v>
      </c>
      <c r="H3" s="141" t="s">
        <v>9</v>
      </c>
      <c r="I3" s="140" t="s">
        <v>8</v>
      </c>
      <c r="J3" s="141" t="s">
        <v>9</v>
      </c>
      <c r="K3" s="140" t="s">
        <v>8</v>
      </c>
      <c r="L3" s="141" t="s">
        <v>9</v>
      </c>
    </row>
    <row r="4" ht="24" customHeight="1" spans="1:12">
      <c r="A4" s="232" t="s">
        <v>76</v>
      </c>
      <c r="B4" s="233" t="s">
        <v>11</v>
      </c>
      <c r="C4" s="208"/>
      <c r="D4" s="187">
        <v>-13</v>
      </c>
      <c r="E4" s="208"/>
      <c r="F4" s="187">
        <v>6.2</v>
      </c>
      <c r="G4" s="208"/>
      <c r="H4" s="187">
        <v>10</v>
      </c>
      <c r="I4" s="208"/>
      <c r="J4" s="187">
        <v>0.2</v>
      </c>
      <c r="K4" s="208"/>
      <c r="L4" s="187">
        <v>-6.3</v>
      </c>
    </row>
    <row r="5" ht="24" customHeight="1" spans="1:12">
      <c r="A5" s="234" t="s">
        <v>272</v>
      </c>
      <c r="B5" s="235" t="s">
        <v>11</v>
      </c>
      <c r="C5" s="146"/>
      <c r="D5" s="147">
        <v>-10.140220588795</v>
      </c>
      <c r="E5" s="146"/>
      <c r="F5" s="147">
        <v>9.56904461054238</v>
      </c>
      <c r="G5" s="146"/>
      <c r="H5" s="147">
        <v>11.8865445446023</v>
      </c>
      <c r="I5" s="146"/>
      <c r="J5" s="147">
        <v>0.897604918453766</v>
      </c>
      <c r="K5" s="146"/>
      <c r="L5" s="147">
        <v>-6.05288130222056</v>
      </c>
    </row>
    <row r="6" ht="24" customHeight="1" spans="1:12">
      <c r="A6" s="234" t="s">
        <v>273</v>
      </c>
      <c r="B6" s="235" t="s">
        <v>11</v>
      </c>
      <c r="C6" s="146"/>
      <c r="D6" s="147">
        <v>6</v>
      </c>
      <c r="E6" s="146"/>
      <c r="F6" s="147">
        <v>26.1</v>
      </c>
      <c r="G6" s="146"/>
      <c r="H6" s="147">
        <v>26</v>
      </c>
      <c r="I6" s="146"/>
      <c r="J6" s="147">
        <v>14.1</v>
      </c>
      <c r="K6" s="146"/>
      <c r="L6" s="147">
        <v>6.8</v>
      </c>
    </row>
    <row r="7" ht="24" customHeight="1" spans="1:12">
      <c r="A7" s="234" t="s">
        <v>274</v>
      </c>
      <c r="B7" s="235" t="s">
        <v>11</v>
      </c>
      <c r="C7" s="146"/>
      <c r="D7" s="147">
        <v>12.6</v>
      </c>
      <c r="E7" s="146"/>
      <c r="F7" s="147">
        <v>11.4</v>
      </c>
      <c r="G7" s="146"/>
      <c r="H7" s="147">
        <v>11.9</v>
      </c>
      <c r="I7" s="146"/>
      <c r="J7" s="147">
        <v>8.5</v>
      </c>
      <c r="K7" s="146"/>
      <c r="L7" s="147">
        <v>8.2</v>
      </c>
    </row>
    <row r="8" ht="24" customHeight="1" spans="1:12">
      <c r="A8" s="234" t="s">
        <v>275</v>
      </c>
      <c r="B8" s="235" t="s">
        <v>11</v>
      </c>
      <c r="C8" s="146"/>
      <c r="D8" s="147">
        <v>-6.9</v>
      </c>
      <c r="E8" s="146"/>
      <c r="F8" s="147">
        <v>23.1</v>
      </c>
      <c r="G8" s="146"/>
      <c r="H8" s="147">
        <v>39.3</v>
      </c>
      <c r="I8" s="146"/>
      <c r="J8" s="147">
        <v>23.6</v>
      </c>
      <c r="K8" s="146"/>
      <c r="L8" s="147">
        <v>19.6</v>
      </c>
    </row>
    <row r="9" ht="24" customHeight="1" spans="1:12">
      <c r="A9" s="234" t="s">
        <v>276</v>
      </c>
      <c r="B9" s="235" t="s">
        <v>11</v>
      </c>
      <c r="C9" s="146"/>
      <c r="D9" s="147">
        <v>-13</v>
      </c>
      <c r="E9" s="146"/>
      <c r="F9" s="147">
        <v>4.5</v>
      </c>
      <c r="G9" s="146"/>
      <c r="H9" s="147">
        <v>-7.3</v>
      </c>
      <c r="I9" s="146"/>
      <c r="J9" s="147">
        <v>-17.5</v>
      </c>
      <c r="K9" s="146"/>
      <c r="L9" s="147">
        <v>-25</v>
      </c>
    </row>
    <row r="10" ht="24" customHeight="1" spans="1:12">
      <c r="A10" s="234" t="s">
        <v>277</v>
      </c>
      <c r="B10" s="235" t="s">
        <v>11</v>
      </c>
      <c r="C10" s="146"/>
      <c r="D10" s="147">
        <v>-25.8</v>
      </c>
      <c r="E10" s="146"/>
      <c r="F10" s="147">
        <v>-7.3</v>
      </c>
      <c r="G10" s="146"/>
      <c r="H10" s="147">
        <v>-22.7</v>
      </c>
      <c r="I10" s="146"/>
      <c r="J10" s="147">
        <v>-33.4</v>
      </c>
      <c r="K10" s="146"/>
      <c r="L10" s="147">
        <v>-40.5</v>
      </c>
    </row>
    <row r="11" ht="24" customHeight="1" spans="1:12">
      <c r="A11" s="234" t="s">
        <v>278</v>
      </c>
      <c r="B11" s="235" t="s">
        <v>11</v>
      </c>
      <c r="C11" s="146"/>
      <c r="D11" s="147">
        <v>10.4</v>
      </c>
      <c r="E11" s="146"/>
      <c r="F11" s="147">
        <v>-6.4</v>
      </c>
      <c r="G11" s="146"/>
      <c r="H11" s="147">
        <v>-4.9</v>
      </c>
      <c r="I11" s="146"/>
      <c r="J11" s="147">
        <v>-19.3</v>
      </c>
      <c r="K11" s="146"/>
      <c r="L11" s="147">
        <v>-29.1</v>
      </c>
    </row>
    <row r="12" ht="24" customHeight="1" spans="1:12">
      <c r="A12" s="234" t="s">
        <v>279</v>
      </c>
      <c r="B12" s="235" t="s">
        <v>11</v>
      </c>
      <c r="C12" s="146"/>
      <c r="D12" s="147">
        <v>-26</v>
      </c>
      <c r="E12" s="146"/>
      <c r="F12" s="147">
        <v>-8.6</v>
      </c>
      <c r="G12" s="146"/>
      <c r="H12" s="147">
        <v>0</v>
      </c>
      <c r="I12" s="146"/>
      <c r="J12" s="147">
        <v>-3.4</v>
      </c>
      <c r="K12" s="146"/>
      <c r="L12" s="147">
        <v>-7.7</v>
      </c>
    </row>
    <row r="13" ht="24" customHeight="1" spans="1:12">
      <c r="A13" s="234" t="s">
        <v>280</v>
      </c>
      <c r="B13" s="235" t="s">
        <v>11</v>
      </c>
      <c r="C13" s="146"/>
      <c r="D13" s="147">
        <v>-23.2</v>
      </c>
      <c r="E13" s="146"/>
      <c r="F13" s="147">
        <v>195.9</v>
      </c>
      <c r="G13" s="146"/>
      <c r="H13" s="147">
        <v>92.4</v>
      </c>
      <c r="I13" s="146"/>
      <c r="J13" s="147">
        <v>53.1</v>
      </c>
      <c r="K13" s="146"/>
      <c r="L13" s="147">
        <v>22.5</v>
      </c>
    </row>
    <row r="14" ht="24" customHeight="1" spans="1:12">
      <c r="A14" s="234" t="s">
        <v>281</v>
      </c>
      <c r="B14" s="235" t="s">
        <v>11</v>
      </c>
      <c r="C14" s="146"/>
      <c r="D14" s="147">
        <v>-13.1</v>
      </c>
      <c r="E14" s="146"/>
      <c r="F14" s="147">
        <v>4.5</v>
      </c>
      <c r="G14" s="146"/>
      <c r="H14" s="147">
        <v>-7.2</v>
      </c>
      <c r="I14" s="146"/>
      <c r="J14" s="147">
        <v>-17.4</v>
      </c>
      <c r="K14" s="146"/>
      <c r="L14" s="147">
        <v>-24.9</v>
      </c>
    </row>
    <row r="15" ht="24" customHeight="1" spans="1:12">
      <c r="A15" s="234" t="s">
        <v>282</v>
      </c>
      <c r="B15" s="235" t="s">
        <v>11</v>
      </c>
      <c r="C15" s="146"/>
      <c r="D15" s="147">
        <v>-12.6</v>
      </c>
      <c r="E15" s="146"/>
      <c r="F15" s="147">
        <v>5.4</v>
      </c>
      <c r="G15" s="146"/>
      <c r="H15" s="147">
        <v>25.9</v>
      </c>
      <c r="I15" s="146"/>
      <c r="J15" s="147">
        <v>18</v>
      </c>
      <c r="K15" s="146"/>
      <c r="L15" s="147">
        <v>14.1</v>
      </c>
    </row>
    <row r="16" ht="24" customHeight="1" spans="1:12">
      <c r="A16" s="236" t="s">
        <v>283</v>
      </c>
      <c r="B16" s="237" t="s">
        <v>167</v>
      </c>
      <c r="C16" s="238">
        <v>1531</v>
      </c>
      <c r="D16" s="187">
        <v>3.2</v>
      </c>
      <c r="E16" s="238">
        <v>716</v>
      </c>
      <c r="F16" s="187">
        <v>14.2</v>
      </c>
      <c r="G16" s="238">
        <v>983</v>
      </c>
      <c r="H16" s="187">
        <v>16.7</v>
      </c>
      <c r="I16" s="238">
        <v>1059</v>
      </c>
      <c r="J16" s="187">
        <v>14.4</v>
      </c>
      <c r="K16" s="238">
        <v>1134</v>
      </c>
      <c r="L16" s="187">
        <v>13.3</v>
      </c>
    </row>
    <row r="17" ht="24" customHeight="1" spans="1:12">
      <c r="A17" s="234" t="s">
        <v>284</v>
      </c>
      <c r="B17" s="235" t="s">
        <v>167</v>
      </c>
      <c r="C17" s="239">
        <v>646</v>
      </c>
      <c r="D17" s="147">
        <v>0.5</v>
      </c>
      <c r="E17" s="239">
        <v>398</v>
      </c>
      <c r="F17" s="147">
        <v>13.7</v>
      </c>
      <c r="G17" s="239">
        <v>507</v>
      </c>
      <c r="H17" s="147">
        <v>13.4</v>
      </c>
      <c r="I17" s="239">
        <v>530</v>
      </c>
      <c r="J17" s="147">
        <v>10.4</v>
      </c>
      <c r="K17" s="239">
        <v>553</v>
      </c>
      <c r="L17" s="147">
        <v>8.6</v>
      </c>
    </row>
    <row r="18" ht="24" customHeight="1" spans="1:12">
      <c r="A18" s="234" t="s">
        <v>285</v>
      </c>
      <c r="B18" s="235" t="s">
        <v>167</v>
      </c>
      <c r="C18" s="239">
        <v>761</v>
      </c>
      <c r="D18" s="147">
        <v>8.6</v>
      </c>
      <c r="E18" s="239">
        <v>323</v>
      </c>
      <c r="F18" s="147">
        <v>11.4</v>
      </c>
      <c r="G18" s="239">
        <v>417</v>
      </c>
      <c r="H18" s="147">
        <v>6.9</v>
      </c>
      <c r="I18" s="239">
        <v>457</v>
      </c>
      <c r="J18" s="147">
        <v>6.3</v>
      </c>
      <c r="K18" s="239">
        <v>491</v>
      </c>
      <c r="L18" s="147">
        <v>4.5</v>
      </c>
    </row>
    <row r="19" ht="24" customHeight="1" spans="1:12">
      <c r="A19" s="234" t="s">
        <v>286</v>
      </c>
      <c r="B19" s="235" t="s">
        <v>167</v>
      </c>
      <c r="C19" s="239">
        <v>984</v>
      </c>
      <c r="D19" s="147">
        <v>16.6</v>
      </c>
      <c r="E19" s="239">
        <v>759</v>
      </c>
      <c r="F19" s="147">
        <v>11.9</v>
      </c>
      <c r="G19" s="239">
        <v>845</v>
      </c>
      <c r="H19" s="147">
        <v>17.7</v>
      </c>
      <c r="I19" s="239">
        <v>858</v>
      </c>
      <c r="J19" s="147">
        <v>16.6</v>
      </c>
      <c r="K19" s="239">
        <v>872</v>
      </c>
      <c r="L19" s="147">
        <v>14.4</v>
      </c>
    </row>
    <row r="20" ht="24" customHeight="1" spans="1:12">
      <c r="A20" s="234" t="s">
        <v>287</v>
      </c>
      <c r="B20" s="235" t="s">
        <v>167</v>
      </c>
      <c r="C20" s="239">
        <v>65</v>
      </c>
      <c r="D20" s="147">
        <v>-14.5</v>
      </c>
      <c r="E20" s="239">
        <v>36</v>
      </c>
      <c r="F20" s="147">
        <v>24.1</v>
      </c>
      <c r="G20" s="239">
        <v>45</v>
      </c>
      <c r="H20" s="147">
        <v>40.625</v>
      </c>
      <c r="I20" s="239">
        <v>47</v>
      </c>
      <c r="J20" s="147">
        <v>38.235294117647</v>
      </c>
      <c r="K20" s="239">
        <v>51</v>
      </c>
      <c r="L20" s="147">
        <v>34.2105263157895</v>
      </c>
    </row>
    <row r="21" ht="24" customHeight="1" spans="1:12">
      <c r="A21" s="236" t="s">
        <v>288</v>
      </c>
      <c r="B21" s="237" t="s">
        <v>167</v>
      </c>
      <c r="C21" s="238">
        <v>345</v>
      </c>
      <c r="D21" s="187">
        <v>-4.2</v>
      </c>
      <c r="E21" s="238">
        <v>304</v>
      </c>
      <c r="F21" s="187">
        <v>-8.4</v>
      </c>
      <c r="G21" s="238">
        <v>309</v>
      </c>
      <c r="H21" s="187">
        <v>-8</v>
      </c>
      <c r="I21" s="238">
        <v>308</v>
      </c>
      <c r="J21" s="187">
        <v>-8.6</v>
      </c>
      <c r="K21" s="238">
        <v>308</v>
      </c>
      <c r="L21" s="187">
        <v>-9.1</v>
      </c>
    </row>
    <row r="22" ht="24" customHeight="1" spans="1:12">
      <c r="A22" s="236" t="s">
        <v>289</v>
      </c>
      <c r="B22" s="237" t="s">
        <v>43</v>
      </c>
      <c r="C22" s="208">
        <v>3036.75</v>
      </c>
      <c r="D22" s="187">
        <v>-6.7</v>
      </c>
      <c r="E22" s="208">
        <v>2671.15</v>
      </c>
      <c r="F22" s="187">
        <v>-7.1</v>
      </c>
      <c r="G22" s="208">
        <v>2748.45</v>
      </c>
      <c r="H22" s="187">
        <v>-4.7</v>
      </c>
      <c r="I22" s="208">
        <v>2757.6</v>
      </c>
      <c r="J22" s="187">
        <v>-4.4</v>
      </c>
      <c r="K22" s="208">
        <v>2762.98</v>
      </c>
      <c r="L22" s="187">
        <v>-4.6</v>
      </c>
    </row>
    <row r="23" ht="24" customHeight="1" spans="1:12">
      <c r="A23" s="234" t="s">
        <v>290</v>
      </c>
      <c r="B23" s="235" t="s">
        <v>43</v>
      </c>
      <c r="C23" s="146">
        <v>2154.64</v>
      </c>
      <c r="D23" s="147">
        <v>-8</v>
      </c>
      <c r="E23" s="146">
        <v>1852.8</v>
      </c>
      <c r="F23" s="147">
        <v>-8.5</v>
      </c>
      <c r="G23" s="146">
        <v>1875.71</v>
      </c>
      <c r="H23" s="147">
        <v>-7.8</v>
      </c>
      <c r="I23" s="146">
        <v>1884.83</v>
      </c>
      <c r="J23" s="147">
        <v>-7.2</v>
      </c>
      <c r="K23" s="146">
        <v>1888.25</v>
      </c>
      <c r="L23" s="147">
        <v>-7.3</v>
      </c>
    </row>
    <row r="24" s="228" customFormat="1" ht="24" customHeight="1" spans="1:12">
      <c r="A24" s="236" t="s">
        <v>291</v>
      </c>
      <c r="B24" s="237" t="s">
        <v>43</v>
      </c>
      <c r="C24" s="240">
        <v>243.82</v>
      </c>
      <c r="D24" s="241">
        <v>-4.5</v>
      </c>
      <c r="E24" s="240">
        <v>28.54</v>
      </c>
      <c r="F24" s="241">
        <v>-39.7</v>
      </c>
      <c r="G24" s="240">
        <v>50.98</v>
      </c>
      <c r="H24" s="241">
        <v>-25.7</v>
      </c>
      <c r="I24" s="240">
        <v>67.25</v>
      </c>
      <c r="J24" s="241">
        <v>-24.6</v>
      </c>
      <c r="K24" s="240">
        <v>87.46</v>
      </c>
      <c r="L24" s="241">
        <v>-21.2</v>
      </c>
    </row>
    <row r="25" s="228" customFormat="1" ht="24" customHeight="1" spans="1:12">
      <c r="A25" s="242" t="s">
        <v>290</v>
      </c>
      <c r="B25" s="243" t="s">
        <v>43</v>
      </c>
      <c r="C25" s="244">
        <v>223.61</v>
      </c>
      <c r="D25" s="245">
        <v>-5.8</v>
      </c>
      <c r="E25" s="244">
        <v>26.77</v>
      </c>
      <c r="F25" s="245">
        <v>-37.7</v>
      </c>
      <c r="G25" s="244">
        <v>48.34</v>
      </c>
      <c r="H25" s="245">
        <v>-23.7</v>
      </c>
      <c r="I25" s="244">
        <v>63.96</v>
      </c>
      <c r="J25" s="245">
        <v>-21.7</v>
      </c>
      <c r="K25" s="244">
        <v>82.39</v>
      </c>
      <c r="L25" s="245">
        <v>-19.2</v>
      </c>
    </row>
    <row r="26" s="228" customFormat="1" ht="24" customHeight="1" spans="1:12">
      <c r="A26" s="246" t="s">
        <v>292</v>
      </c>
      <c r="B26" s="247" t="s">
        <v>11</v>
      </c>
      <c r="C26" s="240">
        <v>202.67</v>
      </c>
      <c r="D26" s="241">
        <v>-11.5</v>
      </c>
      <c r="E26" s="240">
        <v>24.18</v>
      </c>
      <c r="F26" s="241">
        <v>-38.4</v>
      </c>
      <c r="G26" s="240">
        <v>42.22</v>
      </c>
      <c r="H26" s="241">
        <v>-27</v>
      </c>
      <c r="I26" s="240">
        <v>55.67</v>
      </c>
      <c r="J26" s="241">
        <v>-25</v>
      </c>
      <c r="K26" s="240">
        <v>72.67</v>
      </c>
      <c r="L26" s="241">
        <v>-21.6</v>
      </c>
    </row>
    <row r="27" s="228" customFormat="1" ht="24" customHeight="1" spans="1:12">
      <c r="A27" s="248" t="s">
        <v>290</v>
      </c>
      <c r="B27" s="249" t="s">
        <v>11</v>
      </c>
      <c r="C27" s="250">
        <v>188.05</v>
      </c>
      <c r="D27" s="251">
        <v>-12.5</v>
      </c>
      <c r="E27" s="250">
        <v>22.09</v>
      </c>
      <c r="F27" s="251">
        <v>-38.9</v>
      </c>
      <c r="G27" s="250">
        <v>39.38</v>
      </c>
      <c r="H27" s="251">
        <v>-26.8</v>
      </c>
      <c r="I27" s="250">
        <v>52.12</v>
      </c>
      <c r="J27" s="251">
        <v>-24.5</v>
      </c>
      <c r="K27" s="250">
        <v>67.46</v>
      </c>
      <c r="L27" s="251">
        <v>-22.1</v>
      </c>
    </row>
    <row r="29" s="229" customFormat="1" ht="18" customHeight="1" spans="1:12">
      <c r="A29" s="252" t="s">
        <v>293</v>
      </c>
      <c r="B29" s="252"/>
      <c r="C29" s="252"/>
      <c r="D29" s="252"/>
      <c r="E29" s="252"/>
      <c r="F29" s="252"/>
      <c r="G29" s="252"/>
      <c r="H29" s="252"/>
      <c r="I29" s="252"/>
      <c r="J29" s="252"/>
      <c r="K29" s="252"/>
      <c r="L29" s="252"/>
    </row>
  </sheetData>
  <mergeCells count="9">
    <mergeCell ref="A1:L1"/>
    <mergeCell ref="C2:D2"/>
    <mergeCell ref="E2:F2"/>
    <mergeCell ref="G2:H2"/>
    <mergeCell ref="I2:J2"/>
    <mergeCell ref="K2:L2"/>
    <mergeCell ref="A29:L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Z31"/>
  <sheetViews>
    <sheetView zoomScale="90" zoomScaleNormal="90" workbookViewId="0">
      <pane xSplit="1" ySplit="3" topLeftCell="B4" activePane="bottomRight" state="frozen"/>
      <selection/>
      <selection pane="topRight"/>
      <selection pane="bottomLeft"/>
      <selection pane="bottomRight" activeCell="B15" sqref="B15"/>
    </sheetView>
  </sheetViews>
  <sheetFormatPr defaultColWidth="9" defaultRowHeight="14.25"/>
  <cols>
    <col min="1" max="1" width="30.1416666666667" style="133" customWidth="1"/>
    <col min="2" max="11" width="8.88333333333333" style="133" customWidth="1"/>
    <col min="12" max="156" width="9" style="133"/>
    <col min="157" max="16384" width="9" style="134"/>
  </cols>
  <sheetData>
    <row r="1" ht="28.5" customHeight="1" spans="1:156">
      <c r="A1" s="135" t="s">
        <v>77</v>
      </c>
      <c r="B1" s="135"/>
      <c r="C1" s="135"/>
      <c r="D1" s="135"/>
      <c r="E1" s="135"/>
      <c r="F1" s="135"/>
      <c r="G1" s="135"/>
      <c r="H1" s="135"/>
      <c r="I1" s="135"/>
      <c r="J1" s="135"/>
      <c r="K1" s="135"/>
    </row>
    <row r="2" ht="20.85" customHeight="1" spans="1:156">
      <c r="A2" s="136" t="s">
        <v>1</v>
      </c>
      <c r="B2" s="137" t="s">
        <v>3</v>
      </c>
      <c r="C2" s="138"/>
      <c r="D2" s="137" t="s">
        <v>4</v>
      </c>
      <c r="E2" s="138"/>
      <c r="F2" s="137" t="s">
        <v>5</v>
      </c>
      <c r="G2" s="138"/>
      <c r="H2" s="137" t="s">
        <v>6</v>
      </c>
      <c r="I2" s="138"/>
      <c r="J2" s="137" t="s">
        <v>7</v>
      </c>
      <c r="K2" s="138"/>
    </row>
    <row r="3" ht="20.85" customHeight="1" spans="1:156">
      <c r="A3" s="139"/>
      <c r="B3" s="140" t="s">
        <v>8</v>
      </c>
      <c r="C3" s="141" t="s">
        <v>9</v>
      </c>
      <c r="D3" s="140" t="s">
        <v>8</v>
      </c>
      <c r="E3" s="141" t="s">
        <v>9</v>
      </c>
      <c r="F3" s="140" t="s">
        <v>8</v>
      </c>
      <c r="G3" s="141" t="s">
        <v>9</v>
      </c>
      <c r="H3" s="140" t="s">
        <v>8</v>
      </c>
      <c r="I3" s="141" t="s">
        <v>9</v>
      </c>
      <c r="J3" s="140" t="s">
        <v>8</v>
      </c>
      <c r="K3" s="141" t="s">
        <v>9</v>
      </c>
    </row>
    <row r="4" s="209" customFormat="1" ht="20.85" customHeight="1" spans="1:156">
      <c r="A4" s="210" t="s">
        <v>294</v>
      </c>
      <c r="B4" s="211">
        <v>1620.0596</v>
      </c>
      <c r="C4" s="212">
        <v>2.84</v>
      </c>
      <c r="D4" s="211">
        <v>263.0814</v>
      </c>
      <c r="E4" s="212">
        <v>1.2456</v>
      </c>
      <c r="F4" s="211">
        <v>386.9953</v>
      </c>
      <c r="G4" s="212">
        <v>1.28</v>
      </c>
      <c r="H4" s="211">
        <v>510.7049</v>
      </c>
      <c r="I4" s="212">
        <v>1.16</v>
      </c>
      <c r="J4" s="211">
        <v>625.3871</v>
      </c>
      <c r="K4" s="212">
        <v>-0.26</v>
      </c>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3"/>
      <c r="BI4" s="213"/>
      <c r="BJ4" s="213"/>
      <c r="BK4" s="213"/>
      <c r="BL4" s="213"/>
      <c r="BM4" s="213"/>
      <c r="BN4" s="213"/>
      <c r="BO4" s="213"/>
      <c r="BP4" s="213"/>
      <c r="BQ4" s="213"/>
      <c r="BR4" s="213"/>
      <c r="BS4" s="213"/>
      <c r="BT4" s="213"/>
      <c r="BU4" s="213"/>
      <c r="BV4" s="213"/>
      <c r="BW4" s="213"/>
      <c r="BX4" s="213"/>
      <c r="BY4" s="213"/>
      <c r="BZ4" s="213"/>
      <c r="CA4" s="213"/>
      <c r="CB4" s="213"/>
      <c r="CC4" s="213"/>
      <c r="CD4" s="213"/>
      <c r="CE4" s="213"/>
      <c r="CF4" s="213"/>
      <c r="CG4" s="213"/>
      <c r="CH4" s="213"/>
      <c r="CI4" s="213"/>
      <c r="CJ4" s="213"/>
      <c r="CK4" s="213"/>
      <c r="CL4" s="213"/>
      <c r="CM4" s="213"/>
      <c r="CN4" s="213"/>
      <c r="CO4" s="213"/>
      <c r="CP4" s="213"/>
      <c r="CQ4" s="213"/>
      <c r="CR4" s="213"/>
      <c r="CS4" s="213"/>
      <c r="CT4" s="213"/>
      <c r="CU4" s="213"/>
      <c r="CV4" s="213"/>
      <c r="CW4" s="213"/>
      <c r="CX4" s="213"/>
      <c r="CY4" s="213"/>
      <c r="CZ4" s="213"/>
      <c r="DA4" s="213"/>
      <c r="DB4" s="213"/>
      <c r="DC4" s="213"/>
      <c r="DD4" s="213"/>
      <c r="DE4" s="213"/>
      <c r="DF4" s="213"/>
      <c r="DG4" s="213"/>
      <c r="DH4" s="213"/>
      <c r="DI4" s="213"/>
      <c r="DJ4" s="213"/>
      <c r="DK4" s="213"/>
      <c r="DL4" s="213"/>
      <c r="DM4" s="213"/>
      <c r="DN4" s="213"/>
      <c r="DO4" s="213"/>
      <c r="DP4" s="213"/>
      <c r="DQ4" s="213"/>
      <c r="DR4" s="213"/>
      <c r="DS4" s="213"/>
      <c r="DT4" s="213"/>
      <c r="DU4" s="213"/>
      <c r="DV4" s="213"/>
      <c r="DW4" s="213"/>
      <c r="DX4" s="213"/>
      <c r="DY4" s="213"/>
      <c r="DZ4" s="213"/>
      <c r="EA4" s="213"/>
      <c r="EB4" s="213"/>
      <c r="EC4" s="213"/>
      <c r="ED4" s="213"/>
      <c r="EE4" s="213"/>
      <c r="EF4" s="213"/>
      <c r="EG4" s="213"/>
      <c r="EH4" s="213"/>
      <c r="EI4" s="213"/>
      <c r="EJ4" s="213"/>
      <c r="EK4" s="213"/>
      <c r="EL4" s="213"/>
      <c r="EM4" s="213"/>
      <c r="EN4" s="213"/>
      <c r="EO4" s="213"/>
      <c r="EP4" s="213"/>
      <c r="EQ4" s="213"/>
      <c r="ER4" s="213"/>
      <c r="ES4" s="213"/>
      <c r="ET4" s="213"/>
      <c r="EU4" s="213"/>
      <c r="EV4" s="213"/>
      <c r="EW4" s="213"/>
      <c r="EX4" s="213"/>
      <c r="EY4" s="213"/>
      <c r="EZ4" s="213"/>
    </row>
    <row r="5" s="209" customFormat="1" ht="20.85" customHeight="1" spans="1:156">
      <c r="A5" s="214" t="s">
        <v>295</v>
      </c>
      <c r="B5" s="215"/>
      <c r="C5" s="216"/>
      <c r="D5" s="215"/>
      <c r="E5" s="216"/>
      <c r="F5" s="215"/>
      <c r="G5" s="216"/>
      <c r="H5" s="215"/>
      <c r="I5" s="216"/>
      <c r="J5" s="215"/>
      <c r="K5" s="216"/>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3"/>
      <c r="BI5" s="213"/>
      <c r="BJ5" s="213"/>
      <c r="BK5" s="213"/>
      <c r="BL5" s="213"/>
      <c r="BM5" s="213"/>
      <c r="BN5" s="213"/>
      <c r="BO5" s="213"/>
      <c r="BP5" s="213"/>
      <c r="BQ5" s="213"/>
      <c r="BR5" s="213"/>
      <c r="BS5" s="213"/>
      <c r="BT5" s="213"/>
      <c r="BU5" s="213"/>
      <c r="BV5" s="213"/>
      <c r="BW5" s="213"/>
      <c r="BX5" s="213"/>
      <c r="BY5" s="213"/>
      <c r="BZ5" s="213"/>
      <c r="CA5" s="213"/>
      <c r="CB5" s="213"/>
      <c r="CC5" s="213"/>
      <c r="CD5" s="213"/>
      <c r="CE5" s="213"/>
      <c r="CF5" s="213"/>
      <c r="CG5" s="213"/>
      <c r="CH5" s="213"/>
      <c r="CI5" s="213"/>
      <c r="CJ5" s="213"/>
      <c r="CK5" s="213"/>
      <c r="CL5" s="213"/>
      <c r="CM5" s="213"/>
      <c r="CN5" s="213"/>
      <c r="CO5" s="213"/>
      <c r="CP5" s="213"/>
      <c r="CQ5" s="213"/>
      <c r="CR5" s="213"/>
      <c r="CS5" s="213"/>
      <c r="CT5" s="213"/>
      <c r="CU5" s="213"/>
      <c r="CV5" s="213"/>
      <c r="CW5" s="213"/>
      <c r="CX5" s="213"/>
      <c r="CY5" s="213"/>
      <c r="CZ5" s="213"/>
      <c r="DA5" s="213"/>
      <c r="DB5" s="213"/>
      <c r="DC5" s="213"/>
      <c r="DD5" s="213"/>
      <c r="DE5" s="213"/>
      <c r="DF5" s="213"/>
      <c r="DG5" s="213"/>
      <c r="DH5" s="213"/>
      <c r="DI5" s="213"/>
      <c r="DJ5" s="213"/>
      <c r="DK5" s="213"/>
      <c r="DL5" s="213"/>
      <c r="DM5" s="213"/>
      <c r="DN5" s="213"/>
      <c r="DO5" s="213"/>
      <c r="DP5" s="213"/>
      <c r="DQ5" s="213"/>
      <c r="DR5" s="213"/>
      <c r="DS5" s="213"/>
      <c r="DT5" s="213"/>
      <c r="DU5" s="213"/>
      <c r="DV5" s="213"/>
      <c r="DW5" s="213"/>
      <c r="DX5" s="213"/>
      <c r="DY5" s="213"/>
      <c r="DZ5" s="213"/>
      <c r="EA5" s="213"/>
      <c r="EB5" s="213"/>
      <c r="EC5" s="213"/>
      <c r="ED5" s="213"/>
      <c r="EE5" s="213"/>
      <c r="EF5" s="213"/>
      <c r="EG5" s="213"/>
      <c r="EH5" s="213"/>
      <c r="EI5" s="213"/>
      <c r="EJ5" s="213"/>
      <c r="EK5" s="213"/>
      <c r="EL5" s="213"/>
      <c r="EM5" s="213"/>
      <c r="EN5" s="213"/>
      <c r="EO5" s="213"/>
      <c r="EP5" s="213"/>
      <c r="EQ5" s="213"/>
      <c r="ER5" s="213"/>
      <c r="ES5" s="213"/>
      <c r="ET5" s="213"/>
      <c r="EU5" s="213"/>
      <c r="EV5" s="213"/>
      <c r="EW5" s="213"/>
      <c r="EX5" s="213"/>
      <c r="EY5" s="213"/>
      <c r="EZ5" s="213"/>
    </row>
    <row r="6" ht="21" customHeight="1" spans="1:156">
      <c r="A6" s="217" t="s">
        <v>296</v>
      </c>
      <c r="B6" s="218">
        <v>1305.75876</v>
      </c>
      <c r="C6" s="219">
        <v>2.96</v>
      </c>
      <c r="D6" s="218">
        <v>211.81421</v>
      </c>
      <c r="E6" s="219">
        <v>1.33</v>
      </c>
      <c r="F6" s="218">
        <v>311.37946</v>
      </c>
      <c r="G6" s="219">
        <v>1.27</v>
      </c>
      <c r="H6" s="218">
        <v>410.7572</v>
      </c>
      <c r="I6" s="219">
        <v>1.09</v>
      </c>
      <c r="J6" s="218">
        <v>501.12029</v>
      </c>
      <c r="K6" s="219">
        <v>-0.69</v>
      </c>
    </row>
    <row r="7" ht="21" customHeight="1" spans="1:156">
      <c r="A7" s="217" t="s">
        <v>297</v>
      </c>
      <c r="B7" s="218">
        <v>314.30084</v>
      </c>
      <c r="C7" s="219">
        <v>2.33</v>
      </c>
      <c r="D7" s="218">
        <v>51.26719</v>
      </c>
      <c r="E7" s="219">
        <v>0.9</v>
      </c>
      <c r="F7" s="218">
        <v>75.61584</v>
      </c>
      <c r="G7" s="219">
        <v>1.31</v>
      </c>
      <c r="H7" s="218">
        <v>99.9477</v>
      </c>
      <c r="I7" s="219">
        <v>1.45</v>
      </c>
      <c r="J7" s="218">
        <v>124.26681</v>
      </c>
      <c r="K7" s="219">
        <v>1.51</v>
      </c>
    </row>
    <row r="8" ht="21" customHeight="1" spans="1:156">
      <c r="A8" s="214" t="s">
        <v>298</v>
      </c>
      <c r="B8" s="218"/>
      <c r="C8" s="220"/>
      <c r="D8" s="218"/>
      <c r="E8" s="220"/>
      <c r="F8" s="218"/>
      <c r="G8" s="220"/>
      <c r="H8" s="218"/>
      <c r="I8" s="220"/>
      <c r="J8" s="218"/>
      <c r="K8" s="220"/>
    </row>
    <row r="9" ht="21" customHeight="1" spans="1:156">
      <c r="A9" s="217" t="s">
        <v>299</v>
      </c>
      <c r="B9" s="221">
        <v>1422.31248</v>
      </c>
      <c r="C9" s="219">
        <v>3.11</v>
      </c>
      <c r="D9" s="221">
        <v>230.29787</v>
      </c>
      <c r="E9" s="219">
        <v>1.24</v>
      </c>
      <c r="F9" s="221">
        <v>338.81055</v>
      </c>
      <c r="G9" s="219">
        <v>1.29</v>
      </c>
      <c r="H9" s="221">
        <v>447.12251</v>
      </c>
      <c r="I9" s="219">
        <v>1.18</v>
      </c>
      <c r="J9" s="221">
        <v>546.53382</v>
      </c>
      <c r="K9" s="219">
        <v>-0.41</v>
      </c>
    </row>
    <row r="10" ht="21" customHeight="1" spans="1:156">
      <c r="A10" s="217" t="s">
        <v>300</v>
      </c>
      <c r="B10" s="221">
        <v>197.74712</v>
      </c>
      <c r="C10" s="219">
        <v>0.89</v>
      </c>
      <c r="D10" s="221">
        <v>32.78353</v>
      </c>
      <c r="E10" s="219">
        <v>1.28</v>
      </c>
      <c r="F10" s="221">
        <v>48.18475</v>
      </c>
      <c r="G10" s="219">
        <v>1.21</v>
      </c>
      <c r="H10" s="221">
        <v>63.58239</v>
      </c>
      <c r="I10" s="219">
        <v>1.07</v>
      </c>
      <c r="J10" s="221">
        <v>78.85328</v>
      </c>
      <c r="K10" s="219">
        <v>0.83</v>
      </c>
    </row>
    <row r="11" s="209" customFormat="1" ht="21" customHeight="1" spans="1:156">
      <c r="A11" s="214" t="s">
        <v>301</v>
      </c>
      <c r="B11" s="215"/>
      <c r="C11" s="222"/>
      <c r="D11" s="215"/>
      <c r="E11" s="222"/>
      <c r="F11" s="215"/>
      <c r="G11" s="222"/>
      <c r="H11" s="215"/>
      <c r="I11" s="222"/>
      <c r="J11" s="215"/>
      <c r="K11" s="222"/>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row>
    <row r="12" ht="21" customHeight="1" spans="1:156">
      <c r="A12" s="217" t="s">
        <v>302</v>
      </c>
      <c r="B12" s="221">
        <v>52.62503</v>
      </c>
      <c r="C12" s="219">
        <v>9.3</v>
      </c>
      <c r="D12" s="221">
        <v>10.15819</v>
      </c>
      <c r="E12" s="219">
        <v>9.4</v>
      </c>
      <c r="F12" s="221">
        <v>14.9473</v>
      </c>
      <c r="G12" s="219">
        <v>9.2</v>
      </c>
      <c r="H12" s="221">
        <v>19.4305</v>
      </c>
      <c r="I12" s="219">
        <v>10.1</v>
      </c>
      <c r="J12" s="221">
        <v>24.6573</v>
      </c>
      <c r="K12" s="219">
        <v>11.5</v>
      </c>
    </row>
    <row r="13" ht="21" customHeight="1" spans="1:156">
      <c r="A13" s="217" t="s">
        <v>303</v>
      </c>
      <c r="B13" s="218">
        <v>2.00365</v>
      </c>
      <c r="C13" s="219">
        <v>-9.5</v>
      </c>
      <c r="D13" s="218">
        <v>0.38265</v>
      </c>
      <c r="E13" s="219">
        <v>-4.1</v>
      </c>
      <c r="F13" s="218">
        <v>0.56887</v>
      </c>
      <c r="G13" s="219">
        <v>0.5</v>
      </c>
      <c r="H13" s="218">
        <v>0.70063</v>
      </c>
      <c r="I13" s="219">
        <v>1.6</v>
      </c>
      <c r="J13" s="218">
        <v>0.89119</v>
      </c>
      <c r="K13" s="219">
        <v>2.5</v>
      </c>
    </row>
    <row r="14" ht="21" customHeight="1" spans="1:156">
      <c r="A14" s="223" t="s">
        <v>304</v>
      </c>
      <c r="B14" s="218">
        <v>5.86473</v>
      </c>
      <c r="C14" s="224">
        <v>-0.1</v>
      </c>
      <c r="D14" s="218">
        <v>1.36751</v>
      </c>
      <c r="E14" s="224">
        <v>5.8</v>
      </c>
      <c r="F14" s="218">
        <v>1.79267</v>
      </c>
      <c r="G14" s="224">
        <v>6.6</v>
      </c>
      <c r="H14" s="218">
        <v>2.23036</v>
      </c>
      <c r="I14" s="224">
        <v>6.6</v>
      </c>
      <c r="J14" s="218">
        <v>2.60805</v>
      </c>
      <c r="K14" s="224">
        <v>6.3</v>
      </c>
    </row>
    <row r="15" ht="21" customHeight="1" spans="1:156">
      <c r="A15" s="217" t="s">
        <v>305</v>
      </c>
      <c r="B15" s="221">
        <v>0.89592</v>
      </c>
      <c r="C15" s="219">
        <v>-8.5</v>
      </c>
      <c r="D15" s="221">
        <v>0.16422</v>
      </c>
      <c r="E15" s="219">
        <v>-17.2</v>
      </c>
      <c r="F15" s="221">
        <v>0.21233</v>
      </c>
      <c r="G15" s="219">
        <v>-18.5</v>
      </c>
      <c r="H15" s="221">
        <v>0.26764</v>
      </c>
      <c r="I15" s="219">
        <v>-15.7</v>
      </c>
      <c r="J15" s="221">
        <v>0.32461</v>
      </c>
      <c r="K15" s="219">
        <v>-15.4</v>
      </c>
    </row>
    <row r="16" ht="21" customHeight="1" spans="1:156">
      <c r="A16" s="223" t="s">
        <v>306</v>
      </c>
      <c r="B16" s="218">
        <v>0.58252</v>
      </c>
      <c r="C16" s="224">
        <v>-14.9</v>
      </c>
      <c r="D16" s="218">
        <v>0.09717</v>
      </c>
      <c r="E16" s="224">
        <v>-22.2</v>
      </c>
      <c r="F16" s="218">
        <v>0.14103</v>
      </c>
      <c r="G16" s="224">
        <v>-21.5</v>
      </c>
      <c r="H16" s="218">
        <v>0.17546</v>
      </c>
      <c r="I16" s="224">
        <v>-21.1</v>
      </c>
      <c r="J16" s="218">
        <v>0.21435</v>
      </c>
      <c r="K16" s="224">
        <v>-21.2</v>
      </c>
    </row>
    <row r="17" ht="21" customHeight="1" spans="1:11">
      <c r="A17" s="217" t="s">
        <v>307</v>
      </c>
      <c r="B17" s="221">
        <v>0.97159</v>
      </c>
      <c r="C17" s="219">
        <v>15.8</v>
      </c>
      <c r="D17" s="221">
        <v>0.20845</v>
      </c>
      <c r="E17" s="219">
        <v>-3.4</v>
      </c>
      <c r="F17" s="221">
        <v>0.40449</v>
      </c>
      <c r="G17" s="219">
        <v>15.4</v>
      </c>
      <c r="H17" s="221">
        <v>0.47839</v>
      </c>
      <c r="I17" s="219">
        <v>12.2</v>
      </c>
      <c r="J17" s="221">
        <v>0.60004</v>
      </c>
      <c r="K17" s="219">
        <v>15</v>
      </c>
    </row>
    <row r="18" ht="21" customHeight="1" spans="1:11">
      <c r="A18" s="217" t="s">
        <v>308</v>
      </c>
      <c r="B18" s="218">
        <v>8.00877</v>
      </c>
      <c r="C18" s="219">
        <v>26.7</v>
      </c>
      <c r="D18" s="218">
        <v>1.15667</v>
      </c>
      <c r="E18" s="219">
        <v>2.5</v>
      </c>
      <c r="F18" s="218">
        <v>1.80786</v>
      </c>
      <c r="G18" s="219">
        <v>10.1</v>
      </c>
      <c r="H18" s="218">
        <v>2.36025</v>
      </c>
      <c r="I18" s="219">
        <v>8.5</v>
      </c>
      <c r="J18" s="218">
        <v>2.85294</v>
      </c>
      <c r="K18" s="219">
        <v>-1.6</v>
      </c>
    </row>
    <row r="19" ht="21" customHeight="1" spans="1:11">
      <c r="A19" s="223" t="s">
        <v>309</v>
      </c>
      <c r="B19" s="218">
        <v>0.17959</v>
      </c>
      <c r="C19" s="224">
        <v>10.1</v>
      </c>
      <c r="D19" s="218">
        <v>0.04345</v>
      </c>
      <c r="E19" s="224">
        <v>27.8</v>
      </c>
      <c r="F19" s="218">
        <v>0.05726</v>
      </c>
      <c r="G19" s="224">
        <v>40.9</v>
      </c>
      <c r="H19" s="218">
        <v>0.07419</v>
      </c>
      <c r="I19" s="224">
        <v>39.2</v>
      </c>
      <c r="J19" s="218">
        <v>0.09814</v>
      </c>
      <c r="K19" s="224">
        <v>50.8</v>
      </c>
    </row>
    <row r="20" ht="21" customHeight="1" spans="1:11">
      <c r="A20" s="223" t="s">
        <v>310</v>
      </c>
      <c r="B20" s="218">
        <v>0.56966</v>
      </c>
      <c r="C20" s="224">
        <v>659.4</v>
      </c>
      <c r="D20" s="218">
        <v>0.47497</v>
      </c>
      <c r="E20" s="224">
        <v>4245.6</v>
      </c>
      <c r="F20" s="218">
        <v>0.69721</v>
      </c>
      <c r="G20" s="224">
        <v>5026.5</v>
      </c>
      <c r="H20" s="218">
        <v>0.74998</v>
      </c>
      <c r="I20" s="224">
        <v>4523.8</v>
      </c>
      <c r="J20" s="218">
        <v>0.75254</v>
      </c>
      <c r="K20" s="224">
        <v>3749.4</v>
      </c>
    </row>
    <row r="21" ht="21" customHeight="1" spans="1:11">
      <c r="A21" s="223" t="s">
        <v>311</v>
      </c>
      <c r="B21" s="218">
        <v>3.19634</v>
      </c>
      <c r="C21" s="224">
        <v>-9.6</v>
      </c>
      <c r="D21" s="218">
        <v>0.20948</v>
      </c>
      <c r="E21" s="224">
        <v>-15.7</v>
      </c>
      <c r="F21" s="218">
        <v>0.60712</v>
      </c>
      <c r="G21" s="224">
        <v>-9.9</v>
      </c>
      <c r="H21" s="218">
        <v>1.04889</v>
      </c>
      <c r="I21" s="224">
        <v>-11.4</v>
      </c>
      <c r="J21" s="218">
        <v>1.40056</v>
      </c>
      <c r="K21" s="224">
        <v>2.3</v>
      </c>
    </row>
    <row r="22" ht="21" customHeight="1" spans="1:11">
      <c r="A22" s="223" t="s">
        <v>312</v>
      </c>
      <c r="B22" s="218">
        <v>31.3008</v>
      </c>
      <c r="C22" s="224">
        <v>286.2</v>
      </c>
      <c r="D22" s="218">
        <v>1.92017</v>
      </c>
      <c r="E22" s="224">
        <v>81.3</v>
      </c>
      <c r="F22" s="218">
        <v>2.68355</v>
      </c>
      <c r="G22" s="224">
        <v>51.6</v>
      </c>
      <c r="H22" s="218">
        <v>3.54577</v>
      </c>
      <c r="I22" s="224">
        <v>31.7</v>
      </c>
      <c r="J22" s="218">
        <v>4.45422</v>
      </c>
      <c r="K22" s="224">
        <v>-47.3</v>
      </c>
    </row>
    <row r="23" ht="21" customHeight="1" spans="1:11">
      <c r="A23" s="217" t="s">
        <v>313</v>
      </c>
      <c r="B23" s="218">
        <v>16.91383</v>
      </c>
      <c r="C23" s="219">
        <v>1.2</v>
      </c>
      <c r="D23" s="218">
        <v>2.80195</v>
      </c>
      <c r="E23" s="219">
        <v>-6.6</v>
      </c>
      <c r="F23" s="218">
        <v>4.92575</v>
      </c>
      <c r="G23" s="219">
        <v>4.5</v>
      </c>
      <c r="H23" s="218">
        <v>6.57687</v>
      </c>
      <c r="I23" s="219">
        <v>7</v>
      </c>
      <c r="J23" s="218">
        <v>8.10342</v>
      </c>
      <c r="K23" s="219">
        <v>7.1</v>
      </c>
    </row>
    <row r="24" ht="21" customHeight="1" spans="1:11">
      <c r="A24" s="223" t="s">
        <v>314</v>
      </c>
      <c r="B24" s="218">
        <v>2.82011</v>
      </c>
      <c r="C24" s="224">
        <v>429.4</v>
      </c>
      <c r="D24" s="218">
        <v>0.64483</v>
      </c>
      <c r="E24" s="224">
        <v>1057.7</v>
      </c>
      <c r="F24" s="218">
        <v>0.70281</v>
      </c>
      <c r="G24" s="224">
        <v>674</v>
      </c>
      <c r="H24" s="218">
        <v>0.81718</v>
      </c>
      <c r="I24" s="224">
        <v>512.7</v>
      </c>
      <c r="J24" s="218">
        <v>0.86471</v>
      </c>
      <c r="K24" s="224">
        <v>-57.4</v>
      </c>
    </row>
    <row r="25" ht="21" customHeight="1" spans="1:11">
      <c r="A25" s="217" t="s">
        <v>315</v>
      </c>
      <c r="B25" s="218">
        <v>1.07777</v>
      </c>
      <c r="C25" s="219">
        <v>501.3</v>
      </c>
      <c r="D25" s="218">
        <v>0.04935</v>
      </c>
      <c r="E25" s="219">
        <v>100.4</v>
      </c>
      <c r="F25" s="218">
        <v>0.06117</v>
      </c>
      <c r="G25" s="219">
        <v>60.5</v>
      </c>
      <c r="H25" s="218">
        <v>0.07535</v>
      </c>
      <c r="I25" s="219">
        <v>50.1</v>
      </c>
      <c r="J25" s="218">
        <v>0.09104</v>
      </c>
      <c r="K25" s="219">
        <v>42.6</v>
      </c>
    </row>
    <row r="26" ht="21" customHeight="1" spans="1:11">
      <c r="A26" s="217" t="s">
        <v>316</v>
      </c>
      <c r="B26" s="218">
        <v>6.94004</v>
      </c>
      <c r="C26" s="219">
        <v>71.8</v>
      </c>
      <c r="D26" s="218">
        <v>3.46435</v>
      </c>
      <c r="E26" s="219">
        <v>184.2</v>
      </c>
      <c r="F26" s="218">
        <v>4.41531</v>
      </c>
      <c r="G26" s="219">
        <v>132.1</v>
      </c>
      <c r="H26" s="218">
        <v>5.42779</v>
      </c>
      <c r="I26" s="219">
        <v>112.7</v>
      </c>
      <c r="J26" s="218">
        <v>6.25985</v>
      </c>
      <c r="K26" s="219">
        <v>91.8</v>
      </c>
    </row>
    <row r="27" ht="21" customHeight="1" spans="1:11">
      <c r="A27" s="217" t="s">
        <v>317</v>
      </c>
      <c r="B27" s="218">
        <v>74.10879</v>
      </c>
      <c r="C27" s="219">
        <v>-7.5</v>
      </c>
      <c r="D27" s="218">
        <v>14.66886</v>
      </c>
      <c r="E27" s="219">
        <v>-20.4</v>
      </c>
      <c r="F27" s="218">
        <v>22.03316</v>
      </c>
      <c r="G27" s="219">
        <v>-15</v>
      </c>
      <c r="H27" s="218">
        <v>29.03735</v>
      </c>
      <c r="I27" s="219">
        <v>-13.9</v>
      </c>
      <c r="J27" s="218">
        <v>35.938</v>
      </c>
      <c r="K27" s="219">
        <v>-13.3</v>
      </c>
    </row>
    <row r="28" ht="21" customHeight="1" spans="1:11">
      <c r="A28" s="217" t="s">
        <v>318</v>
      </c>
      <c r="B28" s="218">
        <v>0.82794</v>
      </c>
      <c r="C28" s="219">
        <v>53</v>
      </c>
      <c r="D28" s="218">
        <v>0.04348</v>
      </c>
      <c r="E28" s="219">
        <v>-42.5</v>
      </c>
      <c r="F28" s="218">
        <v>0.07406</v>
      </c>
      <c r="G28" s="219">
        <v>-26.5</v>
      </c>
      <c r="H28" s="218">
        <v>0.09736</v>
      </c>
      <c r="I28" s="219">
        <v>-16.6</v>
      </c>
      <c r="J28" s="218">
        <v>0.11954</v>
      </c>
      <c r="K28" s="219">
        <v>-11.8</v>
      </c>
    </row>
    <row r="29" ht="21" customHeight="1" spans="1:11">
      <c r="A29" s="223" t="s">
        <v>319</v>
      </c>
      <c r="B29" s="218">
        <v>0.60918</v>
      </c>
      <c r="C29" s="224">
        <v>39.9</v>
      </c>
      <c r="D29" s="218">
        <v>0.14228</v>
      </c>
      <c r="E29" s="224">
        <v>75.1</v>
      </c>
      <c r="F29" s="218">
        <v>0.22389</v>
      </c>
      <c r="G29" s="224">
        <v>88</v>
      </c>
      <c r="H29" s="218">
        <v>0.2757</v>
      </c>
      <c r="I29" s="224">
        <v>69.7</v>
      </c>
      <c r="J29" s="218">
        <v>0.3093</v>
      </c>
      <c r="K29" s="224">
        <v>43.7</v>
      </c>
    </row>
    <row r="30" ht="21" customHeight="1" spans="1:11">
      <c r="A30" s="225" t="s">
        <v>320</v>
      </c>
      <c r="B30" s="226">
        <v>67.1763</v>
      </c>
      <c r="C30" s="227">
        <v>-8.9</v>
      </c>
      <c r="D30" s="226">
        <v>8.1107</v>
      </c>
      <c r="E30" s="227">
        <v>-12.3</v>
      </c>
      <c r="F30" s="226">
        <v>11.65114</v>
      </c>
      <c r="G30" s="227">
        <v>-18.5</v>
      </c>
      <c r="H30" s="226">
        <v>15.86039</v>
      </c>
      <c r="I30" s="227">
        <v>-19.4</v>
      </c>
      <c r="J30" s="226">
        <v>19.28137</v>
      </c>
      <c r="K30" s="227">
        <v>-22.9</v>
      </c>
    </row>
    <row r="31" ht="20" customHeight="1"/>
  </sheetData>
  <mergeCells count="7">
    <mergeCell ref="A1:K1"/>
    <mergeCell ref="B2:C2"/>
    <mergeCell ref="D2:E2"/>
    <mergeCell ref="F2:G2"/>
    <mergeCell ref="H2:I2"/>
    <mergeCell ref="J2:K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28"/>
  <sheetViews>
    <sheetView zoomScale="80" zoomScaleNormal="80" workbookViewId="0">
      <pane xSplit="1" ySplit="3" topLeftCell="B4" activePane="bottomRight" state="frozen"/>
      <selection/>
      <selection pane="topRight"/>
      <selection pane="bottomLeft"/>
      <selection pane="bottomRight" activeCell="F20" sqref="F20"/>
    </sheetView>
  </sheetViews>
  <sheetFormatPr defaultColWidth="9" defaultRowHeight="14.25"/>
  <cols>
    <col min="1" max="1" width="30.625" style="133" customWidth="1"/>
    <col min="2" max="2" width="10.375" style="133"/>
    <col min="3" max="11" width="9.25" style="133"/>
    <col min="12" max="156" width="9" style="133"/>
    <col min="157" max="16384" width="9" style="134"/>
  </cols>
  <sheetData>
    <row r="1" ht="28.5" customHeight="1" spans="1:11">
      <c r="A1" s="135" t="s">
        <v>321</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21" customHeight="1" spans="1:11">
      <c r="A3" s="139"/>
      <c r="B3" s="140" t="s">
        <v>8</v>
      </c>
      <c r="C3" s="141" t="s">
        <v>9</v>
      </c>
      <c r="D3" s="140" t="s">
        <v>8</v>
      </c>
      <c r="E3" s="141" t="s">
        <v>9</v>
      </c>
      <c r="F3" s="140" t="s">
        <v>8</v>
      </c>
      <c r="G3" s="141" t="s">
        <v>9</v>
      </c>
      <c r="H3" s="140" t="s">
        <v>8</v>
      </c>
      <c r="I3" s="141" t="s">
        <v>9</v>
      </c>
      <c r="J3" s="140" t="s">
        <v>8</v>
      </c>
      <c r="K3" s="141" t="s">
        <v>9</v>
      </c>
    </row>
    <row r="4" ht="24.95" customHeight="1" spans="1:11">
      <c r="A4" s="194" t="s">
        <v>322</v>
      </c>
      <c r="B4" s="208">
        <v>215.0988</v>
      </c>
      <c r="C4" s="187">
        <v>6.94108230927173</v>
      </c>
      <c r="D4" s="208">
        <v>43.4608</v>
      </c>
      <c r="E4" s="187">
        <v>0.606500021142763</v>
      </c>
      <c r="F4" s="208">
        <v>63.0854</v>
      </c>
      <c r="G4" s="187">
        <v>3.22291304920878</v>
      </c>
      <c r="H4" s="208">
        <v>82.9549</v>
      </c>
      <c r="I4" s="187">
        <v>8.53953127819579</v>
      </c>
      <c r="J4" s="208">
        <v>97.866</v>
      </c>
      <c r="K4" s="187">
        <v>8.12306041332612</v>
      </c>
    </row>
    <row r="5" ht="24.95" customHeight="1" spans="1:11">
      <c r="A5" s="149" t="s">
        <v>323</v>
      </c>
      <c r="B5" s="208">
        <v>131.2569</v>
      </c>
      <c r="C5" s="187">
        <v>6.12234403502682</v>
      </c>
      <c r="D5" s="208">
        <v>24.6775</v>
      </c>
      <c r="E5" s="187">
        <v>-3.71253474225106</v>
      </c>
      <c r="F5" s="208">
        <v>34.1626</v>
      </c>
      <c r="G5" s="187">
        <v>3.76957036656275</v>
      </c>
      <c r="H5" s="208">
        <v>48.7225</v>
      </c>
      <c r="I5" s="187">
        <v>9.10343995675341</v>
      </c>
      <c r="J5" s="208">
        <v>60.0094</v>
      </c>
      <c r="K5" s="187">
        <v>9.60670827550424</v>
      </c>
    </row>
    <row r="6" ht="24.95" customHeight="1" spans="1:11">
      <c r="A6" s="148" t="s">
        <v>324</v>
      </c>
      <c r="B6" s="146">
        <v>63.514</v>
      </c>
      <c r="C6" s="147">
        <v>18.9367179509121</v>
      </c>
      <c r="D6" s="146">
        <v>12.6393</v>
      </c>
      <c r="E6" s="147">
        <v>-9.93060923795785</v>
      </c>
      <c r="F6" s="146">
        <v>17.843</v>
      </c>
      <c r="G6" s="147">
        <v>1.79073000117091</v>
      </c>
      <c r="H6" s="146">
        <v>24.9554</v>
      </c>
      <c r="I6" s="147">
        <v>9.71443414763816</v>
      </c>
      <c r="J6" s="146">
        <v>31.7665</v>
      </c>
      <c r="K6" s="147">
        <v>17.7178842271744</v>
      </c>
    </row>
    <row r="7" ht="24.95" customHeight="1" spans="1:11">
      <c r="A7" s="148" t="s">
        <v>325</v>
      </c>
      <c r="B7" s="146">
        <v>15.3657</v>
      </c>
      <c r="C7" s="147">
        <v>27.184211726067</v>
      </c>
      <c r="D7" s="146">
        <v>2.8903</v>
      </c>
      <c r="E7" s="147">
        <v>22.3508088652862</v>
      </c>
      <c r="F7" s="146">
        <v>3.3541</v>
      </c>
      <c r="G7" s="147">
        <v>16.9942715660998</v>
      </c>
      <c r="H7" s="146">
        <v>6.956</v>
      </c>
      <c r="I7" s="147">
        <v>17.8163083779453</v>
      </c>
      <c r="J7" s="146">
        <v>8.3369</v>
      </c>
      <c r="K7" s="147">
        <v>0.243704125659891</v>
      </c>
    </row>
    <row r="8" ht="24.95" customHeight="1" spans="1:11">
      <c r="A8" s="148" t="s">
        <v>326</v>
      </c>
      <c r="B8" s="146">
        <v>5.6282</v>
      </c>
      <c r="C8" s="147">
        <v>18.2232823916181</v>
      </c>
      <c r="D8" s="146">
        <v>1.8122</v>
      </c>
      <c r="E8" s="147">
        <v>-4.85020092816517</v>
      </c>
      <c r="F8" s="146">
        <v>1.8351</v>
      </c>
      <c r="G8" s="147">
        <v>0.482219404473664</v>
      </c>
      <c r="H8" s="146">
        <v>2.0182</v>
      </c>
      <c r="I8" s="147">
        <v>5.57931797385281</v>
      </c>
      <c r="J8" s="146">
        <v>2.3803</v>
      </c>
      <c r="K8" s="147">
        <v>6.05214882895011</v>
      </c>
    </row>
    <row r="9" ht="24.95" customHeight="1" spans="1:11">
      <c r="A9" s="148" t="s">
        <v>327</v>
      </c>
      <c r="B9" s="146">
        <v>14.0881</v>
      </c>
      <c r="C9" s="147">
        <v>1.70958682578531</v>
      </c>
      <c r="D9" s="146">
        <v>2.3206</v>
      </c>
      <c r="E9" s="147">
        <v>-7.42779639380884</v>
      </c>
      <c r="F9" s="146">
        <v>3.3156</v>
      </c>
      <c r="G9" s="147">
        <v>-2.94195134802845</v>
      </c>
      <c r="H9" s="146">
        <v>4.7525</v>
      </c>
      <c r="I9" s="147">
        <v>3.80717312480888</v>
      </c>
      <c r="J9" s="146">
        <v>5.9055</v>
      </c>
      <c r="K9" s="147">
        <v>3.32610141022501</v>
      </c>
    </row>
    <row r="10" ht="24.95" customHeight="1" spans="1:11">
      <c r="A10" s="148" t="s">
        <v>328</v>
      </c>
      <c r="B10" s="146">
        <v>7.6797</v>
      </c>
      <c r="C10" s="147">
        <v>10.6218400241995</v>
      </c>
      <c r="D10" s="146">
        <v>0.6473</v>
      </c>
      <c r="E10" s="147">
        <v>4.74110032362459</v>
      </c>
      <c r="F10" s="146">
        <v>0.9546</v>
      </c>
      <c r="G10" s="147">
        <v>12.5176803394625</v>
      </c>
      <c r="H10" s="146">
        <v>1.2131</v>
      </c>
      <c r="I10" s="147">
        <v>15.1604328839947</v>
      </c>
      <c r="J10" s="146">
        <v>1.5029</v>
      </c>
      <c r="K10" s="147">
        <v>22.2168008457347</v>
      </c>
    </row>
    <row r="11" ht="24.95" customHeight="1" spans="1:11">
      <c r="A11" s="148" t="s">
        <v>329</v>
      </c>
      <c r="B11" s="146">
        <v>8.2229</v>
      </c>
      <c r="C11" s="147">
        <v>-26.2267250561323</v>
      </c>
      <c r="D11" s="146">
        <v>1.1852</v>
      </c>
      <c r="E11" s="147">
        <v>-2.76225107850054</v>
      </c>
      <c r="F11" s="146">
        <v>1.9946</v>
      </c>
      <c r="G11" s="147">
        <v>-16.6381842253499</v>
      </c>
      <c r="H11" s="146">
        <v>2.4142</v>
      </c>
      <c r="I11" s="147">
        <v>-16.9048198262584</v>
      </c>
      <c r="J11" s="146">
        <v>2.8068</v>
      </c>
      <c r="K11" s="147">
        <v>-24.0185183754266</v>
      </c>
    </row>
    <row r="12" ht="24.95" customHeight="1" spans="1:11">
      <c r="A12" s="148" t="s">
        <v>330</v>
      </c>
      <c r="B12" s="146">
        <v>6.5537</v>
      </c>
      <c r="C12" s="147">
        <v>-24.1276713978096</v>
      </c>
      <c r="D12" s="146">
        <v>1.0676</v>
      </c>
      <c r="E12" s="147">
        <v>-12.8703174732719</v>
      </c>
      <c r="F12" s="146">
        <v>1.8711</v>
      </c>
      <c r="G12" s="147">
        <v>2.49233128834356</v>
      </c>
      <c r="H12" s="146">
        <v>2.3872</v>
      </c>
      <c r="I12" s="147">
        <v>1.99094249337777</v>
      </c>
      <c r="J12" s="146">
        <v>2.8666</v>
      </c>
      <c r="K12" s="147">
        <v>-0.260951254305696</v>
      </c>
    </row>
    <row r="13" ht="24.95" customHeight="1" spans="1:11">
      <c r="A13" s="149" t="s">
        <v>331</v>
      </c>
      <c r="B13" s="208">
        <v>83.8419</v>
      </c>
      <c r="C13" s="187">
        <v>8.24846487943687</v>
      </c>
      <c r="D13" s="208">
        <v>18.7833</v>
      </c>
      <c r="E13" s="187">
        <v>6.90673769764027</v>
      </c>
      <c r="F13" s="208">
        <v>28.9228</v>
      </c>
      <c r="G13" s="187">
        <v>2.58458329934277</v>
      </c>
      <c r="H13" s="208">
        <v>34.2324</v>
      </c>
      <c r="I13" s="187">
        <v>7.74697759913884</v>
      </c>
      <c r="J13" s="208">
        <v>37.8566</v>
      </c>
      <c r="K13" s="187">
        <v>5.85172716545781</v>
      </c>
    </row>
    <row r="14" ht="24.95" customHeight="1" spans="1:11">
      <c r="A14" s="149" t="s">
        <v>332</v>
      </c>
      <c r="B14" s="208">
        <v>568.1644</v>
      </c>
      <c r="C14" s="187">
        <v>6.58816943515612</v>
      </c>
      <c r="D14" s="208">
        <v>107.2089</v>
      </c>
      <c r="E14" s="187">
        <v>-1.59229179134892</v>
      </c>
      <c r="F14" s="208">
        <v>160.9933</v>
      </c>
      <c r="G14" s="187">
        <v>0.461768962012021</v>
      </c>
      <c r="H14" s="208">
        <v>209.58</v>
      </c>
      <c r="I14" s="187">
        <v>3.5928806709663</v>
      </c>
      <c r="J14" s="208">
        <v>250.9014</v>
      </c>
      <c r="K14" s="187">
        <v>2.58413262512924</v>
      </c>
    </row>
    <row r="15" ht="24.95" customHeight="1" spans="1:11">
      <c r="A15" s="148" t="s">
        <v>333</v>
      </c>
      <c r="B15" s="146">
        <v>52.5163</v>
      </c>
      <c r="C15" s="147">
        <v>-0.870184022213283</v>
      </c>
      <c r="D15" s="146">
        <v>9.3032</v>
      </c>
      <c r="E15" s="147">
        <v>-13.137009579653</v>
      </c>
      <c r="F15" s="146">
        <v>13.6252</v>
      </c>
      <c r="G15" s="147">
        <v>-12.5047359126666</v>
      </c>
      <c r="H15" s="146">
        <v>17.2105</v>
      </c>
      <c r="I15" s="147">
        <v>-17.6791061195986</v>
      </c>
      <c r="J15" s="146">
        <v>20.6264</v>
      </c>
      <c r="K15" s="147">
        <v>-15.4825465377854</v>
      </c>
    </row>
    <row r="16" ht="24.95" customHeight="1" spans="1:11">
      <c r="A16" s="148" t="s">
        <v>334</v>
      </c>
      <c r="B16" s="146">
        <v>2.1179</v>
      </c>
      <c r="C16" s="147">
        <v>46.0922949575774</v>
      </c>
      <c r="D16" s="146">
        <v>0.3401</v>
      </c>
      <c r="E16" s="147">
        <v>66.7156862745098</v>
      </c>
      <c r="F16" s="146">
        <v>0.3916</v>
      </c>
      <c r="G16" s="147">
        <v>53.0285267682689</v>
      </c>
      <c r="H16" s="146">
        <v>0.4789</v>
      </c>
      <c r="I16" s="147">
        <v>64.7969717825189</v>
      </c>
      <c r="J16" s="146">
        <v>0.6737</v>
      </c>
      <c r="K16" s="147">
        <v>28.226113437381</v>
      </c>
    </row>
    <row r="17" ht="24.95" customHeight="1" spans="1:11">
      <c r="A17" s="148" t="s">
        <v>335</v>
      </c>
      <c r="B17" s="146">
        <v>464.0587</v>
      </c>
      <c r="C17" s="147">
        <v>8.5402412329173</v>
      </c>
      <c r="D17" s="146">
        <v>86.0258</v>
      </c>
      <c r="E17" s="147">
        <v>1.85280999847266</v>
      </c>
      <c r="F17" s="146">
        <v>127.503</v>
      </c>
      <c r="G17" s="147">
        <v>-0.00454870565795851</v>
      </c>
      <c r="H17" s="146">
        <v>168.4609</v>
      </c>
      <c r="I17" s="147">
        <v>4.47660576261748</v>
      </c>
      <c r="J17" s="146">
        <v>203.2917</v>
      </c>
      <c r="K17" s="147">
        <v>3.14307487488381</v>
      </c>
    </row>
    <row r="18" ht="24.95" customHeight="1" spans="1:11">
      <c r="A18" s="148" t="s">
        <v>336</v>
      </c>
      <c r="B18" s="146">
        <v>129.6444</v>
      </c>
      <c r="C18" s="147">
        <v>6.6309816478221</v>
      </c>
      <c r="D18" s="146">
        <v>21.0399</v>
      </c>
      <c r="E18" s="147">
        <v>-17.7090626063353</v>
      </c>
      <c r="F18" s="146">
        <v>30.6871</v>
      </c>
      <c r="G18" s="147">
        <v>-14.0311410930199</v>
      </c>
      <c r="H18" s="146">
        <v>40.4233</v>
      </c>
      <c r="I18" s="147">
        <v>-10.5724708698451</v>
      </c>
      <c r="J18" s="146">
        <v>49.5398</v>
      </c>
      <c r="K18" s="147">
        <v>-9.66599624001882</v>
      </c>
    </row>
    <row r="19" ht="24.95" customHeight="1" spans="1:11">
      <c r="A19" s="148" t="s">
        <v>337</v>
      </c>
      <c r="B19" s="150">
        <v>3.8754</v>
      </c>
      <c r="C19" s="151">
        <v>12.8603879084396</v>
      </c>
      <c r="D19" s="150">
        <v>0.5936</v>
      </c>
      <c r="E19" s="151">
        <v>-0.252058477566797</v>
      </c>
      <c r="F19" s="150">
        <v>0.851</v>
      </c>
      <c r="G19" s="151">
        <v>0.781620085267654</v>
      </c>
      <c r="H19" s="150">
        <v>1.1758</v>
      </c>
      <c r="I19" s="151">
        <v>9.1027187528997</v>
      </c>
      <c r="J19" s="150">
        <v>1.4628</v>
      </c>
      <c r="K19" s="151">
        <v>14.2991092358181</v>
      </c>
    </row>
    <row r="20" ht="24.95" customHeight="1" spans="1:11">
      <c r="A20" s="148" t="s">
        <v>338</v>
      </c>
      <c r="B20" s="146">
        <v>135.0492</v>
      </c>
      <c r="C20" s="147">
        <v>10.4816225555643</v>
      </c>
      <c r="D20" s="146">
        <v>22.6627</v>
      </c>
      <c r="E20" s="147">
        <v>4.10442276243499</v>
      </c>
      <c r="F20" s="146">
        <v>38.0879</v>
      </c>
      <c r="G20" s="147">
        <v>6.08054098767015</v>
      </c>
      <c r="H20" s="146">
        <v>49.0793</v>
      </c>
      <c r="I20" s="147">
        <v>6.88699174597645</v>
      </c>
      <c r="J20" s="146">
        <v>60.6949</v>
      </c>
      <c r="K20" s="147">
        <v>9.49591565760799</v>
      </c>
    </row>
    <row r="21" ht="24.95" customHeight="1" spans="1:11">
      <c r="A21" s="148" t="s">
        <v>339</v>
      </c>
      <c r="B21" s="146">
        <v>82.2328</v>
      </c>
      <c r="C21" s="147">
        <v>17.9700601809013</v>
      </c>
      <c r="D21" s="146">
        <v>22.2017</v>
      </c>
      <c r="E21" s="147">
        <v>46.3671424333322</v>
      </c>
      <c r="F21" s="146">
        <v>31.7203</v>
      </c>
      <c r="G21" s="147">
        <v>20.5041218706075</v>
      </c>
      <c r="H21" s="146">
        <v>43.2505</v>
      </c>
      <c r="I21" s="147">
        <v>33.6608114121835</v>
      </c>
      <c r="J21" s="146">
        <v>50.5493</v>
      </c>
      <c r="K21" s="147">
        <v>25.3376476859945</v>
      </c>
    </row>
    <row r="22" ht="24.95" customHeight="1" spans="1:11">
      <c r="A22" s="148" t="s">
        <v>340</v>
      </c>
      <c r="B22" s="146">
        <v>2.9817</v>
      </c>
      <c r="C22" s="147">
        <v>-16.5467827255171</v>
      </c>
      <c r="D22" s="146">
        <v>0.5944</v>
      </c>
      <c r="E22" s="147">
        <v>-11.4949374627755</v>
      </c>
      <c r="F22" s="146">
        <v>0.8893</v>
      </c>
      <c r="G22" s="147">
        <v>-4.98931623931624</v>
      </c>
      <c r="H22" s="146">
        <v>1.473</v>
      </c>
      <c r="I22" s="147">
        <v>18.3988425367736</v>
      </c>
      <c r="J22" s="146">
        <v>1.7653</v>
      </c>
      <c r="K22" s="147">
        <v>19.4626784868376</v>
      </c>
    </row>
    <row r="23" ht="24.95" customHeight="1" spans="1:11">
      <c r="A23" s="148" t="s">
        <v>341</v>
      </c>
      <c r="B23" s="146">
        <v>17.9052</v>
      </c>
      <c r="C23" s="147">
        <v>1.96699279035069</v>
      </c>
      <c r="D23" s="146">
        <v>1.9965</v>
      </c>
      <c r="E23" s="147">
        <v>-23.4676275539541</v>
      </c>
      <c r="F23" s="146">
        <v>2.876</v>
      </c>
      <c r="G23" s="147">
        <v>-29.2444706866435</v>
      </c>
      <c r="H23" s="146">
        <v>3.7974</v>
      </c>
      <c r="I23" s="147">
        <v>-34.2919435215947</v>
      </c>
      <c r="J23" s="146">
        <v>4.4024</v>
      </c>
      <c r="K23" s="147">
        <v>-29.5751215766573</v>
      </c>
    </row>
    <row r="24" ht="24.95" customHeight="1" spans="1:11">
      <c r="A24" s="200" t="s">
        <v>342</v>
      </c>
      <c r="B24" s="146">
        <v>53.2436</v>
      </c>
      <c r="C24" s="147">
        <v>4.49674598252487</v>
      </c>
      <c r="D24" s="146">
        <v>9.521</v>
      </c>
      <c r="E24" s="147">
        <v>-14.1029573627325</v>
      </c>
      <c r="F24" s="146">
        <v>11.6258</v>
      </c>
      <c r="G24" s="147">
        <v>-16.1445748371694</v>
      </c>
      <c r="H24" s="146">
        <v>14.9147</v>
      </c>
      <c r="I24" s="147">
        <v>-12.4230787298008</v>
      </c>
      <c r="J24" s="146">
        <v>17.9477</v>
      </c>
      <c r="K24" s="147">
        <v>-19.7118202030053</v>
      </c>
    </row>
    <row r="25" ht="24.95" customHeight="1" spans="1:11">
      <c r="A25" s="200" t="s">
        <v>343</v>
      </c>
      <c r="B25" s="146">
        <v>10.8236</v>
      </c>
      <c r="C25" s="147">
        <v>-6.10789663159174</v>
      </c>
      <c r="D25" s="146">
        <v>2.2218</v>
      </c>
      <c r="E25" s="147">
        <v>-1.04222340994121</v>
      </c>
      <c r="F25" s="146">
        <v>3.449</v>
      </c>
      <c r="G25" s="147">
        <v>14.0504612942694</v>
      </c>
      <c r="H25" s="146">
        <v>4.6543</v>
      </c>
      <c r="I25" s="147">
        <v>22.8436444256757</v>
      </c>
      <c r="J25" s="146">
        <v>5.2508</v>
      </c>
      <c r="K25" s="147">
        <v>25.0964883022824</v>
      </c>
    </row>
    <row r="26" ht="24.95" customHeight="1" spans="1:11">
      <c r="A26" s="200" t="s">
        <v>344</v>
      </c>
      <c r="B26" s="146">
        <v>21.0244</v>
      </c>
      <c r="C26" s="147">
        <v>8.17580291632794</v>
      </c>
      <c r="D26" s="146">
        <v>3.6963</v>
      </c>
      <c r="E26" s="147">
        <v>10.9533529447079</v>
      </c>
      <c r="F26" s="146">
        <v>5.4808</v>
      </c>
      <c r="G26" s="147">
        <v>12.3160785278085</v>
      </c>
      <c r="H26" s="146">
        <v>7.2089</v>
      </c>
      <c r="I26" s="147">
        <v>13.082558157775</v>
      </c>
      <c r="J26" s="146">
        <v>8.8217</v>
      </c>
      <c r="K26" s="147">
        <v>9.34184432325236</v>
      </c>
    </row>
    <row r="27" ht="24.95" customHeight="1" spans="1:11">
      <c r="A27" s="204" t="s">
        <v>345</v>
      </c>
      <c r="B27" s="153">
        <v>2.1762</v>
      </c>
      <c r="C27" s="154">
        <v>45.2833967554577</v>
      </c>
      <c r="D27" s="153">
        <v>0.692</v>
      </c>
      <c r="E27" s="154">
        <v>4.21686746987953</v>
      </c>
      <c r="F27" s="153">
        <v>0.7228</v>
      </c>
      <c r="G27" s="154">
        <v>-3.690872751499</v>
      </c>
      <c r="H27" s="153">
        <v>0.8137</v>
      </c>
      <c r="I27" s="154">
        <v>-6.16928044280443</v>
      </c>
      <c r="J27" s="153">
        <v>0.8756</v>
      </c>
      <c r="K27" s="154">
        <v>-6.53287788215201</v>
      </c>
    </row>
    <row r="28" ht="44" customHeight="1" spans="1:11">
      <c r="A28" s="172" t="s">
        <v>346</v>
      </c>
      <c r="B28" s="172"/>
      <c r="C28" s="172"/>
      <c r="D28" s="172"/>
      <c r="E28" s="172"/>
      <c r="F28" s="172"/>
      <c r="G28" s="172"/>
      <c r="H28" s="172"/>
      <c r="I28" s="172"/>
      <c r="J28" s="172"/>
      <c r="K28" s="172"/>
    </row>
  </sheetData>
  <mergeCells count="8">
    <mergeCell ref="A1:K1"/>
    <mergeCell ref="B2:C2"/>
    <mergeCell ref="D2:E2"/>
    <mergeCell ref="F2:G2"/>
    <mergeCell ref="H2:I2"/>
    <mergeCell ref="J2:K2"/>
    <mergeCell ref="A28:K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35"/>
  <sheetViews>
    <sheetView zoomScale="85" zoomScaleNormal="85" workbookViewId="0">
      <selection activeCell="F14" sqref="F14"/>
    </sheetView>
  </sheetViews>
  <sheetFormatPr defaultColWidth="9" defaultRowHeight="14.25"/>
  <cols>
    <col min="1" max="1" width="39.9916666666667" style="133" customWidth="1"/>
    <col min="2" max="11" width="9.525" style="133" customWidth="1"/>
    <col min="12" max="158" width="9" style="133"/>
    <col min="159" max="16384" width="9" style="134"/>
  </cols>
  <sheetData>
    <row r="1" ht="28.5" customHeight="1" spans="1:11">
      <c r="A1" s="135" t="s">
        <v>347</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31" customHeight="1" spans="1:11">
      <c r="A3" s="139"/>
      <c r="B3" s="140" t="s">
        <v>8</v>
      </c>
      <c r="C3" s="141" t="s">
        <v>9</v>
      </c>
      <c r="D3" s="140" t="s">
        <v>8</v>
      </c>
      <c r="E3" s="141" t="s">
        <v>9</v>
      </c>
      <c r="F3" s="140" t="s">
        <v>8</v>
      </c>
      <c r="G3" s="141" t="s">
        <v>9</v>
      </c>
      <c r="H3" s="140" t="s">
        <v>8</v>
      </c>
      <c r="I3" s="141" t="s">
        <v>9</v>
      </c>
      <c r="J3" s="140" t="s">
        <v>8</v>
      </c>
      <c r="K3" s="141" t="s">
        <v>9</v>
      </c>
    </row>
    <row r="4" ht="19.5" customHeight="1" spans="1:11">
      <c r="A4" s="194" t="s">
        <v>348</v>
      </c>
      <c r="B4" s="208">
        <v>5275.4577575514</v>
      </c>
      <c r="C4" s="187">
        <v>6.18372641103777</v>
      </c>
      <c r="D4" s="208">
        <v>5371.7639803829</v>
      </c>
      <c r="E4" s="187">
        <v>5.87709445025932</v>
      </c>
      <c r="F4" s="208">
        <v>5489.9961943581</v>
      </c>
      <c r="G4" s="187">
        <v>5.71561046103308</v>
      </c>
      <c r="H4" s="208">
        <v>5428.9066701606</v>
      </c>
      <c r="I4" s="187">
        <v>5.51665718667773</v>
      </c>
      <c r="J4" s="208">
        <v>5450.3418806805</v>
      </c>
      <c r="K4" s="187">
        <v>5.6577613942656</v>
      </c>
    </row>
    <row r="5" ht="19.5" customHeight="1" spans="1:11">
      <c r="A5" s="148" t="s">
        <v>349</v>
      </c>
      <c r="B5" s="146">
        <v>5266.2093639031</v>
      </c>
      <c r="C5" s="147">
        <v>6.1912866177663</v>
      </c>
      <c r="D5" s="146">
        <v>5362.0324413512</v>
      </c>
      <c r="E5" s="147">
        <v>5.88602745580811</v>
      </c>
      <c r="F5" s="146">
        <v>5480.8857903588</v>
      </c>
      <c r="G5" s="147">
        <v>5.72505963978726</v>
      </c>
      <c r="H5" s="146">
        <v>5419.6342908033</v>
      </c>
      <c r="I5" s="147">
        <v>5.51945289616406</v>
      </c>
      <c r="J5" s="146">
        <v>5440.8364462496</v>
      </c>
      <c r="K5" s="147">
        <v>5.6643244411819</v>
      </c>
    </row>
    <row r="6" ht="19.5" customHeight="1" spans="1:11">
      <c r="A6" s="148" t="s">
        <v>350</v>
      </c>
      <c r="B6" s="146">
        <v>3952.1386646398</v>
      </c>
      <c r="C6" s="147">
        <v>8.38733031565504</v>
      </c>
      <c r="D6" s="146">
        <v>4027.7464007019</v>
      </c>
      <c r="E6" s="147">
        <v>6.99762792640859</v>
      </c>
      <c r="F6" s="146">
        <v>4089.6770812541</v>
      </c>
      <c r="G6" s="147">
        <v>6.43076935256516</v>
      </c>
      <c r="H6" s="146">
        <v>4061.7851188926</v>
      </c>
      <c r="I6" s="147">
        <v>6.28056873633103</v>
      </c>
      <c r="J6" s="146">
        <v>4064.5837219053</v>
      </c>
      <c r="K6" s="147">
        <v>6.00240954879168</v>
      </c>
    </row>
    <row r="7" ht="19.5" customHeight="1" spans="1:11">
      <c r="A7" s="148" t="s">
        <v>351</v>
      </c>
      <c r="B7" s="146">
        <v>595.3925327126</v>
      </c>
      <c r="C7" s="147">
        <v>-0.833866262620743</v>
      </c>
      <c r="D7" s="146">
        <v>584.0200702138</v>
      </c>
      <c r="E7" s="147">
        <v>-3.2531030967074</v>
      </c>
      <c r="F7" s="146">
        <v>625.3870008611</v>
      </c>
      <c r="G7" s="147">
        <v>-2.63893656756259</v>
      </c>
      <c r="H7" s="146">
        <v>597.1279493404</v>
      </c>
      <c r="I7" s="147">
        <v>-1.6354174028599</v>
      </c>
      <c r="J7" s="146">
        <v>595.7816164479</v>
      </c>
      <c r="K7" s="147">
        <v>0.358438948961018</v>
      </c>
    </row>
    <row r="8" ht="19.5" customHeight="1" spans="1:11">
      <c r="A8" s="148" t="s">
        <v>352</v>
      </c>
      <c r="B8" s="146">
        <v>649.88256963</v>
      </c>
      <c r="C8" s="147">
        <v>1.66519468182147</v>
      </c>
      <c r="D8" s="146">
        <v>682.6822410278</v>
      </c>
      <c r="E8" s="147">
        <v>4.56470329471581</v>
      </c>
      <c r="F8" s="146">
        <v>694.9892685303</v>
      </c>
      <c r="G8" s="147">
        <v>6.32362645639042</v>
      </c>
      <c r="H8" s="146">
        <v>688.7507642688</v>
      </c>
      <c r="I8" s="147">
        <v>8.11979614362875</v>
      </c>
      <c r="J8" s="146">
        <v>677.2121123366</v>
      </c>
      <c r="K8" s="147">
        <v>4.9979645526057</v>
      </c>
    </row>
    <row r="9" ht="19.5" customHeight="1" spans="1:11">
      <c r="A9" s="148" t="s">
        <v>353</v>
      </c>
      <c r="B9" s="146">
        <v>68.7955969207</v>
      </c>
      <c r="C9" s="147">
        <v>-6.04921070985412</v>
      </c>
      <c r="D9" s="146">
        <v>67.5837294077</v>
      </c>
      <c r="E9" s="147">
        <v>56.8223922784095</v>
      </c>
      <c r="F9" s="146">
        <v>70.8324397133</v>
      </c>
      <c r="G9" s="147">
        <v>55.571001552054</v>
      </c>
      <c r="H9" s="146">
        <v>71.9704583015</v>
      </c>
      <c r="I9" s="147">
        <v>2.36366318348312</v>
      </c>
      <c r="J9" s="146">
        <v>103.2589955598</v>
      </c>
      <c r="K9" s="147">
        <v>35.6622159566669</v>
      </c>
    </row>
    <row r="10" ht="19.5" customHeight="1" spans="1:11">
      <c r="A10" s="148" t="s">
        <v>354</v>
      </c>
      <c r="B10" s="146">
        <v>9.2483936483</v>
      </c>
      <c r="C10" s="147">
        <v>2.04681650030183</v>
      </c>
      <c r="D10" s="146">
        <v>9.7315390317</v>
      </c>
      <c r="E10" s="147">
        <v>1.17408198900442</v>
      </c>
      <c r="F10" s="146">
        <v>9.1104039993</v>
      </c>
      <c r="G10" s="147">
        <v>0.321459646426661</v>
      </c>
      <c r="H10" s="146">
        <v>9.2723793573</v>
      </c>
      <c r="I10" s="147">
        <v>3.90754843047497</v>
      </c>
      <c r="J10" s="146">
        <v>9.5054344309</v>
      </c>
      <c r="K10" s="147">
        <v>2.03032263856627</v>
      </c>
    </row>
    <row r="11" ht="19.5" customHeight="1" spans="1:11">
      <c r="A11" s="149" t="s">
        <v>355</v>
      </c>
      <c r="B11" s="208">
        <v>4564.4155373845</v>
      </c>
      <c r="C11" s="187">
        <v>5.01251612477425</v>
      </c>
      <c r="D11" s="208">
        <v>4663.4192781226</v>
      </c>
      <c r="E11" s="187">
        <v>4.38367568587663</v>
      </c>
      <c r="F11" s="208">
        <v>4722.2867617772</v>
      </c>
      <c r="G11" s="187">
        <v>4.34563106367708</v>
      </c>
      <c r="H11" s="208">
        <v>4707.4519357306</v>
      </c>
      <c r="I11" s="187">
        <v>4.47734983111839</v>
      </c>
      <c r="J11" s="208">
        <v>4722.6899338586</v>
      </c>
      <c r="K11" s="187">
        <v>4.41532830150856</v>
      </c>
    </row>
    <row r="12" ht="19.5" customHeight="1" spans="1:11">
      <c r="A12" s="148" t="s">
        <v>356</v>
      </c>
      <c r="B12" s="146">
        <v>4553.6681695981</v>
      </c>
      <c r="C12" s="147">
        <v>4.8518372081412</v>
      </c>
      <c r="D12" s="146">
        <v>4651.6385346981</v>
      </c>
      <c r="E12" s="147">
        <v>4.19303494139427</v>
      </c>
      <c r="F12" s="146">
        <v>4710.437761309</v>
      </c>
      <c r="G12" s="147">
        <v>4.15664822216955</v>
      </c>
      <c r="H12" s="146">
        <v>4695.5395970709</v>
      </c>
      <c r="I12" s="147">
        <v>4.28651515022558</v>
      </c>
      <c r="J12" s="146">
        <v>4710.7941802107</v>
      </c>
      <c r="K12" s="147">
        <v>4.29167568180983</v>
      </c>
    </row>
    <row r="13" ht="19.5" customHeight="1" spans="1:11">
      <c r="A13" s="148" t="s">
        <v>357</v>
      </c>
      <c r="B13" s="146">
        <v>2162.1401287108</v>
      </c>
      <c r="C13" s="147">
        <v>3.38786068389085</v>
      </c>
      <c r="D13" s="146">
        <v>2170.0631093045</v>
      </c>
      <c r="E13" s="147">
        <v>2.70580718271363</v>
      </c>
      <c r="F13" s="146">
        <v>2188.5044008192</v>
      </c>
      <c r="G13" s="147">
        <v>2.16919930217297</v>
      </c>
      <c r="H13" s="146">
        <v>2175.1397952969</v>
      </c>
      <c r="I13" s="147">
        <v>2.28609029242507</v>
      </c>
      <c r="J13" s="146">
        <v>2176.5103405205</v>
      </c>
      <c r="K13" s="147">
        <v>2.30730415096896</v>
      </c>
    </row>
    <row r="14" ht="19.5" customHeight="1" spans="1:11">
      <c r="A14" s="148" t="s">
        <v>358</v>
      </c>
      <c r="B14" s="146">
        <v>2391.5280408873</v>
      </c>
      <c r="C14" s="147">
        <v>6.21154203010276</v>
      </c>
      <c r="D14" s="146">
        <v>2481.5754253936</v>
      </c>
      <c r="E14" s="147">
        <v>5.52932434501494</v>
      </c>
      <c r="F14" s="146">
        <v>2521.9333604898</v>
      </c>
      <c r="G14" s="147">
        <v>5.94507253809027</v>
      </c>
      <c r="H14" s="146">
        <v>2520.399801774</v>
      </c>
      <c r="I14" s="147">
        <v>6.07689088505562</v>
      </c>
      <c r="J14" s="146">
        <v>2534.2838396902</v>
      </c>
      <c r="K14" s="147">
        <v>6.05839218723194</v>
      </c>
    </row>
    <row r="15" ht="19.5" customHeight="1" spans="1:11">
      <c r="A15" s="148" t="s">
        <v>359</v>
      </c>
      <c r="B15" s="146">
        <v>0</v>
      </c>
      <c r="C15" s="162" t="s">
        <v>12</v>
      </c>
      <c r="D15" s="146">
        <v>0</v>
      </c>
      <c r="E15" s="162" t="s">
        <v>12</v>
      </c>
      <c r="F15" s="146">
        <v>0</v>
      </c>
      <c r="G15" s="162" t="s">
        <v>12</v>
      </c>
      <c r="H15" s="146">
        <v>0</v>
      </c>
      <c r="I15" s="162" t="s">
        <v>12</v>
      </c>
      <c r="J15" s="146">
        <v>0</v>
      </c>
      <c r="K15" s="162" t="s">
        <v>12</v>
      </c>
    </row>
    <row r="16" ht="19.5" customHeight="1" spans="1:11">
      <c r="A16" s="148" t="s">
        <v>360</v>
      </c>
      <c r="B16" s="146">
        <v>10.7473677864</v>
      </c>
      <c r="C16" s="147">
        <v>199.432694849996</v>
      </c>
      <c r="D16" s="146">
        <v>11.7807434245</v>
      </c>
      <c r="E16" s="147">
        <v>276.095269576381</v>
      </c>
      <c r="F16" s="146">
        <v>11.8490004682</v>
      </c>
      <c r="G16" s="147">
        <v>274.399028322016</v>
      </c>
      <c r="H16" s="146">
        <v>11.9123386597</v>
      </c>
      <c r="I16" s="147">
        <v>274.8776563181</v>
      </c>
      <c r="J16" s="146">
        <v>11.8957536479</v>
      </c>
      <c r="K16" s="147">
        <v>96.8324918208563</v>
      </c>
    </row>
    <row r="17" ht="19.5" customHeight="1" spans="1:11">
      <c r="A17" s="149" t="s">
        <v>361</v>
      </c>
      <c r="B17" s="208">
        <v>5257.4535974698</v>
      </c>
      <c r="C17" s="187">
        <v>6.14416774499006</v>
      </c>
      <c r="D17" s="208">
        <v>5349.9801575965</v>
      </c>
      <c r="E17" s="187">
        <v>5.831145542016</v>
      </c>
      <c r="F17" s="208">
        <v>5467.3164122978</v>
      </c>
      <c r="G17" s="187">
        <v>5.6650922153873</v>
      </c>
      <c r="H17" s="208">
        <v>5407.1934431691</v>
      </c>
      <c r="I17" s="187">
        <v>5.48477778783426</v>
      </c>
      <c r="J17" s="208">
        <v>5420.636102025</v>
      </c>
      <c r="K17" s="187">
        <v>5.5480942689869</v>
      </c>
    </row>
    <row r="18" ht="19.5" customHeight="1" spans="1:11">
      <c r="A18" s="148" t="s">
        <v>349</v>
      </c>
      <c r="B18" s="146">
        <v>5248.3707384603</v>
      </c>
      <c r="C18" s="147">
        <v>6.1515296364855</v>
      </c>
      <c r="D18" s="146">
        <v>5340.4099332194</v>
      </c>
      <c r="E18" s="147">
        <v>5.83986881774852</v>
      </c>
      <c r="F18" s="146">
        <v>5458.3721945629</v>
      </c>
      <c r="G18" s="147">
        <v>5.67439865214902</v>
      </c>
      <c r="H18" s="146">
        <v>5398.0927456286</v>
      </c>
      <c r="I18" s="147">
        <v>5.48745360290358</v>
      </c>
      <c r="J18" s="146">
        <v>5411.302821111</v>
      </c>
      <c r="K18" s="147">
        <v>5.55445243756033</v>
      </c>
    </row>
    <row r="19" ht="19.5" customHeight="1" spans="1:11">
      <c r="A19" s="148" t="s">
        <v>350</v>
      </c>
      <c r="B19" s="146">
        <v>3943.7898090475</v>
      </c>
      <c r="C19" s="147">
        <v>8.4113280920472</v>
      </c>
      <c r="D19" s="146">
        <v>4019.1805360714</v>
      </c>
      <c r="E19" s="147">
        <v>7.02648645418498</v>
      </c>
      <c r="F19" s="146">
        <v>4081.0668148461</v>
      </c>
      <c r="G19" s="147">
        <v>6.46215235670486</v>
      </c>
      <c r="H19" s="146">
        <v>4053.1315039381</v>
      </c>
      <c r="I19" s="147">
        <v>6.29205620434407</v>
      </c>
      <c r="J19" s="146">
        <v>4055.8363711095</v>
      </c>
      <c r="K19" s="147">
        <v>6.00105243898062</v>
      </c>
    </row>
    <row r="20" ht="19.5" customHeight="1" spans="1:11">
      <c r="A20" s="148" t="s">
        <v>362</v>
      </c>
      <c r="B20" s="146">
        <v>1685.0704213999</v>
      </c>
      <c r="C20" s="147">
        <v>6.5121871423507</v>
      </c>
      <c r="D20" s="146">
        <v>1709.9114982348</v>
      </c>
      <c r="E20" s="147">
        <v>5.72957837064054</v>
      </c>
      <c r="F20" s="146">
        <v>1730.3975513208</v>
      </c>
      <c r="G20" s="147">
        <v>4.65299871240726</v>
      </c>
      <c r="H20" s="146">
        <v>1705.9664898242</v>
      </c>
      <c r="I20" s="147">
        <v>5.38390249493751</v>
      </c>
      <c r="J20" s="146">
        <v>1710.1531318118</v>
      </c>
      <c r="K20" s="147">
        <v>5.15445843233419</v>
      </c>
    </row>
    <row r="21" ht="19.5" customHeight="1" spans="1:11">
      <c r="A21" s="148" t="s">
        <v>351</v>
      </c>
      <c r="B21" s="146">
        <v>587.1278777438</v>
      </c>
      <c r="C21" s="147">
        <v>-1.32927434466279</v>
      </c>
      <c r="D21" s="146">
        <v>572.1718254122</v>
      </c>
      <c r="E21" s="147">
        <v>-3.92197960127133</v>
      </c>
      <c r="F21" s="146">
        <v>612.7003753453</v>
      </c>
      <c r="G21" s="147">
        <v>-3.33127859566824</v>
      </c>
      <c r="H21" s="146">
        <v>585.4415684211</v>
      </c>
      <c r="I21" s="147">
        <v>-2.07222866074653</v>
      </c>
      <c r="J21" s="146">
        <v>576.1895252103</v>
      </c>
      <c r="K21" s="147">
        <v>-0.711056947411016</v>
      </c>
    </row>
    <row r="22" ht="19.5" customHeight="1" spans="1:11">
      <c r="A22" s="148" t="s">
        <v>352</v>
      </c>
      <c r="B22" s="146">
        <v>648.6822283794</v>
      </c>
      <c r="C22" s="147">
        <v>1.64465331619639</v>
      </c>
      <c r="D22" s="146">
        <v>681.5011457772</v>
      </c>
      <c r="E22" s="147">
        <v>4.55171273845125</v>
      </c>
      <c r="F22" s="146">
        <v>693.8080273249</v>
      </c>
      <c r="G22" s="147">
        <v>6.31355608953351</v>
      </c>
      <c r="H22" s="146">
        <v>687.5789744212</v>
      </c>
      <c r="I22" s="147">
        <v>8.11482299598963</v>
      </c>
      <c r="J22" s="146">
        <v>676.0472066489</v>
      </c>
      <c r="K22" s="147">
        <v>4.98785455511481</v>
      </c>
    </row>
    <row r="23" ht="19.5" customHeight="1" spans="1:11">
      <c r="A23" s="148" t="s">
        <v>363</v>
      </c>
      <c r="B23" s="146">
        <v>588.9900148832</v>
      </c>
      <c r="C23" s="147">
        <v>1.47994848942441</v>
      </c>
      <c r="D23" s="146">
        <v>591.6666478433</v>
      </c>
      <c r="E23" s="147">
        <v>2.0433090848369</v>
      </c>
      <c r="F23" s="146">
        <v>612.5908260448</v>
      </c>
      <c r="G23" s="147">
        <v>2.99146691770447</v>
      </c>
      <c r="H23" s="146">
        <v>619.1818340114</v>
      </c>
      <c r="I23" s="147">
        <v>4.41648418360763</v>
      </c>
      <c r="J23" s="146">
        <v>619.3633959808</v>
      </c>
      <c r="K23" s="147">
        <v>5.95224890016156</v>
      </c>
    </row>
    <row r="24" ht="19.5" customHeight="1" spans="1:11">
      <c r="A24" s="200" t="s">
        <v>353</v>
      </c>
      <c r="B24" s="146">
        <v>68.7708232896</v>
      </c>
      <c r="C24" s="147">
        <v>-6.0496327341753</v>
      </c>
      <c r="D24" s="146">
        <v>67.5564259586</v>
      </c>
      <c r="E24" s="147">
        <v>56.8483924528592</v>
      </c>
      <c r="F24" s="146">
        <v>70.7969770466</v>
      </c>
      <c r="G24" s="147">
        <v>55.583613910174</v>
      </c>
      <c r="H24" s="146">
        <v>71.9406988482</v>
      </c>
      <c r="I24" s="147">
        <v>2.36227571022002</v>
      </c>
      <c r="J24" s="146">
        <v>103.2297181423</v>
      </c>
      <c r="K24" s="147">
        <v>35.679723904659</v>
      </c>
    </row>
    <row r="25" ht="19.5" customHeight="1" spans="1:11">
      <c r="A25" s="200" t="s">
        <v>354</v>
      </c>
      <c r="B25" s="146">
        <v>9.0828590095</v>
      </c>
      <c r="C25" s="147">
        <v>2.05441651029862</v>
      </c>
      <c r="D25" s="146">
        <v>9.5702243771</v>
      </c>
      <c r="E25" s="147">
        <v>1.17777222742526</v>
      </c>
      <c r="F25" s="146">
        <v>8.9442177349</v>
      </c>
      <c r="G25" s="147">
        <v>0.275813759600736</v>
      </c>
      <c r="H25" s="146">
        <v>9.1006975405</v>
      </c>
      <c r="I25" s="147">
        <v>3.9211801083224</v>
      </c>
      <c r="J25" s="146">
        <v>9.333280914</v>
      </c>
      <c r="K25" s="147">
        <v>1.98633180175668</v>
      </c>
    </row>
    <row r="26" ht="19.5" customHeight="1" spans="1:11">
      <c r="A26" s="201" t="s">
        <v>364</v>
      </c>
      <c r="B26" s="208">
        <v>4561.8226692921</v>
      </c>
      <c r="C26" s="187">
        <v>5.07347635421138</v>
      </c>
      <c r="D26" s="208">
        <v>4660.9869302237</v>
      </c>
      <c r="E26" s="187">
        <v>4.40064309457757</v>
      </c>
      <c r="F26" s="208">
        <v>4719.2926520582</v>
      </c>
      <c r="G26" s="187">
        <v>4.35518374213613</v>
      </c>
      <c r="H26" s="208">
        <v>4704.9432950552</v>
      </c>
      <c r="I26" s="187">
        <v>4.49167060870572</v>
      </c>
      <c r="J26" s="208">
        <v>4720.070114935</v>
      </c>
      <c r="K26" s="187">
        <v>4.42273960087608</v>
      </c>
    </row>
    <row r="27" ht="19.5" customHeight="1" spans="1:11">
      <c r="A27" s="200" t="s">
        <v>356</v>
      </c>
      <c r="B27" s="150">
        <v>4551.0760056389</v>
      </c>
      <c r="C27" s="151">
        <v>4.91265122567669</v>
      </c>
      <c r="D27" s="150">
        <v>4649.2067724632</v>
      </c>
      <c r="E27" s="151">
        <v>4.20986983337881</v>
      </c>
      <c r="F27" s="150">
        <v>4707.4440471029</v>
      </c>
      <c r="G27" s="151">
        <v>4.16604634145174</v>
      </c>
      <c r="H27" s="150">
        <v>4693.0312359633</v>
      </c>
      <c r="I27" s="151">
        <v>4.30071257330789</v>
      </c>
      <c r="J27" s="150">
        <v>4708.1750172615</v>
      </c>
      <c r="K27" s="151">
        <v>4.29900355763129</v>
      </c>
    </row>
    <row r="28" ht="19.5" customHeight="1" spans="1:11">
      <c r="A28" s="200" t="s">
        <v>357</v>
      </c>
      <c r="B28" s="146">
        <v>2162.1017449788</v>
      </c>
      <c r="C28" s="147">
        <v>3.38792065803753</v>
      </c>
      <c r="D28" s="146">
        <v>2170.030958117</v>
      </c>
      <c r="E28" s="147">
        <v>2.70588288041382</v>
      </c>
      <c r="F28" s="146">
        <v>2188.465694443</v>
      </c>
      <c r="G28" s="147">
        <v>2.16917705189845</v>
      </c>
      <c r="H28" s="146">
        <v>2175.1033354669</v>
      </c>
      <c r="I28" s="147">
        <v>2.28630617854956</v>
      </c>
      <c r="J28" s="146">
        <v>2176.476748953</v>
      </c>
      <c r="K28" s="147">
        <v>2.30766514760237</v>
      </c>
    </row>
    <row r="29" ht="19.5" customHeight="1" spans="1:11">
      <c r="A29" s="200" t="s">
        <v>365</v>
      </c>
      <c r="B29" s="146">
        <v>2012.4177175045</v>
      </c>
      <c r="C29" s="147">
        <v>4.26268539332521</v>
      </c>
      <c r="D29" s="146">
        <v>2022.2442375215</v>
      </c>
      <c r="E29" s="147">
        <v>3.41393411192363</v>
      </c>
      <c r="F29" s="146">
        <v>2040.1380554693</v>
      </c>
      <c r="G29" s="147">
        <v>3.00531129925592</v>
      </c>
      <c r="H29" s="146">
        <v>2031.1900477485</v>
      </c>
      <c r="I29" s="147">
        <v>3.02663420753362</v>
      </c>
      <c r="J29" s="146">
        <v>2035.4154334996</v>
      </c>
      <c r="K29" s="147">
        <v>3.06457368367737</v>
      </c>
    </row>
    <row r="30" ht="19.5" customHeight="1" spans="1:11">
      <c r="A30" s="200" t="s">
        <v>358</v>
      </c>
      <c r="B30" s="146">
        <v>2388.9742606601</v>
      </c>
      <c r="C30" s="147">
        <v>6.33187684575776</v>
      </c>
      <c r="D30" s="146">
        <v>2479.1758143462</v>
      </c>
      <c r="E30" s="147">
        <v>5.56293529844278</v>
      </c>
      <c r="F30" s="146">
        <v>2518.9783526599</v>
      </c>
      <c r="G30" s="147">
        <v>5.96536881579083</v>
      </c>
      <c r="H30" s="146">
        <v>2517.9279004964</v>
      </c>
      <c r="I30" s="147">
        <v>6.10582995030497</v>
      </c>
      <c r="J30" s="146">
        <v>2531.6982683085</v>
      </c>
      <c r="K30" s="147">
        <v>6.07396028001108</v>
      </c>
    </row>
    <row r="31" ht="19.5" customHeight="1" spans="1:11">
      <c r="A31" s="200" t="s">
        <v>366</v>
      </c>
      <c r="B31" s="146">
        <v>593.1347840241</v>
      </c>
      <c r="C31" s="147">
        <v>-8.79518733579682</v>
      </c>
      <c r="D31" s="146">
        <v>595.8297957355</v>
      </c>
      <c r="E31" s="147">
        <v>-9.80252598047701</v>
      </c>
      <c r="F31" s="146">
        <v>605.8517099829</v>
      </c>
      <c r="G31" s="147">
        <v>-8.80438027347775</v>
      </c>
      <c r="H31" s="146">
        <v>600.1680477455</v>
      </c>
      <c r="I31" s="147">
        <v>-8.57711761426377</v>
      </c>
      <c r="J31" s="146">
        <v>605.4360350417</v>
      </c>
      <c r="K31" s="147">
        <v>-8.0565292830267</v>
      </c>
    </row>
    <row r="32" ht="19.5" customHeight="1" spans="1:11">
      <c r="A32" s="200" t="s">
        <v>367</v>
      </c>
      <c r="B32" s="146">
        <v>1591.4018618283</v>
      </c>
      <c r="C32" s="147">
        <v>11.2682741592157</v>
      </c>
      <c r="D32" s="146">
        <v>1690.5929088456</v>
      </c>
      <c r="E32" s="147">
        <v>11.92867190287</v>
      </c>
      <c r="F32" s="146">
        <v>1718.6494970663</v>
      </c>
      <c r="G32" s="147">
        <v>12.1597077471538</v>
      </c>
      <c r="H32" s="146">
        <v>1714.4367602632</v>
      </c>
      <c r="I32" s="147">
        <v>11.8539628859744</v>
      </c>
      <c r="J32" s="146">
        <v>1716.9073079187</v>
      </c>
      <c r="K32" s="147">
        <v>11.1245115289098</v>
      </c>
    </row>
    <row r="33" ht="19.5" customHeight="1" spans="1:11">
      <c r="A33" s="200" t="s">
        <v>359</v>
      </c>
      <c r="B33" s="146">
        <v>0</v>
      </c>
      <c r="C33" s="162" t="s">
        <v>12</v>
      </c>
      <c r="D33" s="146">
        <v>0</v>
      </c>
      <c r="E33" s="162" t="s">
        <v>12</v>
      </c>
      <c r="F33" s="146">
        <v>0</v>
      </c>
      <c r="G33" s="162" t="s">
        <v>12</v>
      </c>
      <c r="H33" s="146">
        <v>0</v>
      </c>
      <c r="I33" s="162" t="s">
        <v>12</v>
      </c>
      <c r="J33" s="146">
        <v>0</v>
      </c>
      <c r="K33" s="162" t="s">
        <v>12</v>
      </c>
    </row>
    <row r="34" ht="19.5" customHeight="1" spans="1:11">
      <c r="A34" s="204" t="s">
        <v>360</v>
      </c>
      <c r="B34" s="153">
        <v>10.7466636532</v>
      </c>
      <c r="C34" s="154">
        <v>199.509944369916</v>
      </c>
      <c r="D34" s="153">
        <v>11.7801577605</v>
      </c>
      <c r="E34" s="154">
        <v>276.215272786752</v>
      </c>
      <c r="F34" s="153">
        <v>11.8486049553</v>
      </c>
      <c r="G34" s="154">
        <v>274.554401317709</v>
      </c>
      <c r="H34" s="153">
        <v>11.9120590919</v>
      </c>
      <c r="I34" s="154">
        <v>274.928247169027</v>
      </c>
      <c r="J34" s="153">
        <v>11.8950976735</v>
      </c>
      <c r="K34" s="154">
        <v>96.8644405554862</v>
      </c>
    </row>
    <row r="35" ht="30" customHeight="1" spans="1:11">
      <c r="A35" s="193" t="s">
        <v>368</v>
      </c>
      <c r="B35" s="193"/>
      <c r="C35" s="193"/>
      <c r="D35" s="193"/>
      <c r="E35" s="193"/>
      <c r="F35" s="193"/>
      <c r="G35" s="193"/>
      <c r="H35" s="193"/>
      <c r="I35" s="193"/>
      <c r="J35" s="193"/>
      <c r="K35" s="193"/>
    </row>
  </sheetData>
  <mergeCells count="8">
    <mergeCell ref="A1:K1"/>
    <mergeCell ref="B2:C2"/>
    <mergeCell ref="D2:E2"/>
    <mergeCell ref="F2:G2"/>
    <mergeCell ref="H2:I2"/>
    <mergeCell ref="J2:K2"/>
    <mergeCell ref="A35:K35"/>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L28"/>
  <sheetViews>
    <sheetView zoomScale="90" zoomScaleNormal="90" workbookViewId="0">
      <pane xSplit="1" ySplit="3" topLeftCell="B4" activePane="bottomRight" state="frozen"/>
      <selection/>
      <selection pane="topRight"/>
      <selection pane="bottomLeft"/>
      <selection pane="bottomRight" activeCell="J4" sqref="J4:K27"/>
    </sheetView>
  </sheetViews>
  <sheetFormatPr defaultColWidth="9" defaultRowHeight="14.25"/>
  <cols>
    <col min="1" max="1" width="29.6416666666667" style="133" customWidth="1"/>
    <col min="2" max="11" width="8.33333333333333" style="133" customWidth="1"/>
    <col min="12" max="152" width="9" style="133"/>
    <col min="153" max="16384" width="9" style="134"/>
  </cols>
  <sheetData>
    <row r="1" ht="28.5" customHeight="1" spans="1:11">
      <c r="A1" s="135" t="s">
        <v>369</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21" customHeight="1" spans="1:11">
      <c r="A3" s="139"/>
      <c r="B3" s="140" t="s">
        <v>8</v>
      </c>
      <c r="C3" s="141" t="s">
        <v>9</v>
      </c>
      <c r="D3" s="140" t="s">
        <v>8</v>
      </c>
      <c r="E3" s="141" t="s">
        <v>9</v>
      </c>
      <c r="F3" s="140" t="s">
        <v>8</v>
      </c>
      <c r="G3" s="141" t="s">
        <v>9</v>
      </c>
      <c r="H3" s="140" t="s">
        <v>8</v>
      </c>
      <c r="I3" s="141" t="s">
        <v>9</v>
      </c>
      <c r="J3" s="140" t="s">
        <v>8</v>
      </c>
      <c r="K3" s="141" t="s">
        <v>9</v>
      </c>
    </row>
    <row r="4" ht="21.6" customHeight="1" spans="1:11">
      <c r="A4" s="194" t="s">
        <v>370</v>
      </c>
      <c r="B4" s="195">
        <v>628.56741566</v>
      </c>
      <c r="C4" s="196">
        <v>1.9407</v>
      </c>
      <c r="D4" s="195">
        <v>123.69547</v>
      </c>
      <c r="E4" s="197">
        <v>0.9</v>
      </c>
      <c r="F4" s="195">
        <v>172.46840805</v>
      </c>
      <c r="G4" s="196">
        <v>3.2146</v>
      </c>
      <c r="H4" s="195">
        <v>244.82272638</v>
      </c>
      <c r="I4" s="196">
        <v>19.9872</v>
      </c>
      <c r="J4" s="195">
        <v>315.73055578</v>
      </c>
      <c r="K4" s="196">
        <v>22.1295</v>
      </c>
    </row>
    <row r="5" ht="21.6" customHeight="1" spans="1:11">
      <c r="A5" s="148" t="s">
        <v>371</v>
      </c>
      <c r="B5" s="198">
        <v>200.73441333</v>
      </c>
      <c r="C5" s="199">
        <v>3.2645</v>
      </c>
      <c r="D5" s="198">
        <v>33.43758</v>
      </c>
      <c r="E5" s="199">
        <v>22.1</v>
      </c>
      <c r="F5" s="198">
        <v>53.41737218</v>
      </c>
      <c r="G5" s="199">
        <v>18.7605</v>
      </c>
      <c r="H5" s="198">
        <v>70.83167592</v>
      </c>
      <c r="I5" s="199">
        <v>14.9081</v>
      </c>
      <c r="J5" s="198">
        <v>95.3665303</v>
      </c>
      <c r="K5" s="199">
        <v>24.2832</v>
      </c>
    </row>
    <row r="6" ht="21.6" customHeight="1" spans="1:11">
      <c r="A6" s="148" t="s">
        <v>372</v>
      </c>
      <c r="B6" s="198"/>
      <c r="C6" s="199"/>
      <c r="D6" s="198"/>
      <c r="E6" s="199"/>
      <c r="F6" s="198"/>
      <c r="G6" s="199"/>
      <c r="H6" s="198"/>
      <c r="I6" s="199"/>
      <c r="J6" s="198"/>
      <c r="K6" s="199"/>
    </row>
    <row r="7" ht="21.6" customHeight="1" spans="1:11">
      <c r="A7" s="148" t="s">
        <v>373</v>
      </c>
      <c r="B7" s="198">
        <v>178.7679128</v>
      </c>
      <c r="C7" s="199">
        <v>2.8581</v>
      </c>
      <c r="D7" s="198">
        <v>31.69072572</v>
      </c>
      <c r="E7" s="199">
        <v>23.4463</v>
      </c>
      <c r="F7" s="198">
        <v>47.09761305</v>
      </c>
      <c r="G7" s="199">
        <v>16.9931</v>
      </c>
      <c r="H7" s="198">
        <v>63.05533154</v>
      </c>
      <c r="I7" s="199">
        <v>12.5992</v>
      </c>
      <c r="J7" s="198">
        <v>85.47756632</v>
      </c>
      <c r="K7" s="199">
        <v>24.5268</v>
      </c>
    </row>
    <row r="8" ht="21.6" customHeight="1" spans="1:11">
      <c r="A8" s="148" t="s">
        <v>374</v>
      </c>
      <c r="B8" s="198">
        <v>7.40254201</v>
      </c>
      <c r="C8" s="199">
        <v>-43.4981</v>
      </c>
      <c r="D8" s="198">
        <v>1.57292484</v>
      </c>
      <c r="E8" s="199">
        <v>215.771</v>
      </c>
      <c r="F8" s="198">
        <v>2.65250559</v>
      </c>
      <c r="G8" s="199">
        <v>231.798</v>
      </c>
      <c r="H8" s="198">
        <v>4.00752355</v>
      </c>
      <c r="I8" s="199">
        <v>232.4655</v>
      </c>
      <c r="J8" s="198">
        <v>4.85633405</v>
      </c>
      <c r="K8" s="199">
        <v>151.5535</v>
      </c>
    </row>
    <row r="9" ht="21.6" customHeight="1" spans="1:11">
      <c r="A9" s="148" t="s">
        <v>375</v>
      </c>
      <c r="B9" s="198">
        <v>14.54628973</v>
      </c>
      <c r="C9" s="199">
        <v>98.5356</v>
      </c>
      <c r="D9" s="198">
        <v>0.17261079</v>
      </c>
      <c r="E9" s="199">
        <v>-85.8653</v>
      </c>
      <c r="F9" s="198">
        <v>3.66570653</v>
      </c>
      <c r="G9" s="199">
        <v>-6.4234</v>
      </c>
      <c r="H9" s="198">
        <v>3.76649802</v>
      </c>
      <c r="I9" s="199">
        <v>-14.9931</v>
      </c>
      <c r="J9" s="198">
        <v>5.02623526</v>
      </c>
      <c r="K9" s="199">
        <v>-18.3263</v>
      </c>
    </row>
    <row r="10" ht="21.6" customHeight="1" spans="1:11">
      <c r="A10" s="148" t="s">
        <v>376</v>
      </c>
      <c r="B10" s="198"/>
      <c r="C10" s="199"/>
      <c r="D10" s="198"/>
      <c r="E10" s="199"/>
      <c r="F10" s="198"/>
      <c r="G10" s="199"/>
      <c r="H10" s="198"/>
      <c r="I10" s="199"/>
      <c r="J10" s="198"/>
      <c r="K10" s="199"/>
    </row>
    <row r="11" ht="21.6" customHeight="1" spans="1:11">
      <c r="A11" s="148" t="s">
        <v>377</v>
      </c>
      <c r="B11" s="198">
        <v>90.907735</v>
      </c>
      <c r="C11" s="199">
        <v>10.3504</v>
      </c>
      <c r="D11" s="198">
        <v>15.9784249</v>
      </c>
      <c r="E11" s="199">
        <v>25.6067</v>
      </c>
      <c r="F11" s="198">
        <v>24.4072373</v>
      </c>
      <c r="G11" s="199">
        <v>22.6397</v>
      </c>
      <c r="H11" s="198">
        <v>32.28231858</v>
      </c>
      <c r="I11" s="199">
        <v>9.8531</v>
      </c>
      <c r="J11" s="198">
        <v>44.1161328</v>
      </c>
      <c r="K11" s="199">
        <v>25.4061</v>
      </c>
    </row>
    <row r="12" ht="21.6" customHeight="1" spans="1:11">
      <c r="A12" s="148" t="s">
        <v>378</v>
      </c>
      <c r="B12" s="198">
        <v>76.43987074</v>
      </c>
      <c r="C12" s="199">
        <v>-9.777</v>
      </c>
      <c r="D12" s="198">
        <v>14.08831406</v>
      </c>
      <c r="E12" s="199">
        <v>28.3737</v>
      </c>
      <c r="F12" s="198">
        <v>19.6635213</v>
      </c>
      <c r="G12" s="199">
        <v>14.6977</v>
      </c>
      <c r="H12" s="198">
        <v>26.71136191</v>
      </c>
      <c r="I12" s="199">
        <v>19.524</v>
      </c>
      <c r="J12" s="198">
        <v>34.45138138</v>
      </c>
      <c r="K12" s="199">
        <v>21.1153</v>
      </c>
    </row>
    <row r="13" ht="21.6" customHeight="1" spans="1:11">
      <c r="A13" s="148" t="s">
        <v>379</v>
      </c>
      <c r="B13" s="198">
        <v>33.38141247</v>
      </c>
      <c r="C13" s="199">
        <v>22.3461</v>
      </c>
      <c r="D13" s="198">
        <v>3.37084267</v>
      </c>
      <c r="E13" s="199">
        <v>-8.9119</v>
      </c>
      <c r="F13" s="198">
        <v>9.34661336</v>
      </c>
      <c r="G13" s="199">
        <v>17.8113</v>
      </c>
      <c r="H13" s="198">
        <v>11.83799521</v>
      </c>
      <c r="I13" s="199">
        <v>19.4918</v>
      </c>
      <c r="J13" s="198">
        <v>16.7990159</v>
      </c>
      <c r="K13" s="199">
        <v>28.1452</v>
      </c>
    </row>
    <row r="14" ht="21.6" customHeight="1" spans="1:11">
      <c r="A14" s="148" t="s">
        <v>380</v>
      </c>
      <c r="B14" s="198"/>
      <c r="C14" s="199"/>
      <c r="D14" s="198"/>
      <c r="E14" s="199"/>
      <c r="F14" s="198"/>
      <c r="G14" s="199"/>
      <c r="H14" s="198"/>
      <c r="I14" s="199"/>
      <c r="J14" s="198"/>
      <c r="K14" s="199"/>
    </row>
    <row r="15" ht="21.6" customHeight="1" spans="1:11">
      <c r="A15" s="148" t="s">
        <v>381</v>
      </c>
      <c r="B15" s="198">
        <v>7.10436807</v>
      </c>
      <c r="C15" s="199">
        <v>-43.2532</v>
      </c>
      <c r="D15" s="198">
        <v>1.27123628</v>
      </c>
      <c r="E15" s="199">
        <v>18.9977</v>
      </c>
      <c r="F15" s="198">
        <v>2.12826941</v>
      </c>
      <c r="G15" s="199">
        <v>24.0589</v>
      </c>
      <c r="H15" s="198">
        <v>3.38317668</v>
      </c>
      <c r="I15" s="199">
        <v>46.7053</v>
      </c>
      <c r="J15" s="198">
        <v>3.73564075</v>
      </c>
      <c r="K15" s="199">
        <v>27.6459</v>
      </c>
    </row>
    <row r="16" ht="21.6" customHeight="1" spans="1:11">
      <c r="A16" s="148" t="s">
        <v>382</v>
      </c>
      <c r="B16" s="198">
        <v>5.92588288</v>
      </c>
      <c r="C16" s="199">
        <v>-19.6726</v>
      </c>
      <c r="D16" s="198">
        <v>0.70822295</v>
      </c>
      <c r="E16" s="199">
        <v>-32.648</v>
      </c>
      <c r="F16" s="198">
        <v>1.24921529</v>
      </c>
      <c r="G16" s="199">
        <v>-14.1729</v>
      </c>
      <c r="H16" s="198">
        <v>1.80910062</v>
      </c>
      <c r="I16" s="199">
        <v>10.6592</v>
      </c>
      <c r="J16" s="198">
        <v>2.4303475</v>
      </c>
      <c r="K16" s="199">
        <v>2.2536</v>
      </c>
    </row>
    <row r="17" ht="21.6" customHeight="1" spans="1:12">
      <c r="A17" s="148" t="s">
        <v>383</v>
      </c>
      <c r="B17" s="198">
        <v>11.99266502</v>
      </c>
      <c r="C17" s="199">
        <v>3.4547</v>
      </c>
      <c r="D17" s="198">
        <v>1.81432812</v>
      </c>
      <c r="E17" s="199">
        <v>-5.6279</v>
      </c>
      <c r="F17" s="198">
        <v>2.6439344</v>
      </c>
      <c r="G17" s="199">
        <v>-17.6045</v>
      </c>
      <c r="H17" s="198">
        <v>3.6427787</v>
      </c>
      <c r="I17" s="199">
        <v>-4.5998</v>
      </c>
      <c r="J17" s="198">
        <v>4.75915125</v>
      </c>
      <c r="K17" s="199">
        <v>6.4424</v>
      </c>
    </row>
    <row r="18" ht="21.6" customHeight="1" spans="1:12">
      <c r="A18" s="148" t="s">
        <v>384</v>
      </c>
      <c r="B18" s="198">
        <v>22.86549723</v>
      </c>
      <c r="C18" s="199">
        <v>13.5408</v>
      </c>
      <c r="D18" s="198">
        <v>8.8144059</v>
      </c>
      <c r="E18" s="199">
        <v>88.429</v>
      </c>
      <c r="F18" s="198">
        <v>11.08830361</v>
      </c>
      <c r="G18" s="199">
        <v>106.8708</v>
      </c>
      <c r="H18" s="198">
        <v>14.28840524</v>
      </c>
      <c r="I18" s="199">
        <v>63.8433</v>
      </c>
      <c r="J18" s="198">
        <v>20.21083081</v>
      </c>
      <c r="K18" s="199">
        <v>106.1392</v>
      </c>
    </row>
    <row r="19" ht="21.6" customHeight="1" spans="1:12">
      <c r="A19" s="148" t="s">
        <v>385</v>
      </c>
      <c r="B19" s="198">
        <v>427.83300233</v>
      </c>
      <c r="C19" s="199">
        <v>1.3312</v>
      </c>
      <c r="D19" s="198">
        <v>90.25789</v>
      </c>
      <c r="E19" s="199">
        <v>-5.2</v>
      </c>
      <c r="F19" s="198">
        <v>119.05103587</v>
      </c>
      <c r="G19" s="199">
        <v>-2.5113</v>
      </c>
      <c r="H19" s="198">
        <v>173.99105046</v>
      </c>
      <c r="I19" s="199">
        <v>22.1859</v>
      </c>
      <c r="J19" s="198">
        <v>220.36402548</v>
      </c>
      <c r="K19" s="199">
        <v>21.2205</v>
      </c>
    </row>
    <row r="20" ht="21.6" customHeight="1" spans="1:12">
      <c r="A20" s="148" t="s">
        <v>386</v>
      </c>
      <c r="B20" s="198"/>
      <c r="C20" s="199"/>
      <c r="D20" s="198"/>
      <c r="E20" s="199"/>
      <c r="F20" s="198"/>
      <c r="G20" s="199"/>
      <c r="H20" s="198"/>
      <c r="I20" s="199"/>
      <c r="J20" s="198"/>
      <c r="K20" s="199"/>
    </row>
    <row r="21" ht="21.6" customHeight="1" spans="1:12">
      <c r="A21" s="200" t="s">
        <v>387</v>
      </c>
      <c r="B21" s="198">
        <v>231.25885528</v>
      </c>
      <c r="C21" s="199">
        <v>19.762</v>
      </c>
      <c r="D21" s="198">
        <v>48.99339957</v>
      </c>
      <c r="E21" s="199">
        <v>23.8859</v>
      </c>
      <c r="F21" s="198">
        <v>67.57831844</v>
      </c>
      <c r="G21" s="199">
        <v>21.4109</v>
      </c>
      <c r="H21" s="198">
        <v>98.7316612</v>
      </c>
      <c r="I21" s="199">
        <v>47.2007</v>
      </c>
      <c r="J21" s="198">
        <v>129.75334533</v>
      </c>
      <c r="K21" s="199">
        <v>44.9241</v>
      </c>
    </row>
    <row r="22" ht="21.6" customHeight="1" spans="1:12">
      <c r="A22" s="200" t="s">
        <v>388</v>
      </c>
      <c r="B22" s="198">
        <v>5.55851071</v>
      </c>
      <c r="C22" s="199">
        <v>-58.3448</v>
      </c>
      <c r="D22" s="198">
        <v>1.92015338</v>
      </c>
      <c r="E22" s="199">
        <v>204.2581</v>
      </c>
      <c r="F22" s="198">
        <v>3.39401971</v>
      </c>
      <c r="G22" s="199">
        <v>274.9941</v>
      </c>
      <c r="H22" s="198">
        <v>4.64865812</v>
      </c>
      <c r="I22" s="199">
        <v>154.7087</v>
      </c>
      <c r="J22" s="198">
        <v>5.303371</v>
      </c>
      <c r="K22" s="199">
        <v>138.5046</v>
      </c>
    </row>
    <row r="23" ht="21.6" customHeight="1" spans="1:12">
      <c r="A23" s="200" t="s">
        <v>389</v>
      </c>
      <c r="B23" s="198">
        <v>187.28639247</v>
      </c>
      <c r="C23" s="199">
        <v>-1.6055</v>
      </c>
      <c r="D23" s="198">
        <v>39.33914031</v>
      </c>
      <c r="E23" s="199">
        <v>-27.5605</v>
      </c>
      <c r="F23" s="198">
        <v>48.07202418</v>
      </c>
      <c r="G23" s="199">
        <v>-25.0633</v>
      </c>
      <c r="H23" s="198">
        <v>70.59737709</v>
      </c>
      <c r="I23" s="199">
        <v>0.3283</v>
      </c>
      <c r="J23" s="198">
        <v>85.26234682</v>
      </c>
      <c r="K23" s="199">
        <v>-1.3554</v>
      </c>
    </row>
    <row r="24" ht="21.6" customHeight="1" spans="1:12">
      <c r="A24" s="201" t="s">
        <v>390</v>
      </c>
      <c r="B24" s="202"/>
      <c r="C24" s="196"/>
      <c r="D24" s="202"/>
      <c r="E24" s="196"/>
      <c r="F24" s="202"/>
      <c r="G24" s="196"/>
      <c r="H24" s="202"/>
      <c r="I24" s="196"/>
      <c r="J24" s="202"/>
      <c r="K24" s="196"/>
      <c r="L24" s="159"/>
    </row>
    <row r="25" ht="21.6" customHeight="1" spans="1:12">
      <c r="A25" s="200" t="s">
        <v>391</v>
      </c>
      <c r="B25" s="203">
        <v>51</v>
      </c>
      <c r="C25" s="199">
        <v>-33.8</v>
      </c>
      <c r="D25" s="203">
        <v>8</v>
      </c>
      <c r="E25" s="144" t="s">
        <v>12</v>
      </c>
      <c r="F25" s="203">
        <v>10</v>
      </c>
      <c r="G25" s="199">
        <v>-16.7</v>
      </c>
      <c r="H25" s="203">
        <v>15</v>
      </c>
      <c r="I25" s="199">
        <v>-21.1</v>
      </c>
      <c r="J25" s="203">
        <v>21</v>
      </c>
      <c r="K25" s="199">
        <v>-8.7</v>
      </c>
      <c r="L25" s="159"/>
    </row>
    <row r="26" ht="21.6" customHeight="1" spans="1:12">
      <c r="A26" s="200" t="s">
        <v>392</v>
      </c>
      <c r="B26" s="198">
        <v>2.5321</v>
      </c>
      <c r="C26" s="144" t="s">
        <v>12</v>
      </c>
      <c r="D26" s="198">
        <v>0.0206</v>
      </c>
      <c r="E26" s="199">
        <v>-97.5</v>
      </c>
      <c r="F26" s="198">
        <v>0.0351</v>
      </c>
      <c r="G26" s="199">
        <v>-96</v>
      </c>
      <c r="H26" s="198">
        <v>0.0238</v>
      </c>
      <c r="I26" s="199">
        <v>-98.7</v>
      </c>
      <c r="J26" s="198">
        <v>0.1185</v>
      </c>
      <c r="K26" s="199">
        <v>-93.8</v>
      </c>
      <c r="L26" s="159"/>
    </row>
    <row r="27" ht="21.6" customHeight="1" spans="1:12">
      <c r="A27" s="204" t="s">
        <v>393</v>
      </c>
      <c r="B27" s="205">
        <v>1.512</v>
      </c>
      <c r="C27" s="206">
        <v>-96</v>
      </c>
      <c r="D27" s="205">
        <v>0.1419</v>
      </c>
      <c r="E27" s="207" t="s">
        <v>12</v>
      </c>
      <c r="F27" s="205">
        <v>0.1419</v>
      </c>
      <c r="G27" s="206">
        <v>-70.5</v>
      </c>
      <c r="H27" s="205">
        <v>0.1419</v>
      </c>
      <c r="I27" s="206">
        <v>-73.5</v>
      </c>
      <c r="J27" s="205">
        <v>0.1419</v>
      </c>
      <c r="K27" s="206">
        <v>-79.1</v>
      </c>
      <c r="L27" s="159"/>
    </row>
    <row r="28" ht="34" customHeight="1" spans="1:12">
      <c r="A28" s="172" t="s">
        <v>394</v>
      </c>
      <c r="B28" s="172"/>
      <c r="C28" s="172"/>
      <c r="D28" s="172"/>
      <c r="E28" s="172"/>
      <c r="F28" s="172"/>
      <c r="G28" s="172"/>
      <c r="H28" s="172"/>
      <c r="I28" s="172"/>
      <c r="J28" s="172"/>
      <c r="K28" s="172"/>
      <c r="L28" s="159"/>
    </row>
  </sheetData>
  <mergeCells count="8">
    <mergeCell ref="A1:K1"/>
    <mergeCell ref="B2:C2"/>
    <mergeCell ref="D2:E2"/>
    <mergeCell ref="F2:G2"/>
    <mergeCell ref="H2:I2"/>
    <mergeCell ref="J2:K2"/>
    <mergeCell ref="A28:K28"/>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28"/>
  <sheetViews>
    <sheetView zoomScale="80" zoomScaleNormal="80" workbookViewId="0">
      <pane xSplit="1" ySplit="3" topLeftCell="B4" activePane="bottomRight" state="frozen"/>
      <selection/>
      <selection pane="topRight"/>
      <selection pane="bottomLeft"/>
      <selection pane="bottomRight" activeCell="K10" sqref="K10"/>
    </sheetView>
  </sheetViews>
  <sheetFormatPr defaultColWidth="9" defaultRowHeight="14.25"/>
  <cols>
    <col min="1" max="1" width="31.0916666666667" style="133" customWidth="1"/>
    <col min="2" max="143" width="9" style="133"/>
    <col min="144" max="16384" width="9" style="134"/>
  </cols>
  <sheetData>
    <row r="1" ht="28.5" customHeight="1" spans="1:11">
      <c r="A1" s="135" t="s">
        <v>395</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21" customHeight="1" spans="1:11">
      <c r="A3" s="139"/>
      <c r="B3" s="140" t="s">
        <v>8</v>
      </c>
      <c r="C3" s="141" t="s">
        <v>9</v>
      </c>
      <c r="D3" s="140" t="s">
        <v>8</v>
      </c>
      <c r="E3" s="141" t="s">
        <v>9</v>
      </c>
      <c r="F3" s="140" t="s">
        <v>8</v>
      </c>
      <c r="G3" s="141" t="s">
        <v>9</v>
      </c>
      <c r="H3" s="140" t="s">
        <v>8</v>
      </c>
      <c r="I3" s="141" t="s">
        <v>9</v>
      </c>
      <c r="J3" s="140" t="s">
        <v>8</v>
      </c>
      <c r="K3" s="141" t="s">
        <v>9</v>
      </c>
    </row>
    <row r="4" ht="35.1" customHeight="1" spans="1:11">
      <c r="A4" s="142" t="s">
        <v>396</v>
      </c>
      <c r="B4" s="177">
        <v>32336</v>
      </c>
      <c r="C4" s="178">
        <v>5</v>
      </c>
      <c r="D4" s="177" t="s">
        <v>12</v>
      </c>
      <c r="E4" s="178" t="s">
        <v>12</v>
      </c>
      <c r="F4" s="177">
        <v>9300</v>
      </c>
      <c r="G4" s="178">
        <v>5.5</v>
      </c>
      <c r="H4" s="177" t="s">
        <v>12</v>
      </c>
      <c r="I4" s="178" t="s">
        <v>12</v>
      </c>
      <c r="J4" s="177" t="s">
        <v>12</v>
      </c>
      <c r="K4" s="178" t="s">
        <v>12</v>
      </c>
    </row>
    <row r="5" ht="35.1" customHeight="1" spans="1:11">
      <c r="A5" s="145" t="s">
        <v>397</v>
      </c>
      <c r="B5" s="179">
        <v>39943</v>
      </c>
      <c r="C5" s="180">
        <v>3.9</v>
      </c>
      <c r="D5" s="179" t="s">
        <v>12</v>
      </c>
      <c r="E5" s="180" t="s">
        <v>12</v>
      </c>
      <c r="F5" s="179">
        <v>11347</v>
      </c>
      <c r="G5" s="180">
        <v>4</v>
      </c>
      <c r="H5" s="179" t="s">
        <v>12</v>
      </c>
      <c r="I5" s="180" t="s">
        <v>12</v>
      </c>
      <c r="J5" s="179" t="s">
        <v>12</v>
      </c>
      <c r="K5" s="180" t="s">
        <v>12</v>
      </c>
    </row>
    <row r="6" ht="35.1" customHeight="1" spans="1:11">
      <c r="A6" s="181" t="s">
        <v>398</v>
      </c>
      <c r="B6" s="182">
        <v>25145</v>
      </c>
      <c r="C6" s="183">
        <v>5.9</v>
      </c>
      <c r="D6" s="182" t="s">
        <v>12</v>
      </c>
      <c r="E6" s="183" t="s">
        <v>12</v>
      </c>
      <c r="F6" s="182">
        <v>7284</v>
      </c>
      <c r="G6" s="183">
        <v>6.6</v>
      </c>
      <c r="H6" s="182" t="s">
        <v>12</v>
      </c>
      <c r="I6" s="183" t="s">
        <v>12</v>
      </c>
      <c r="J6" s="182" t="s">
        <v>12</v>
      </c>
      <c r="K6" s="183" t="s">
        <v>12</v>
      </c>
    </row>
    <row r="7" s="133" customFormat="1" ht="22.15" customHeight="1" spans="1:11">
      <c r="A7" s="184"/>
    </row>
    <row r="8" s="133" customFormat="1" ht="22.15" customHeight="1" spans="1:11">
      <c r="A8" s="135" t="s">
        <v>399</v>
      </c>
      <c r="B8" s="135"/>
      <c r="C8" s="135"/>
      <c r="D8" s="135"/>
      <c r="E8" s="135"/>
      <c r="F8" s="135"/>
      <c r="G8" s="135"/>
      <c r="H8" s="135"/>
      <c r="I8" s="135"/>
      <c r="J8" s="135"/>
      <c r="K8" s="135"/>
    </row>
    <row r="9" ht="21" customHeight="1" spans="1:11">
      <c r="A9" s="136" t="s">
        <v>1</v>
      </c>
      <c r="B9" s="137" t="s">
        <v>3</v>
      </c>
      <c r="C9" s="138"/>
      <c r="D9" s="137" t="s">
        <v>4</v>
      </c>
      <c r="E9" s="138"/>
      <c r="F9" s="137" t="s">
        <v>5</v>
      </c>
      <c r="G9" s="138"/>
      <c r="H9" s="137" t="s">
        <v>6</v>
      </c>
      <c r="I9" s="138"/>
      <c r="J9" s="137" t="s">
        <v>7</v>
      </c>
      <c r="K9" s="138"/>
    </row>
    <row r="10" ht="30.6" customHeight="1" spans="1:11">
      <c r="A10" s="185"/>
      <c r="B10" s="140" t="s">
        <v>400</v>
      </c>
      <c r="C10" s="141" t="s">
        <v>401</v>
      </c>
      <c r="D10" s="140" t="s">
        <v>400</v>
      </c>
      <c r="E10" s="141" t="s">
        <v>401</v>
      </c>
      <c r="F10" s="140" t="s">
        <v>400</v>
      </c>
      <c r="G10" s="141" t="s">
        <v>401</v>
      </c>
      <c r="H10" s="140" t="s">
        <v>400</v>
      </c>
      <c r="I10" s="141" t="s">
        <v>401</v>
      </c>
      <c r="J10" s="140" t="s">
        <v>400</v>
      </c>
      <c r="K10" s="141" t="s">
        <v>401</v>
      </c>
    </row>
    <row r="11" ht="21.95" customHeight="1" spans="1:11">
      <c r="A11" s="149" t="s">
        <v>402</v>
      </c>
      <c r="B11" s="186">
        <v>100.6</v>
      </c>
      <c r="C11" s="187">
        <v>99.8</v>
      </c>
      <c r="D11" s="186">
        <v>100.51731007</v>
      </c>
      <c r="E11" s="187">
        <v>99.80073787</v>
      </c>
      <c r="F11" s="186">
        <v>100.744</v>
      </c>
      <c r="G11" s="187">
        <v>100.1136</v>
      </c>
      <c r="H11" s="186">
        <v>101.0414</v>
      </c>
      <c r="I11" s="187">
        <v>100.3448</v>
      </c>
      <c r="J11" s="186">
        <v>101.72229123</v>
      </c>
      <c r="K11" s="187">
        <v>100.61889832</v>
      </c>
    </row>
    <row r="12" ht="21.95" customHeight="1" spans="1:11">
      <c r="A12" s="148" t="s">
        <v>403</v>
      </c>
      <c r="B12" s="188">
        <v>100.8</v>
      </c>
      <c r="C12" s="147">
        <v>99.8</v>
      </c>
      <c r="D12" s="188">
        <v>101.19129929</v>
      </c>
      <c r="E12" s="147">
        <v>100.09838318</v>
      </c>
      <c r="F12" s="188">
        <v>101.3635</v>
      </c>
      <c r="G12" s="147">
        <v>100.5161</v>
      </c>
      <c r="H12" s="188">
        <v>100.2506</v>
      </c>
      <c r="I12" s="147">
        <v>100.4499</v>
      </c>
      <c r="J12" s="188">
        <v>101.36450528</v>
      </c>
      <c r="K12" s="147">
        <v>100.63164378</v>
      </c>
    </row>
    <row r="13" ht="21.95" customHeight="1" spans="1:11">
      <c r="A13" s="148" t="s">
        <v>404</v>
      </c>
      <c r="B13" s="188">
        <v>98.9</v>
      </c>
      <c r="C13" s="147">
        <v>101.5</v>
      </c>
      <c r="D13" s="188">
        <v>97.2472942</v>
      </c>
      <c r="E13" s="147">
        <v>97.55620326</v>
      </c>
      <c r="F13" s="188">
        <v>97.9218</v>
      </c>
      <c r="G13" s="147">
        <v>97.6782</v>
      </c>
      <c r="H13" s="188">
        <v>96.8713</v>
      </c>
      <c r="I13" s="147">
        <v>97.4765</v>
      </c>
      <c r="J13" s="188">
        <v>98.15265008</v>
      </c>
      <c r="K13" s="147">
        <v>97.61006064</v>
      </c>
    </row>
    <row r="14" ht="21.95" customHeight="1" spans="1:11">
      <c r="A14" s="148" t="s">
        <v>405</v>
      </c>
      <c r="B14" s="188">
        <v>115.2</v>
      </c>
      <c r="C14" s="147">
        <v>100.7</v>
      </c>
      <c r="D14" s="188">
        <v>106.11289337</v>
      </c>
      <c r="E14" s="147">
        <v>104.0361112</v>
      </c>
      <c r="F14" s="188">
        <v>104.09400129</v>
      </c>
      <c r="G14" s="147">
        <v>104.05543083</v>
      </c>
      <c r="H14" s="188">
        <v>101.1338</v>
      </c>
      <c r="I14" s="147">
        <v>103.3209</v>
      </c>
      <c r="J14" s="188">
        <v>103.43949596</v>
      </c>
      <c r="K14" s="147">
        <v>103.34459571</v>
      </c>
    </row>
    <row r="15" ht="21.95" customHeight="1" spans="1:11">
      <c r="A15" s="148" t="s">
        <v>406</v>
      </c>
      <c r="B15" s="188">
        <v>95.7</v>
      </c>
      <c r="C15" s="147">
        <v>98.5</v>
      </c>
      <c r="D15" s="188">
        <v>98.2685894</v>
      </c>
      <c r="E15" s="147">
        <v>96.36251669</v>
      </c>
      <c r="F15" s="188">
        <v>99.19198839</v>
      </c>
      <c r="G15" s="147">
        <v>97.28786527</v>
      </c>
      <c r="H15" s="188">
        <v>98.626</v>
      </c>
      <c r="I15" s="147">
        <v>97.6172</v>
      </c>
      <c r="J15" s="188">
        <v>100.11198656</v>
      </c>
      <c r="K15" s="147">
        <v>98.09782735</v>
      </c>
    </row>
    <row r="16" ht="21.95" customHeight="1" spans="1:11">
      <c r="A16" s="148" t="s">
        <v>407</v>
      </c>
      <c r="B16" s="188">
        <v>104</v>
      </c>
      <c r="C16" s="147">
        <v>101.4</v>
      </c>
      <c r="D16" s="188">
        <v>108.03373635</v>
      </c>
      <c r="E16" s="147">
        <v>104.57502421</v>
      </c>
      <c r="F16" s="188">
        <v>108.16788778</v>
      </c>
      <c r="G16" s="147">
        <v>105.73544597</v>
      </c>
      <c r="H16" s="188">
        <v>104.6928</v>
      </c>
      <c r="I16" s="147">
        <v>105.4771</v>
      </c>
      <c r="J16" s="188">
        <v>108.32217214</v>
      </c>
      <c r="K16" s="147">
        <v>106.0420215</v>
      </c>
    </row>
    <row r="17" ht="21.95" customHeight="1" spans="1:11">
      <c r="A17" s="148" t="s">
        <v>408</v>
      </c>
      <c r="B17" s="188">
        <v>96</v>
      </c>
      <c r="C17" s="147">
        <v>98.6</v>
      </c>
      <c r="D17" s="188">
        <v>98.37438024</v>
      </c>
      <c r="E17" s="147">
        <v>97.4126627</v>
      </c>
      <c r="F17" s="188">
        <v>99.70109406</v>
      </c>
      <c r="G17" s="147">
        <v>98.16638221</v>
      </c>
      <c r="H17" s="188">
        <v>99.8619</v>
      </c>
      <c r="I17" s="147">
        <v>98.5859</v>
      </c>
      <c r="J17" s="188">
        <v>99.99714627</v>
      </c>
      <c r="K17" s="147">
        <v>98.86560351</v>
      </c>
    </row>
    <row r="18" ht="21.95" customHeight="1" spans="1:11">
      <c r="A18" s="148" t="s">
        <v>409</v>
      </c>
      <c r="B18" s="188">
        <v>100.6</v>
      </c>
      <c r="C18" s="147">
        <v>100.8</v>
      </c>
      <c r="D18" s="188">
        <v>99.82657544</v>
      </c>
      <c r="E18" s="147">
        <v>99.8846754</v>
      </c>
      <c r="F18" s="188">
        <v>100.19114212</v>
      </c>
      <c r="G18" s="147">
        <v>99.98583921</v>
      </c>
      <c r="H18" s="188">
        <v>100.2957</v>
      </c>
      <c r="I18" s="147">
        <v>100.0627</v>
      </c>
      <c r="J18" s="188">
        <v>100.5614552</v>
      </c>
      <c r="K18" s="147">
        <v>100.16209062</v>
      </c>
    </row>
    <row r="19" ht="21.95" customHeight="1" spans="1:11">
      <c r="A19" s="148" t="s">
        <v>410</v>
      </c>
      <c r="B19" s="188">
        <v>107.8</v>
      </c>
      <c r="C19" s="147">
        <v>102.6</v>
      </c>
      <c r="D19" s="188">
        <v>107.37225632</v>
      </c>
      <c r="E19" s="147">
        <v>107.29664861</v>
      </c>
      <c r="F19" s="188">
        <v>104.09066496</v>
      </c>
      <c r="G19" s="147">
        <v>106.20567133</v>
      </c>
      <c r="H19" s="188">
        <v>106.8243</v>
      </c>
      <c r="I19" s="147">
        <v>106.3597</v>
      </c>
      <c r="J19" s="188">
        <v>108.02367601</v>
      </c>
      <c r="K19" s="147">
        <v>106.69711822</v>
      </c>
    </row>
    <row r="20" ht="21.95" customHeight="1" spans="1:11">
      <c r="A20" s="148" t="s">
        <v>411</v>
      </c>
      <c r="B20" s="188">
        <v>99.4</v>
      </c>
      <c r="C20" s="147">
        <v>99.4</v>
      </c>
      <c r="D20" s="188">
        <v>99.01689311</v>
      </c>
      <c r="E20" s="147">
        <v>99.25774922</v>
      </c>
      <c r="F20" s="188">
        <v>100.11438942</v>
      </c>
      <c r="G20" s="147">
        <v>99.5433165</v>
      </c>
      <c r="H20" s="188">
        <v>100.4319</v>
      </c>
      <c r="I20" s="147">
        <v>99.7653</v>
      </c>
      <c r="J20" s="188">
        <v>100.94351905</v>
      </c>
      <c r="K20" s="147">
        <v>100.00032528</v>
      </c>
    </row>
    <row r="21" ht="21.95" customHeight="1" spans="1:11">
      <c r="A21" s="148" t="s">
        <v>412</v>
      </c>
      <c r="B21" s="188">
        <v>101</v>
      </c>
      <c r="C21" s="147">
        <v>100.6</v>
      </c>
      <c r="D21" s="188">
        <v>102.37017268</v>
      </c>
      <c r="E21" s="147">
        <v>101.33614811</v>
      </c>
      <c r="F21" s="188">
        <v>99.59747433</v>
      </c>
      <c r="G21" s="147">
        <v>100.7511445</v>
      </c>
      <c r="H21" s="188">
        <v>99.5815</v>
      </c>
      <c r="I21" s="147">
        <v>100.4564</v>
      </c>
      <c r="J21" s="188">
        <v>99.7022639</v>
      </c>
      <c r="K21" s="147">
        <v>100.30609896</v>
      </c>
    </row>
    <row r="22" ht="21.95" customHeight="1" spans="1:11">
      <c r="A22" s="148" t="s">
        <v>413</v>
      </c>
      <c r="B22" s="188">
        <v>96.8</v>
      </c>
      <c r="C22" s="147">
        <v>96.9</v>
      </c>
      <c r="D22" s="188">
        <v>97.32998598</v>
      </c>
      <c r="E22" s="147">
        <v>95.96735975</v>
      </c>
      <c r="F22" s="188">
        <v>99.06831835</v>
      </c>
      <c r="G22" s="147">
        <v>96.989384</v>
      </c>
      <c r="H22" s="188">
        <v>102.6927</v>
      </c>
      <c r="I22" s="147">
        <v>98.3956</v>
      </c>
      <c r="J22" s="188">
        <v>103.17887856</v>
      </c>
      <c r="K22" s="147">
        <v>99.33648836</v>
      </c>
    </row>
    <row r="23" ht="21.95" customHeight="1" spans="1:11">
      <c r="A23" s="148" t="s">
        <v>414</v>
      </c>
      <c r="B23" s="188">
        <v>99.7</v>
      </c>
      <c r="C23" s="147">
        <v>99.8</v>
      </c>
      <c r="D23" s="188">
        <v>100.66368716</v>
      </c>
      <c r="E23" s="147">
        <v>99.93228801</v>
      </c>
      <c r="F23" s="188">
        <v>100.4481725</v>
      </c>
      <c r="G23" s="147">
        <v>100.10326476</v>
      </c>
      <c r="H23" s="188">
        <v>100.7543</v>
      </c>
      <c r="I23" s="147">
        <v>100.2654</v>
      </c>
      <c r="J23" s="188">
        <v>100.92858164</v>
      </c>
      <c r="K23" s="147">
        <v>100.39762762</v>
      </c>
    </row>
    <row r="24" ht="21.95" customHeight="1" spans="1:11">
      <c r="A24" s="148" t="s">
        <v>415</v>
      </c>
      <c r="B24" s="188">
        <v>100</v>
      </c>
      <c r="C24" s="147">
        <v>100</v>
      </c>
      <c r="D24" s="188">
        <v>99.92906756</v>
      </c>
      <c r="E24" s="147">
        <v>99.96453378</v>
      </c>
      <c r="F24" s="188">
        <v>99.92906756</v>
      </c>
      <c r="G24" s="147">
        <v>99.95271171</v>
      </c>
      <c r="H24" s="188">
        <v>99.9291</v>
      </c>
      <c r="I24" s="147">
        <v>99.9468</v>
      </c>
      <c r="J24" s="188">
        <v>99.92906756</v>
      </c>
      <c r="K24" s="147">
        <v>99.94325405</v>
      </c>
    </row>
    <row r="25" ht="21.95" customHeight="1" spans="1:11">
      <c r="A25" s="148" t="s">
        <v>416</v>
      </c>
      <c r="B25" s="188">
        <v>100</v>
      </c>
      <c r="C25" s="147">
        <v>99.9</v>
      </c>
      <c r="D25" s="188">
        <v>100.36906867</v>
      </c>
      <c r="E25" s="147">
        <v>100.253855</v>
      </c>
      <c r="F25" s="188">
        <v>100.22813136</v>
      </c>
      <c r="G25" s="147">
        <v>100.24528757</v>
      </c>
      <c r="H25" s="188">
        <v>102.9799</v>
      </c>
      <c r="I25" s="147">
        <v>100.9285</v>
      </c>
      <c r="J25" s="188">
        <v>102.88198761</v>
      </c>
      <c r="K25" s="147">
        <v>101.31964981</v>
      </c>
    </row>
    <row r="26" ht="21.95" customHeight="1" spans="1:11">
      <c r="A26" s="148" t="s">
        <v>417</v>
      </c>
      <c r="B26" s="189">
        <v>113.5</v>
      </c>
      <c r="C26" s="151">
        <v>106.6</v>
      </c>
      <c r="D26" s="189">
        <v>109.12399412</v>
      </c>
      <c r="E26" s="151">
        <v>106.99624667</v>
      </c>
      <c r="F26" s="189">
        <v>107.48047906</v>
      </c>
      <c r="G26" s="151">
        <v>107.15582018</v>
      </c>
      <c r="H26" s="189">
        <v>106.0429</v>
      </c>
      <c r="I26" s="151">
        <v>106.8784</v>
      </c>
      <c r="J26" s="189">
        <v>105.7383881</v>
      </c>
      <c r="K26" s="151">
        <v>106.65129333</v>
      </c>
    </row>
    <row r="27" ht="21.95" customHeight="1" spans="1:11">
      <c r="A27" s="190" t="s">
        <v>418</v>
      </c>
      <c r="B27" s="191">
        <v>99.9</v>
      </c>
      <c r="C27" s="192">
        <v>99.6</v>
      </c>
      <c r="D27" s="191">
        <v>100.33871532</v>
      </c>
      <c r="E27" s="192">
        <v>99.77942707</v>
      </c>
      <c r="F27" s="191">
        <v>100.19366477</v>
      </c>
      <c r="G27" s="192">
        <v>99.91682184</v>
      </c>
      <c r="H27" s="191">
        <v>100.8909</v>
      </c>
      <c r="I27" s="192">
        <v>100.1594</v>
      </c>
      <c r="J27" s="191">
        <v>101.09551785</v>
      </c>
      <c r="K27" s="192">
        <v>100.34604739</v>
      </c>
    </row>
    <row r="28" ht="21.6" customHeight="1" spans="1:11">
      <c r="A28" s="193" t="s">
        <v>419</v>
      </c>
      <c r="B28" s="193"/>
      <c r="C28" s="193"/>
      <c r="D28" s="193"/>
      <c r="E28" s="193"/>
      <c r="F28" s="193"/>
      <c r="G28" s="193"/>
      <c r="H28" s="193"/>
      <c r="I28" s="193"/>
      <c r="J28" s="193"/>
      <c r="K28" s="193"/>
    </row>
  </sheetData>
  <mergeCells count="15">
    <mergeCell ref="A1:K1"/>
    <mergeCell ref="B2:C2"/>
    <mergeCell ref="D2:E2"/>
    <mergeCell ref="F2:G2"/>
    <mergeCell ref="H2:I2"/>
    <mergeCell ref="J2:K2"/>
    <mergeCell ref="A8:K8"/>
    <mergeCell ref="B9:C9"/>
    <mergeCell ref="D9:E9"/>
    <mergeCell ref="F9:G9"/>
    <mergeCell ref="H9:I9"/>
    <mergeCell ref="J9:K9"/>
    <mergeCell ref="A28:K28"/>
    <mergeCell ref="A2:A3"/>
    <mergeCell ref="A9:A10"/>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29"/>
  <sheetViews>
    <sheetView zoomScale="85" zoomScaleNormal="85" workbookViewId="0">
      <pane xSplit="1" ySplit="3" topLeftCell="B4" activePane="bottomRight" state="frozen"/>
      <selection/>
      <selection pane="topRight"/>
      <selection pane="bottomLeft"/>
      <selection pane="bottomRight" activeCell="H20" sqref="H20"/>
    </sheetView>
  </sheetViews>
  <sheetFormatPr defaultColWidth="9" defaultRowHeight="14.25" outlineLevelCol="4"/>
  <cols>
    <col min="1" max="1" width="36.1083333333333" style="133" customWidth="1"/>
    <col min="2" max="2" width="11.8" style="133" customWidth="1"/>
    <col min="3" max="3" width="10" style="133" customWidth="1"/>
    <col min="4" max="4" width="11.8" style="133" customWidth="1"/>
    <col min="5" max="5" width="10" style="133" customWidth="1"/>
    <col min="6" max="183" width="9" style="133"/>
    <col min="184" max="16384" width="9" style="134"/>
  </cols>
  <sheetData>
    <row r="1" ht="28.5" customHeight="1" spans="1:5">
      <c r="A1" s="135" t="s">
        <v>420</v>
      </c>
      <c r="B1" s="135"/>
      <c r="C1" s="135"/>
      <c r="D1" s="135"/>
      <c r="E1" s="135"/>
    </row>
    <row r="2" ht="21" customHeight="1" spans="1:5">
      <c r="A2" s="136" t="s">
        <v>1</v>
      </c>
      <c r="B2" s="137" t="s">
        <v>3</v>
      </c>
      <c r="C2" s="138"/>
      <c r="D2" s="137" t="s">
        <v>5</v>
      </c>
      <c r="E2" s="138"/>
    </row>
    <row r="3" ht="21" customHeight="1" spans="1:5">
      <c r="A3" s="139"/>
      <c r="B3" s="140" t="s">
        <v>8</v>
      </c>
      <c r="C3" s="141" t="s">
        <v>9</v>
      </c>
      <c r="D3" s="140" t="s">
        <v>8</v>
      </c>
      <c r="E3" s="141" t="s">
        <v>9</v>
      </c>
    </row>
    <row r="4" ht="22.9" customHeight="1" spans="1:5">
      <c r="A4" s="142" t="s">
        <v>421</v>
      </c>
      <c r="B4" s="143"/>
      <c r="C4" s="144"/>
      <c r="D4" s="143"/>
      <c r="E4" s="144"/>
    </row>
    <row r="5" ht="22.9" customHeight="1" spans="1:5">
      <c r="A5" s="145" t="s">
        <v>422</v>
      </c>
      <c r="B5" s="146">
        <v>3952.94227413373</v>
      </c>
      <c r="C5" s="168">
        <v>4.51607563014944</v>
      </c>
      <c r="D5" s="146">
        <v>901.612500588815</v>
      </c>
      <c r="E5" s="168">
        <v>6.79808503723845</v>
      </c>
    </row>
    <row r="6" ht="22.9" customHeight="1" spans="1:5">
      <c r="A6" s="148" t="s">
        <v>82</v>
      </c>
      <c r="B6" s="146">
        <v>380.982682914344</v>
      </c>
      <c r="C6" s="168">
        <v>2.23910230970763</v>
      </c>
      <c r="D6" s="146">
        <v>92.2414133458563</v>
      </c>
      <c r="E6" s="168">
        <v>3.05602075241491</v>
      </c>
    </row>
    <row r="7" ht="22.9" customHeight="1" spans="1:5">
      <c r="A7" s="148" t="s">
        <v>83</v>
      </c>
      <c r="B7" s="146">
        <v>470.121606532598</v>
      </c>
      <c r="C7" s="168">
        <v>2.53412034291698</v>
      </c>
      <c r="D7" s="146">
        <v>111.264022171274</v>
      </c>
      <c r="E7" s="168">
        <v>4.14732157318871</v>
      </c>
    </row>
    <row r="8" ht="22.9" customHeight="1" spans="1:5">
      <c r="A8" s="148" t="s">
        <v>84</v>
      </c>
      <c r="B8" s="146">
        <v>435.353726595585</v>
      </c>
      <c r="C8" s="168">
        <v>10.6064021446938</v>
      </c>
      <c r="D8" s="146">
        <v>119.727567881731</v>
      </c>
      <c r="E8" s="168">
        <v>22.9171398818712</v>
      </c>
    </row>
    <row r="9" ht="22.9" customHeight="1" spans="1:5">
      <c r="A9" s="148" t="s">
        <v>85</v>
      </c>
      <c r="B9" s="146">
        <v>205.821047344862</v>
      </c>
      <c r="C9" s="168">
        <v>0.214275737830548</v>
      </c>
      <c r="D9" s="146">
        <v>48.1220791546109</v>
      </c>
      <c r="E9" s="168">
        <v>4.36134262349506</v>
      </c>
    </row>
    <row r="10" ht="22.9" customHeight="1" spans="1:5">
      <c r="A10" s="148" t="s">
        <v>86</v>
      </c>
      <c r="B10" s="146">
        <v>316.355274821596</v>
      </c>
      <c r="C10" s="168">
        <v>1.53532870949746</v>
      </c>
      <c r="D10" s="146">
        <v>66.2900065673388</v>
      </c>
      <c r="E10" s="168">
        <v>1.96416344678025</v>
      </c>
    </row>
    <row r="11" ht="22.9" customHeight="1" spans="1:5">
      <c r="A11" s="148" t="s">
        <v>87</v>
      </c>
      <c r="B11" s="146">
        <v>285.557943320817</v>
      </c>
      <c r="C11" s="168">
        <v>4.46650246706592</v>
      </c>
      <c r="D11" s="146">
        <v>64.9554525166309</v>
      </c>
      <c r="E11" s="168">
        <v>6.95021518690911</v>
      </c>
    </row>
    <row r="12" ht="22.9" customHeight="1" spans="1:5">
      <c r="A12" s="148" t="s">
        <v>88</v>
      </c>
      <c r="B12" s="146">
        <v>411.387041778039</v>
      </c>
      <c r="C12" s="168">
        <v>5.46901927032179</v>
      </c>
      <c r="D12" s="146">
        <v>91.9279089318699</v>
      </c>
      <c r="E12" s="168">
        <v>3.64767430510622</v>
      </c>
    </row>
    <row r="13" ht="22.9" customHeight="1" spans="1:5">
      <c r="A13" s="148" t="s">
        <v>89</v>
      </c>
      <c r="B13" s="146">
        <v>438.269132508431</v>
      </c>
      <c r="C13" s="168">
        <v>3.60442560713723</v>
      </c>
      <c r="D13" s="146">
        <v>83.2783854212022</v>
      </c>
      <c r="E13" s="168">
        <v>3.67750995527849</v>
      </c>
    </row>
    <row r="14" ht="22.9" customHeight="1" spans="1:5">
      <c r="A14" s="148" t="s">
        <v>90</v>
      </c>
      <c r="B14" s="146">
        <v>588.080401003702</v>
      </c>
      <c r="C14" s="168">
        <v>1.51489570340641</v>
      </c>
      <c r="D14" s="146">
        <v>113.392918674228</v>
      </c>
      <c r="E14" s="168">
        <v>4.2055098547698</v>
      </c>
    </row>
    <row r="15" ht="22.9" customHeight="1" spans="1:5">
      <c r="A15" s="148" t="s">
        <v>423</v>
      </c>
      <c r="B15" s="146">
        <v>802.041449672408</v>
      </c>
      <c r="C15" s="168">
        <v>6.02127465143867</v>
      </c>
      <c r="D15" s="146">
        <v>189.544949677749</v>
      </c>
      <c r="E15" s="168">
        <v>7.47788303103427</v>
      </c>
    </row>
    <row r="16" ht="22.9" customHeight="1" spans="1:5">
      <c r="A16" s="148"/>
      <c r="B16" s="146"/>
      <c r="C16" s="147"/>
      <c r="D16" s="146"/>
      <c r="E16" s="147"/>
    </row>
    <row r="17" ht="22.9" customHeight="1" spans="1:5">
      <c r="A17" s="149" t="s">
        <v>424</v>
      </c>
      <c r="B17" s="146"/>
      <c r="C17" s="147"/>
      <c r="D17" s="146"/>
      <c r="E17" s="147"/>
    </row>
    <row r="18" ht="22.9" customHeight="1" spans="1:5">
      <c r="A18" s="145" t="s">
        <v>422</v>
      </c>
      <c r="B18" s="146">
        <v>734.617909621413</v>
      </c>
      <c r="C18" s="147">
        <v>3.5402725020239</v>
      </c>
      <c r="D18" s="146">
        <v>115.313333035097</v>
      </c>
      <c r="E18" s="147">
        <v>3.99858942100057</v>
      </c>
    </row>
    <row r="19" ht="22.9" customHeight="1" spans="1:5">
      <c r="A19" s="148" t="s">
        <v>82</v>
      </c>
      <c r="B19" s="150">
        <v>1.13516037785593</v>
      </c>
      <c r="C19" s="151">
        <v>79.6257857914024</v>
      </c>
      <c r="D19" s="150">
        <v>0.215119927003105</v>
      </c>
      <c r="E19" s="151">
        <v>50.80202746464</v>
      </c>
    </row>
    <row r="20" ht="22.9" customHeight="1" spans="1:5">
      <c r="A20" s="148" t="s">
        <v>83</v>
      </c>
      <c r="B20" s="146">
        <v>3.58721917055748</v>
      </c>
      <c r="C20" s="147">
        <v>25.67507416019</v>
      </c>
      <c r="D20" s="146">
        <v>0.68</v>
      </c>
      <c r="E20" s="147">
        <v>13.0774979862722</v>
      </c>
    </row>
    <row r="21" ht="22.9" customHeight="1" spans="1:5">
      <c r="A21" s="148" t="s">
        <v>84</v>
      </c>
      <c r="B21" s="146">
        <v>32.1409210474438</v>
      </c>
      <c r="C21" s="147">
        <v>7.77204784593432</v>
      </c>
      <c r="D21" s="146">
        <v>4.75530619460944</v>
      </c>
      <c r="E21" s="147">
        <v>1.25710625132101</v>
      </c>
    </row>
    <row r="22" ht="22.9" customHeight="1" spans="1:5">
      <c r="A22" s="148" t="s">
        <v>85</v>
      </c>
      <c r="B22" s="146">
        <v>34.347320900499</v>
      </c>
      <c r="C22" s="147">
        <v>5.93192309081864</v>
      </c>
      <c r="D22" s="146">
        <v>5.55606786548305</v>
      </c>
      <c r="E22" s="147">
        <v>3.72770876227773</v>
      </c>
    </row>
    <row r="23" ht="22.9" customHeight="1" spans="1:5">
      <c r="A23" s="148" t="s">
        <v>86</v>
      </c>
      <c r="B23" s="146">
        <v>40.7639934703327</v>
      </c>
      <c r="C23" s="147">
        <v>2.66461713006603</v>
      </c>
      <c r="D23" s="146">
        <v>5.16834297236717</v>
      </c>
      <c r="E23" s="147">
        <v>-1.15086093048114</v>
      </c>
    </row>
    <row r="24" ht="22.9" customHeight="1" spans="1:5">
      <c r="A24" s="148" t="s">
        <v>87</v>
      </c>
      <c r="B24" s="146">
        <v>117.844524466623</v>
      </c>
      <c r="C24" s="147">
        <v>3.40791267222403</v>
      </c>
      <c r="D24" s="146">
        <v>25.2097069071545</v>
      </c>
      <c r="E24" s="147">
        <v>8.59783607242596</v>
      </c>
    </row>
    <row r="25" ht="22.9" customHeight="1" spans="1:5">
      <c r="A25" s="148" t="s">
        <v>88</v>
      </c>
      <c r="B25" s="146">
        <v>169.161313576743</v>
      </c>
      <c r="C25" s="147">
        <v>4.04988384504981</v>
      </c>
      <c r="D25" s="146">
        <v>32.51</v>
      </c>
      <c r="E25" s="147">
        <v>7.17443128083129</v>
      </c>
    </row>
    <row r="26" ht="22.9" customHeight="1" spans="1:5">
      <c r="A26" s="148" t="s">
        <v>89</v>
      </c>
      <c r="B26" s="146">
        <v>168.211068574089</v>
      </c>
      <c r="C26" s="147">
        <v>3.87593793483303</v>
      </c>
      <c r="D26" s="146">
        <v>21.0304500548466</v>
      </c>
      <c r="E26" s="147">
        <v>1.17535338317821</v>
      </c>
    </row>
    <row r="27" ht="22.9" customHeight="1" spans="1:5">
      <c r="A27" s="148" t="s">
        <v>90</v>
      </c>
      <c r="B27" s="146">
        <v>144.441891728893</v>
      </c>
      <c r="C27" s="147">
        <v>3.13993705019794</v>
      </c>
      <c r="D27" s="146">
        <v>16.9129891432363</v>
      </c>
      <c r="E27" s="147">
        <v>2.30717728756709</v>
      </c>
    </row>
    <row r="28" ht="22.9" customHeight="1" spans="1:5">
      <c r="A28" s="152" t="s">
        <v>423</v>
      </c>
      <c r="B28" s="153">
        <v>23.2106052605873</v>
      </c>
      <c r="C28" s="154">
        <v>2.82308486041138</v>
      </c>
      <c r="D28" s="153">
        <v>3.18011787206511</v>
      </c>
      <c r="E28" s="154">
        <v>0.3103616636255</v>
      </c>
    </row>
    <row r="29" ht="54" customHeight="1" spans="1:5">
      <c r="A29" s="172" t="s">
        <v>425</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32"/>
  <sheetViews>
    <sheetView zoomScale="80" zoomScaleNormal="80" workbookViewId="0">
      <pane xSplit="2" ySplit="3" topLeftCell="C4" activePane="bottomRight" state="frozen"/>
      <selection/>
      <selection pane="topRight"/>
      <selection pane="bottomLeft"/>
      <selection pane="bottomRight" activeCell="A32" sqref="A32:L32"/>
    </sheetView>
  </sheetViews>
  <sheetFormatPr defaultColWidth="9" defaultRowHeight="14.25"/>
  <cols>
    <col min="1" max="1" width="33.125" style="254" customWidth="1"/>
    <col min="2" max="2" width="9.625" style="254" customWidth="1"/>
    <col min="3" max="3" width="10.375" style="254"/>
    <col min="4" max="12" width="9.375" style="254"/>
    <col min="13" max="16384" width="9" style="254"/>
  </cols>
  <sheetData>
    <row r="1" ht="24.95" customHeight="1" spans="1:12">
      <c r="A1" s="135" t="s">
        <v>0</v>
      </c>
      <c r="B1" s="135"/>
      <c r="C1" s="135"/>
      <c r="D1" s="135"/>
      <c r="E1" s="135"/>
      <c r="F1" s="135"/>
      <c r="G1" s="135"/>
      <c r="H1" s="135"/>
      <c r="I1" s="135"/>
      <c r="J1" s="135"/>
      <c r="K1" s="135"/>
      <c r="L1" s="135"/>
    </row>
    <row r="2" s="286" customFormat="1" ht="21" customHeight="1" spans="1:12">
      <c r="A2" s="136" t="s">
        <v>1</v>
      </c>
      <c r="B2" s="230" t="s">
        <v>2</v>
      </c>
      <c r="C2" s="137" t="s">
        <v>3</v>
      </c>
      <c r="D2" s="138"/>
      <c r="E2" s="137" t="s">
        <v>4</v>
      </c>
      <c r="F2" s="138"/>
      <c r="G2" s="137" t="s">
        <v>5</v>
      </c>
      <c r="H2" s="138"/>
      <c r="I2" s="137" t="s">
        <v>6</v>
      </c>
      <c r="J2" s="138"/>
      <c r="K2" s="137" t="s">
        <v>7</v>
      </c>
      <c r="L2" s="138"/>
    </row>
    <row r="3" s="286" customFormat="1" ht="21" customHeight="1" spans="1:12">
      <c r="A3" s="139"/>
      <c r="B3" s="231"/>
      <c r="C3" s="140" t="s">
        <v>8</v>
      </c>
      <c r="D3" s="141" t="s">
        <v>9</v>
      </c>
      <c r="E3" s="140" t="s">
        <v>8</v>
      </c>
      <c r="F3" s="141" t="s">
        <v>9</v>
      </c>
      <c r="G3" s="140" t="s">
        <v>8</v>
      </c>
      <c r="H3" s="141" t="s">
        <v>9</v>
      </c>
      <c r="I3" s="140" t="s">
        <v>8</v>
      </c>
      <c r="J3" s="141" t="s">
        <v>9</v>
      </c>
      <c r="K3" s="140" t="s">
        <v>8</v>
      </c>
      <c r="L3" s="141" t="s">
        <v>9</v>
      </c>
    </row>
    <row r="4" ht="18" customHeight="1" spans="1:12">
      <c r="A4" s="334" t="s">
        <v>10</v>
      </c>
      <c r="B4" s="335" t="s">
        <v>11</v>
      </c>
      <c r="C4" s="146">
        <v>3952.94227413373</v>
      </c>
      <c r="D4" s="336">
        <v>4.51607563014944</v>
      </c>
      <c r="E4" s="161" t="s">
        <v>12</v>
      </c>
      <c r="F4" s="337" t="s">
        <v>12</v>
      </c>
      <c r="G4" s="146">
        <v>901.612500588815</v>
      </c>
      <c r="H4" s="336">
        <v>6.79808503723845</v>
      </c>
      <c r="I4" s="161" t="s">
        <v>12</v>
      </c>
      <c r="J4" s="337" t="s">
        <v>12</v>
      </c>
      <c r="K4" s="161" t="s">
        <v>12</v>
      </c>
      <c r="L4" s="337" t="s">
        <v>12</v>
      </c>
    </row>
    <row r="5" ht="18" customHeight="1" spans="1:12">
      <c r="A5" s="234" t="s">
        <v>13</v>
      </c>
      <c r="B5" s="235" t="s">
        <v>11</v>
      </c>
      <c r="C5" s="146">
        <v>734.617909621413</v>
      </c>
      <c r="D5" s="147">
        <v>3.5402725020239</v>
      </c>
      <c r="E5" s="161" t="s">
        <v>12</v>
      </c>
      <c r="F5" s="162" t="s">
        <v>12</v>
      </c>
      <c r="G5" s="146">
        <v>115.313333035097</v>
      </c>
      <c r="H5" s="147">
        <v>3.99858942100057</v>
      </c>
      <c r="I5" s="161" t="s">
        <v>12</v>
      </c>
      <c r="J5" s="162" t="s">
        <v>12</v>
      </c>
      <c r="K5" s="161" t="s">
        <v>12</v>
      </c>
      <c r="L5" s="162" t="s">
        <v>12</v>
      </c>
    </row>
    <row r="6" ht="18" customHeight="1" spans="1:12">
      <c r="A6" s="234" t="s">
        <v>14</v>
      </c>
      <c r="B6" s="235" t="s">
        <v>11</v>
      </c>
      <c r="C6" s="146">
        <v>1287.52804240607</v>
      </c>
      <c r="D6" s="147">
        <v>4.73244473190996</v>
      </c>
      <c r="E6" s="161" t="s">
        <v>12</v>
      </c>
      <c r="F6" s="162" t="s">
        <v>12</v>
      </c>
      <c r="G6" s="146">
        <v>319.669924967706</v>
      </c>
      <c r="H6" s="147">
        <v>14.5734977110831</v>
      </c>
      <c r="I6" s="161" t="s">
        <v>12</v>
      </c>
      <c r="J6" s="162" t="s">
        <v>12</v>
      </c>
      <c r="K6" s="161" t="s">
        <v>12</v>
      </c>
      <c r="L6" s="162" t="s">
        <v>12</v>
      </c>
    </row>
    <row r="7" ht="18" customHeight="1" spans="1:12">
      <c r="A7" s="234" t="s">
        <v>15</v>
      </c>
      <c r="B7" s="235" t="s">
        <v>11</v>
      </c>
      <c r="C7" s="146">
        <v>254.758067434914</v>
      </c>
      <c r="D7" s="147">
        <v>-7.87016165529211</v>
      </c>
      <c r="E7" s="161" t="s">
        <v>12</v>
      </c>
      <c r="F7" s="162" t="s">
        <v>12</v>
      </c>
      <c r="G7" s="146">
        <v>40.4584931859639</v>
      </c>
      <c r="H7" s="147">
        <v>-3.47137678632271</v>
      </c>
      <c r="I7" s="161" t="s">
        <v>12</v>
      </c>
      <c r="J7" s="162" t="s">
        <v>12</v>
      </c>
      <c r="K7" s="161" t="s">
        <v>12</v>
      </c>
      <c r="L7" s="162" t="s">
        <v>12</v>
      </c>
    </row>
    <row r="8" ht="18" customHeight="1" spans="1:12">
      <c r="A8" s="234" t="s">
        <v>16</v>
      </c>
      <c r="B8" s="235" t="s">
        <v>11</v>
      </c>
      <c r="C8" s="146">
        <v>1930.79</v>
      </c>
      <c r="D8" s="147">
        <v>4.76940880888567</v>
      </c>
      <c r="E8" s="161" t="s">
        <v>12</v>
      </c>
      <c r="F8" s="162" t="s">
        <v>12</v>
      </c>
      <c r="G8" s="146">
        <v>466.629242586013</v>
      </c>
      <c r="H8" s="147">
        <v>2.57553281723351</v>
      </c>
      <c r="I8" s="161" t="s">
        <v>12</v>
      </c>
      <c r="J8" s="162" t="s">
        <v>12</v>
      </c>
      <c r="K8" s="161" t="s">
        <v>12</v>
      </c>
      <c r="L8" s="162" t="s">
        <v>12</v>
      </c>
    </row>
    <row r="9" ht="18" customHeight="1" spans="1:12">
      <c r="A9" s="266" t="s">
        <v>17</v>
      </c>
      <c r="B9" s="235" t="s">
        <v>11</v>
      </c>
      <c r="C9" s="146">
        <v>135.749814646514</v>
      </c>
      <c r="D9" s="147">
        <v>2.75992444166862</v>
      </c>
      <c r="E9" s="161" t="s">
        <v>12</v>
      </c>
      <c r="F9" s="162" t="s">
        <v>12</v>
      </c>
      <c r="G9" s="146">
        <v>33.2057176914967</v>
      </c>
      <c r="H9" s="147">
        <v>10.5356867340705</v>
      </c>
      <c r="I9" s="161" t="s">
        <v>12</v>
      </c>
      <c r="J9" s="162" t="s">
        <v>12</v>
      </c>
      <c r="K9" s="161" t="s">
        <v>12</v>
      </c>
      <c r="L9" s="162" t="s">
        <v>12</v>
      </c>
    </row>
    <row r="10" ht="18" customHeight="1" spans="1:12">
      <c r="A10" s="234" t="s">
        <v>18</v>
      </c>
      <c r="B10" s="235" t="s">
        <v>11</v>
      </c>
      <c r="C10" s="146">
        <v>396.078761816351</v>
      </c>
      <c r="D10" s="147">
        <v>4.02741503576569</v>
      </c>
      <c r="E10" s="161" t="s">
        <v>12</v>
      </c>
      <c r="F10" s="162" t="s">
        <v>12</v>
      </c>
      <c r="G10" s="146">
        <v>82.1571903771169</v>
      </c>
      <c r="H10" s="147">
        <v>-0.578502532809139</v>
      </c>
      <c r="I10" s="161" t="s">
        <v>12</v>
      </c>
      <c r="J10" s="162" t="s">
        <v>12</v>
      </c>
      <c r="K10" s="161" t="s">
        <v>12</v>
      </c>
      <c r="L10" s="162" t="s">
        <v>12</v>
      </c>
    </row>
    <row r="11" ht="18" customHeight="1" spans="1:12">
      <c r="A11" s="234" t="s">
        <v>19</v>
      </c>
      <c r="B11" s="235" t="s">
        <v>11</v>
      </c>
      <c r="C11" s="146">
        <v>73.962692691846</v>
      </c>
      <c r="D11" s="147">
        <v>1.78400158557656</v>
      </c>
      <c r="E11" s="161" t="s">
        <v>12</v>
      </c>
      <c r="F11" s="162" t="s">
        <v>12</v>
      </c>
      <c r="G11" s="146">
        <v>15.0583654338395</v>
      </c>
      <c r="H11" s="147">
        <v>3.44260711538027</v>
      </c>
      <c r="I11" s="161" t="s">
        <v>12</v>
      </c>
      <c r="J11" s="162" t="s">
        <v>12</v>
      </c>
      <c r="K11" s="161" t="s">
        <v>12</v>
      </c>
      <c r="L11" s="162" t="s">
        <v>12</v>
      </c>
    </row>
    <row r="12" ht="18" customHeight="1" spans="1:12">
      <c r="A12" s="234" t="s">
        <v>20</v>
      </c>
      <c r="B12" s="235" t="s">
        <v>11</v>
      </c>
      <c r="C12" s="146">
        <v>160.722132465341</v>
      </c>
      <c r="D12" s="147">
        <v>5.81967530577998</v>
      </c>
      <c r="E12" s="161" t="s">
        <v>12</v>
      </c>
      <c r="F12" s="162" t="s">
        <v>12</v>
      </c>
      <c r="G12" s="146">
        <v>43.2441841093201</v>
      </c>
      <c r="H12" s="147">
        <v>3.35913670961172</v>
      </c>
      <c r="I12" s="161" t="s">
        <v>12</v>
      </c>
      <c r="J12" s="162" t="s">
        <v>12</v>
      </c>
      <c r="K12" s="161" t="s">
        <v>12</v>
      </c>
      <c r="L12" s="162" t="s">
        <v>12</v>
      </c>
    </row>
    <row r="13" ht="18" customHeight="1" spans="1:12">
      <c r="A13" s="234" t="s">
        <v>21</v>
      </c>
      <c r="B13" s="235" t="s">
        <v>11</v>
      </c>
      <c r="C13" s="146">
        <v>318.764946355736</v>
      </c>
      <c r="D13" s="147">
        <v>2.23576881391551</v>
      </c>
      <c r="E13" s="161" t="s">
        <v>12</v>
      </c>
      <c r="F13" s="162" t="s">
        <v>12</v>
      </c>
      <c r="G13" s="146">
        <v>72.7452791365009</v>
      </c>
      <c r="H13" s="147">
        <v>0.067859630748373</v>
      </c>
      <c r="I13" s="161" t="s">
        <v>12</v>
      </c>
      <c r="J13" s="162" t="s">
        <v>12</v>
      </c>
      <c r="K13" s="161" t="s">
        <v>12</v>
      </c>
      <c r="L13" s="162" t="s">
        <v>12</v>
      </c>
    </row>
    <row r="14" ht="18" customHeight="1" spans="1:12">
      <c r="A14" s="234" t="s">
        <v>22</v>
      </c>
      <c r="B14" s="235" t="s">
        <v>11</v>
      </c>
      <c r="C14" s="146">
        <v>806.394213147149</v>
      </c>
      <c r="D14" s="147">
        <v>6.13833785165153</v>
      </c>
      <c r="E14" s="161" t="s">
        <v>12</v>
      </c>
      <c r="F14" s="162" t="s">
        <v>12</v>
      </c>
      <c r="G14" s="146">
        <v>212.567976917751</v>
      </c>
      <c r="H14" s="147">
        <v>3.24707184189184</v>
      </c>
      <c r="I14" s="161" t="s">
        <v>12</v>
      </c>
      <c r="J14" s="162" t="s">
        <v>12</v>
      </c>
      <c r="K14" s="161" t="s">
        <v>12</v>
      </c>
      <c r="L14" s="162" t="s">
        <v>12</v>
      </c>
    </row>
    <row r="15" ht="18" customHeight="1" spans="1:12">
      <c r="A15" s="234" t="s">
        <v>23</v>
      </c>
      <c r="B15" s="235" t="s">
        <v>24</v>
      </c>
      <c r="C15" s="338" t="s">
        <v>25</v>
      </c>
      <c r="D15" s="339"/>
      <c r="E15" s="338" t="s">
        <v>12</v>
      </c>
      <c r="F15" s="339"/>
      <c r="G15" s="338" t="s">
        <v>26</v>
      </c>
      <c r="H15" s="339"/>
      <c r="I15" s="338" t="s">
        <v>12</v>
      </c>
      <c r="J15" s="339"/>
      <c r="K15" s="338" t="s">
        <v>12</v>
      </c>
      <c r="L15" s="339"/>
    </row>
    <row r="16" ht="18" customHeight="1" spans="1:12">
      <c r="A16" s="234" t="s">
        <v>27</v>
      </c>
      <c r="B16" s="235" t="s">
        <v>11</v>
      </c>
      <c r="C16" s="146"/>
      <c r="D16" s="147">
        <v>10.7</v>
      </c>
      <c r="E16" s="146"/>
      <c r="F16" s="147">
        <v>12.3</v>
      </c>
      <c r="G16" s="146"/>
      <c r="H16" s="147">
        <v>19.7</v>
      </c>
      <c r="I16" s="146"/>
      <c r="J16" s="147">
        <v>14.6</v>
      </c>
      <c r="K16" s="146"/>
      <c r="L16" s="147">
        <v>10.6</v>
      </c>
    </row>
    <row r="17" ht="18" customHeight="1" spans="1:12">
      <c r="A17" s="234" t="s">
        <v>28</v>
      </c>
      <c r="B17" s="235" t="s">
        <v>11</v>
      </c>
      <c r="C17" s="340"/>
      <c r="D17" s="147">
        <v>-8.7</v>
      </c>
      <c r="E17" s="340"/>
      <c r="F17" s="147">
        <v>7.8</v>
      </c>
      <c r="G17" s="340"/>
      <c r="H17" s="147">
        <v>5.2</v>
      </c>
      <c r="I17" s="340"/>
      <c r="J17" s="147">
        <v>8.516666704</v>
      </c>
      <c r="K17" s="340"/>
      <c r="L17" s="147">
        <v>7.21896551724138</v>
      </c>
    </row>
    <row r="18" ht="18" customHeight="1" spans="1:12">
      <c r="A18" s="234" t="s">
        <v>29</v>
      </c>
      <c r="B18" s="235" t="s">
        <v>11</v>
      </c>
      <c r="C18" s="340"/>
      <c r="D18" s="147">
        <v>14.1</v>
      </c>
      <c r="E18" s="340"/>
      <c r="F18" s="147">
        <v>13.1</v>
      </c>
      <c r="G18" s="340"/>
      <c r="H18" s="147">
        <v>21.9</v>
      </c>
      <c r="I18" s="340"/>
      <c r="J18" s="147">
        <v>15.535897504</v>
      </c>
      <c r="K18" s="340"/>
      <c r="L18" s="147">
        <v>11.0568965517241</v>
      </c>
    </row>
    <row r="19" ht="18" customHeight="1" spans="1:12">
      <c r="A19" s="234" t="s">
        <v>30</v>
      </c>
      <c r="B19" s="235" t="s">
        <v>11</v>
      </c>
      <c r="C19" s="340"/>
      <c r="D19" s="147">
        <v>19.4</v>
      </c>
      <c r="E19" s="340"/>
      <c r="F19" s="147">
        <v>17.6</v>
      </c>
      <c r="G19" s="340"/>
      <c r="H19" s="147">
        <v>29.3</v>
      </c>
      <c r="I19" s="340"/>
      <c r="J19" s="147">
        <v>20.215384704</v>
      </c>
      <c r="K19" s="340"/>
      <c r="L19" s="147">
        <v>14.1637931034483</v>
      </c>
    </row>
    <row r="20" ht="18" customHeight="1" spans="1:12">
      <c r="A20" s="259" t="s">
        <v>31</v>
      </c>
      <c r="B20" s="260" t="s">
        <v>11</v>
      </c>
      <c r="C20" s="340"/>
      <c r="D20" s="147">
        <v>8.8</v>
      </c>
      <c r="E20" s="340"/>
      <c r="F20" s="147">
        <v>0.5</v>
      </c>
      <c r="G20" s="340"/>
      <c r="H20" s="147">
        <v>6.3</v>
      </c>
      <c r="I20" s="340"/>
      <c r="J20" s="147">
        <v>3.182051296</v>
      </c>
      <c r="K20" s="340"/>
      <c r="L20" s="147">
        <v>0.456896551724138</v>
      </c>
    </row>
    <row r="21" ht="18" customHeight="1" spans="1:12">
      <c r="A21" s="259" t="s">
        <v>32</v>
      </c>
      <c r="B21" s="260" t="s">
        <v>11</v>
      </c>
      <c r="C21" s="340"/>
      <c r="D21" s="147">
        <v>33.4</v>
      </c>
      <c r="E21" s="340"/>
      <c r="F21" s="147">
        <v>37.8</v>
      </c>
      <c r="G21" s="340"/>
      <c r="H21" s="147">
        <v>47.3</v>
      </c>
      <c r="I21" s="340"/>
      <c r="J21" s="147">
        <v>33.8794871794872</v>
      </c>
      <c r="K21" s="340"/>
      <c r="L21" s="147">
        <v>26.2258620689655</v>
      </c>
    </row>
    <row r="22" ht="18" customHeight="1" spans="1:12">
      <c r="A22" s="259" t="s">
        <v>33</v>
      </c>
      <c r="B22" s="260" t="s">
        <v>11</v>
      </c>
      <c r="C22" s="340"/>
      <c r="D22" s="147">
        <v>10.6</v>
      </c>
      <c r="E22" s="340"/>
      <c r="F22" s="147">
        <v>-2.7</v>
      </c>
      <c r="G22" s="340"/>
      <c r="H22" s="147">
        <v>8.2</v>
      </c>
      <c r="I22" s="340"/>
      <c r="J22" s="147">
        <v>1.59102564102564</v>
      </c>
      <c r="K22" s="340"/>
      <c r="L22" s="147">
        <v>-4.15849056603773</v>
      </c>
    </row>
    <row r="23" ht="18" customHeight="1" spans="1:12">
      <c r="A23" s="259" t="s">
        <v>34</v>
      </c>
      <c r="B23" s="260" t="s">
        <v>11</v>
      </c>
      <c r="C23" s="340"/>
      <c r="D23" s="147">
        <v>3.7</v>
      </c>
      <c r="E23" s="340"/>
      <c r="F23" s="147">
        <v>4.1</v>
      </c>
      <c r="G23" s="340"/>
      <c r="H23" s="147">
        <v>5.5</v>
      </c>
      <c r="I23" s="340"/>
      <c r="J23" s="147">
        <v>0.748717948717949</v>
      </c>
      <c r="K23" s="340"/>
      <c r="L23" s="147">
        <v>-2.07924528301887</v>
      </c>
    </row>
    <row r="24" ht="18" customHeight="1" spans="1:12">
      <c r="A24" s="259" t="s">
        <v>35</v>
      </c>
      <c r="B24" s="260" t="s">
        <v>11</v>
      </c>
      <c r="C24" s="340"/>
      <c r="D24" s="147">
        <v>-61.8</v>
      </c>
      <c r="E24" s="340"/>
      <c r="F24" s="147">
        <v>34.6</v>
      </c>
      <c r="G24" s="340"/>
      <c r="H24" s="147">
        <v>57.8</v>
      </c>
      <c r="I24" s="340"/>
      <c r="J24" s="147">
        <v>57.4641025641026</v>
      </c>
      <c r="K24" s="340"/>
      <c r="L24" s="147">
        <v>60.6758620689655</v>
      </c>
    </row>
    <row r="25" ht="18" customHeight="1" spans="1:12">
      <c r="A25" s="259" t="s">
        <v>36</v>
      </c>
      <c r="B25" s="260" t="s">
        <v>11</v>
      </c>
      <c r="C25" s="340"/>
      <c r="D25" s="147">
        <v>2.8</v>
      </c>
      <c r="E25" s="340"/>
      <c r="F25" s="147">
        <v>25.3</v>
      </c>
      <c r="G25" s="340"/>
      <c r="H25" s="147">
        <v>7.3</v>
      </c>
      <c r="I25" s="340"/>
      <c r="J25" s="147">
        <v>15</v>
      </c>
      <c r="K25" s="340"/>
      <c r="L25" s="147">
        <v>22</v>
      </c>
    </row>
    <row r="26" ht="18" customHeight="1" spans="1:12">
      <c r="A26" s="341" t="s">
        <v>37</v>
      </c>
      <c r="B26" s="342" t="s">
        <v>11</v>
      </c>
      <c r="C26" s="340"/>
      <c r="D26" s="343">
        <v>-13</v>
      </c>
      <c r="E26" s="340"/>
      <c r="F26" s="343">
        <v>6.2</v>
      </c>
      <c r="G26" s="340"/>
      <c r="H26" s="343">
        <v>10</v>
      </c>
      <c r="I26" s="340"/>
      <c r="J26" s="343">
        <v>0.2</v>
      </c>
      <c r="K26" s="340"/>
      <c r="L26" s="343">
        <v>-6.3</v>
      </c>
    </row>
    <row r="27" ht="18" customHeight="1" spans="1:12">
      <c r="A27" s="341" t="s">
        <v>38</v>
      </c>
      <c r="B27" s="342" t="s">
        <v>11</v>
      </c>
      <c r="C27" s="340"/>
      <c r="D27" s="343">
        <v>-10.140220588795</v>
      </c>
      <c r="E27" s="340"/>
      <c r="F27" s="343">
        <v>9.56904461054238</v>
      </c>
      <c r="G27" s="340"/>
      <c r="H27" s="343">
        <v>11.8865445446023</v>
      </c>
      <c r="I27" s="340"/>
      <c r="J27" s="343">
        <v>0.897604918453766</v>
      </c>
      <c r="K27" s="340"/>
      <c r="L27" s="343">
        <v>-6.05288130222056</v>
      </c>
    </row>
    <row r="28" ht="18" customHeight="1" spans="1:12">
      <c r="A28" s="341" t="s">
        <v>39</v>
      </c>
      <c r="B28" s="342" t="s">
        <v>11</v>
      </c>
      <c r="C28" s="340"/>
      <c r="D28" s="343">
        <v>-26</v>
      </c>
      <c r="E28" s="340"/>
      <c r="F28" s="343">
        <v>-8.6</v>
      </c>
      <c r="G28" s="340"/>
      <c r="H28" s="343">
        <v>0</v>
      </c>
      <c r="I28" s="340"/>
      <c r="J28" s="343">
        <v>-3.4</v>
      </c>
      <c r="K28" s="340"/>
      <c r="L28" s="343">
        <v>-7.7</v>
      </c>
    </row>
    <row r="29" ht="18" customHeight="1" spans="1:12">
      <c r="A29" s="341" t="s">
        <v>13</v>
      </c>
      <c r="B29" s="342" t="s">
        <v>11</v>
      </c>
      <c r="C29" s="340"/>
      <c r="D29" s="343">
        <v>-23.2</v>
      </c>
      <c r="E29" s="340"/>
      <c r="F29" s="343">
        <v>195.9</v>
      </c>
      <c r="G29" s="340"/>
      <c r="H29" s="343">
        <v>92.4</v>
      </c>
      <c r="I29" s="340"/>
      <c r="J29" s="343">
        <v>53.1</v>
      </c>
      <c r="K29" s="340"/>
      <c r="L29" s="343">
        <v>22.5</v>
      </c>
    </row>
    <row r="30" ht="18" customHeight="1" spans="1:12">
      <c r="A30" s="341" t="s">
        <v>14</v>
      </c>
      <c r="B30" s="342" t="s">
        <v>11</v>
      </c>
      <c r="C30" s="340"/>
      <c r="D30" s="343">
        <v>-13.1</v>
      </c>
      <c r="E30" s="340"/>
      <c r="F30" s="343">
        <v>4.5</v>
      </c>
      <c r="G30" s="340"/>
      <c r="H30" s="343">
        <v>-7.2</v>
      </c>
      <c r="I30" s="340"/>
      <c r="J30" s="343">
        <v>-17.4</v>
      </c>
      <c r="K30" s="340"/>
      <c r="L30" s="343">
        <v>-24.9</v>
      </c>
    </row>
    <row r="31" ht="18" customHeight="1" spans="1:12">
      <c r="A31" s="344" t="s">
        <v>16</v>
      </c>
      <c r="B31" s="345" t="s">
        <v>11</v>
      </c>
      <c r="C31" s="346"/>
      <c r="D31" s="347">
        <v>-12.6</v>
      </c>
      <c r="E31" s="346"/>
      <c r="F31" s="347">
        <v>5.4</v>
      </c>
      <c r="G31" s="346"/>
      <c r="H31" s="347">
        <v>25.9</v>
      </c>
      <c r="I31" s="346"/>
      <c r="J31" s="347">
        <v>18</v>
      </c>
      <c r="K31" s="346"/>
      <c r="L31" s="347">
        <v>14.1</v>
      </c>
    </row>
    <row r="32" ht="41" customHeight="1" spans="1:12">
      <c r="A32" s="270" t="s">
        <v>40</v>
      </c>
      <c r="B32" s="270"/>
      <c r="C32" s="270"/>
      <c r="D32" s="270"/>
      <c r="E32" s="270"/>
      <c r="F32" s="270"/>
      <c r="G32" s="270"/>
      <c r="H32" s="270"/>
      <c r="I32" s="270"/>
      <c r="J32" s="270"/>
      <c r="K32" s="270"/>
      <c r="L32" s="270"/>
    </row>
  </sheetData>
  <mergeCells count="14">
    <mergeCell ref="A1:L1"/>
    <mergeCell ref="C2:D2"/>
    <mergeCell ref="E2:F2"/>
    <mergeCell ref="G2:H2"/>
    <mergeCell ref="I2:J2"/>
    <mergeCell ref="K2:L2"/>
    <mergeCell ref="C15:D15"/>
    <mergeCell ref="E15:F15"/>
    <mergeCell ref="G15:H15"/>
    <mergeCell ref="I15:J15"/>
    <mergeCell ref="K15:L15"/>
    <mergeCell ref="A32:L32"/>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O29"/>
  <sheetViews>
    <sheetView zoomScale="80" zoomScaleNormal="80" workbookViewId="0">
      <pane xSplit="1" ySplit="3" topLeftCell="B4" activePane="bottomRight" state="frozen"/>
      <selection/>
      <selection pane="topRight"/>
      <selection pane="bottomLeft"/>
      <selection pane="bottomRight" activeCell="H16" sqref="H16"/>
    </sheetView>
  </sheetViews>
  <sheetFormatPr defaultColWidth="9" defaultRowHeight="14.25"/>
  <cols>
    <col min="1" max="1" width="40.4666666666667" style="164" customWidth="1"/>
    <col min="2" max="2" width="13.75" style="164" customWidth="1"/>
    <col min="3" max="3" width="10.7833333333333" style="164" customWidth="1"/>
    <col min="4" max="4" width="13.75" style="164" customWidth="1"/>
    <col min="5" max="5" width="10.7833333333333" style="164" customWidth="1"/>
    <col min="6" max="171" width="9" style="164"/>
    <col min="172" max="200" width="9" style="163"/>
    <col min="201" max="16384" width="9" style="176"/>
  </cols>
  <sheetData>
    <row r="1" s="163" customFormat="1" ht="35" customHeight="1" spans="1:171">
      <c r="A1" s="135" t="s">
        <v>426</v>
      </c>
      <c r="B1" s="135"/>
      <c r="C1" s="135"/>
      <c r="D1" s="135"/>
      <c r="E1" s="135"/>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c r="EF1" s="164"/>
      <c r="EG1" s="164"/>
      <c r="EH1" s="164"/>
      <c r="EI1" s="164"/>
      <c r="EJ1" s="164"/>
      <c r="EK1" s="164"/>
      <c r="EL1" s="164"/>
      <c r="EM1" s="164"/>
      <c r="EN1" s="164"/>
      <c r="EO1" s="164"/>
      <c r="EP1" s="164"/>
      <c r="EQ1" s="164"/>
      <c r="ER1" s="164"/>
      <c r="ES1" s="164"/>
      <c r="ET1" s="164"/>
      <c r="EU1" s="164"/>
      <c r="EV1" s="164"/>
      <c r="EW1" s="164"/>
      <c r="EX1" s="164"/>
      <c r="EY1" s="164"/>
      <c r="EZ1" s="164"/>
      <c r="FA1" s="164"/>
      <c r="FB1" s="164"/>
      <c r="FC1" s="164"/>
      <c r="FD1" s="164"/>
      <c r="FE1" s="164"/>
      <c r="FF1" s="164"/>
      <c r="FG1" s="164"/>
      <c r="FH1" s="164"/>
      <c r="FI1" s="164"/>
      <c r="FJ1" s="164"/>
      <c r="FK1" s="164"/>
      <c r="FL1" s="164"/>
      <c r="FM1" s="164"/>
      <c r="FN1" s="164"/>
      <c r="FO1" s="164"/>
    </row>
    <row r="2" ht="21" customHeight="1" spans="1:171">
      <c r="A2" s="136" t="s">
        <v>1</v>
      </c>
      <c r="B2" s="137" t="s">
        <v>3</v>
      </c>
      <c r="C2" s="138"/>
      <c r="D2" s="137" t="s">
        <v>5</v>
      </c>
      <c r="E2" s="138"/>
    </row>
    <row r="3" ht="29" customHeight="1" spans="1:171">
      <c r="A3" s="139"/>
      <c r="B3" s="140" t="s">
        <v>8</v>
      </c>
      <c r="C3" s="141" t="s">
        <v>9</v>
      </c>
      <c r="D3" s="140" t="s">
        <v>8</v>
      </c>
      <c r="E3" s="141" t="s">
        <v>9</v>
      </c>
    </row>
    <row r="4" s="163" customFormat="1" ht="33" customHeight="1" spans="1:171">
      <c r="A4" s="142" t="s">
        <v>427</v>
      </c>
      <c r="B4" s="143"/>
      <c r="C4" s="144"/>
      <c r="D4" s="143"/>
      <c r="E4" s="14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c r="EF4" s="164"/>
      <c r="EG4" s="164"/>
      <c r="EH4" s="164"/>
      <c r="EI4" s="164"/>
      <c r="EJ4" s="164"/>
      <c r="EK4" s="164"/>
      <c r="EL4" s="164"/>
      <c r="EM4" s="164"/>
      <c r="EN4" s="164"/>
      <c r="EO4" s="164"/>
      <c r="EP4" s="164"/>
      <c r="EQ4" s="164"/>
      <c r="ER4" s="164"/>
      <c r="ES4" s="164"/>
      <c r="ET4" s="164"/>
      <c r="EU4" s="164"/>
      <c r="EV4" s="164"/>
      <c r="EW4" s="164"/>
      <c r="EX4" s="164"/>
      <c r="EY4" s="164"/>
      <c r="EZ4" s="164"/>
      <c r="FA4" s="164"/>
      <c r="FB4" s="164"/>
      <c r="FC4" s="164"/>
      <c r="FD4" s="164"/>
      <c r="FE4" s="164"/>
      <c r="FF4" s="164"/>
      <c r="FG4" s="164"/>
      <c r="FH4" s="164"/>
      <c r="FI4" s="164"/>
      <c r="FJ4" s="164"/>
      <c r="FK4" s="164"/>
      <c r="FL4" s="164"/>
      <c r="FM4" s="164"/>
      <c r="FN4" s="164"/>
      <c r="FO4" s="164"/>
    </row>
    <row r="5" s="163" customFormat="1" ht="22.5" customHeight="1" spans="1:171">
      <c r="A5" s="145" t="s">
        <v>422</v>
      </c>
      <c r="B5" s="146">
        <v>1287.52804240607</v>
      </c>
      <c r="C5" s="168">
        <v>4.73244473190996</v>
      </c>
      <c r="D5" s="146">
        <v>319.669924967706</v>
      </c>
      <c r="E5" s="168">
        <v>14.5734977110831</v>
      </c>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c r="EF5" s="164"/>
      <c r="EG5" s="164"/>
      <c r="EH5" s="164"/>
      <c r="EI5" s="164"/>
      <c r="EJ5" s="164"/>
      <c r="EK5" s="164"/>
      <c r="EL5" s="164"/>
      <c r="EM5" s="164"/>
      <c r="EN5" s="164"/>
      <c r="EO5" s="164"/>
      <c r="EP5" s="164"/>
      <c r="EQ5" s="164"/>
      <c r="ER5" s="164"/>
      <c r="ES5" s="164"/>
      <c r="ET5" s="164"/>
      <c r="EU5" s="164"/>
      <c r="EV5" s="164"/>
      <c r="EW5" s="164"/>
      <c r="EX5" s="164"/>
      <c r="EY5" s="164"/>
      <c r="EZ5" s="164"/>
      <c r="FA5" s="164"/>
      <c r="FB5" s="164"/>
      <c r="FC5" s="164"/>
      <c r="FD5" s="164"/>
      <c r="FE5" s="164"/>
      <c r="FF5" s="164"/>
      <c r="FG5" s="164"/>
      <c r="FH5" s="164"/>
      <c r="FI5" s="164"/>
      <c r="FJ5" s="164"/>
      <c r="FK5" s="164"/>
      <c r="FL5" s="164"/>
      <c r="FM5" s="164"/>
      <c r="FN5" s="164"/>
      <c r="FO5" s="164"/>
    </row>
    <row r="6" ht="22.5" customHeight="1" spans="1:171">
      <c r="A6" s="148" t="s">
        <v>82</v>
      </c>
      <c r="B6" s="146">
        <v>61.8547262298865</v>
      </c>
      <c r="C6" s="168">
        <v>0.580521398182171</v>
      </c>
      <c r="D6" s="146">
        <v>17.1495507223518</v>
      </c>
      <c r="E6" s="168">
        <v>-1.19264578358262</v>
      </c>
    </row>
    <row r="7" ht="22.5" customHeight="1" spans="1:171">
      <c r="A7" s="148" t="s">
        <v>83</v>
      </c>
      <c r="B7" s="146">
        <v>198.766834104454</v>
      </c>
      <c r="C7" s="168">
        <v>-0.890118528772092</v>
      </c>
      <c r="D7" s="146">
        <v>47.2705621391238</v>
      </c>
      <c r="E7" s="168">
        <v>8.87692520766596</v>
      </c>
    </row>
    <row r="8" ht="22.5" customHeight="1" spans="1:171">
      <c r="A8" s="148" t="s">
        <v>84</v>
      </c>
      <c r="B8" s="146">
        <v>270.106841223964</v>
      </c>
      <c r="C8" s="168">
        <v>14.084812117938</v>
      </c>
      <c r="D8" s="146">
        <v>80.9077893644709</v>
      </c>
      <c r="E8" s="168">
        <v>37.5455850058224</v>
      </c>
    </row>
    <row r="9" ht="22.5" customHeight="1" spans="1:171">
      <c r="A9" s="148" t="s">
        <v>85</v>
      </c>
      <c r="B9" s="146">
        <v>36.4305207391431</v>
      </c>
      <c r="C9" s="168">
        <v>-27.3159966632419</v>
      </c>
      <c r="D9" s="146">
        <v>8.70291032623996</v>
      </c>
      <c r="E9" s="168">
        <v>0.0394947796256417</v>
      </c>
    </row>
    <row r="10" ht="22.5" customHeight="1" spans="1:171">
      <c r="A10" s="148" t="s">
        <v>86</v>
      </c>
      <c r="B10" s="146">
        <v>78.5044066431617</v>
      </c>
      <c r="C10" s="168">
        <v>-5.96210986212193</v>
      </c>
      <c r="D10" s="146">
        <v>17.319844478707</v>
      </c>
      <c r="E10" s="168">
        <v>2.32672619429255</v>
      </c>
    </row>
    <row r="11" ht="22.5" customHeight="1" spans="1:171">
      <c r="A11" s="148" t="s">
        <v>87</v>
      </c>
      <c r="B11" s="146">
        <v>46.2140360099411</v>
      </c>
      <c r="C11" s="168">
        <v>1.43062956814109</v>
      </c>
      <c r="D11" s="146">
        <v>9.39733791990138</v>
      </c>
      <c r="E11" s="168">
        <v>2.7433289527641</v>
      </c>
    </row>
    <row r="12" ht="22.5" customHeight="1" spans="1:171">
      <c r="A12" s="148" t="s">
        <v>88</v>
      </c>
      <c r="B12" s="146">
        <v>64.8364874709443</v>
      </c>
      <c r="C12" s="168">
        <v>16.3930388714669</v>
      </c>
      <c r="D12" s="146">
        <v>13.761970780307</v>
      </c>
      <c r="E12" s="168">
        <v>5.72693499455934</v>
      </c>
    </row>
    <row r="13" ht="22.5" customHeight="1" spans="1:171">
      <c r="A13" s="148" t="s">
        <v>89</v>
      </c>
      <c r="B13" s="146">
        <v>55.9405530218945</v>
      </c>
      <c r="C13" s="168">
        <v>1.41079677403565</v>
      </c>
      <c r="D13" s="146">
        <v>11.7451812469189</v>
      </c>
      <c r="E13" s="168">
        <v>7.36408388731715</v>
      </c>
    </row>
    <row r="14" ht="22.5" customHeight="1" spans="1:171">
      <c r="A14" s="148" t="s">
        <v>90</v>
      </c>
      <c r="B14" s="146">
        <v>147.054692231167</v>
      </c>
      <c r="C14" s="168">
        <v>-8.73883510870857</v>
      </c>
      <c r="D14" s="146">
        <v>25.0662744711835</v>
      </c>
      <c r="E14" s="168">
        <v>6.29486376551071</v>
      </c>
    </row>
    <row r="15" ht="22.5" customHeight="1" spans="1:171">
      <c r="A15" s="148" t="s">
        <v>423</v>
      </c>
      <c r="B15" s="146">
        <v>550.734380080086</v>
      </c>
      <c r="C15" s="168">
        <v>7.14848291872529</v>
      </c>
      <c r="D15" s="146">
        <v>137.783677693412</v>
      </c>
      <c r="E15" s="168">
        <v>9.29972038068303</v>
      </c>
    </row>
    <row r="16" ht="19.5" customHeight="1" spans="1:171">
      <c r="A16" s="148"/>
      <c r="B16" s="146"/>
      <c r="C16" s="147"/>
      <c r="D16" s="146"/>
      <c r="E16" s="147"/>
    </row>
    <row r="17" ht="33" customHeight="1" spans="1:5">
      <c r="A17" s="149" t="s">
        <v>428</v>
      </c>
      <c r="B17" s="146"/>
      <c r="C17" s="147"/>
      <c r="D17" s="146"/>
      <c r="E17" s="147"/>
    </row>
    <row r="18" ht="22.5" customHeight="1" spans="1:5">
      <c r="A18" s="145" t="s">
        <v>422</v>
      </c>
      <c r="B18" s="146">
        <v>1930.79632210624</v>
      </c>
      <c r="C18" s="147">
        <v>4.76940880888567</v>
      </c>
      <c r="D18" s="146">
        <v>466.629242586013</v>
      </c>
      <c r="E18" s="147">
        <v>2.57553281723351</v>
      </c>
    </row>
    <row r="19" ht="22.5" customHeight="1" spans="1:5">
      <c r="A19" s="148" t="s">
        <v>82</v>
      </c>
      <c r="B19" s="150">
        <v>317.992796306602</v>
      </c>
      <c r="C19" s="151">
        <v>2.38130306800144</v>
      </c>
      <c r="D19" s="150">
        <v>74.87</v>
      </c>
      <c r="E19" s="151">
        <v>3.85646767948742</v>
      </c>
    </row>
    <row r="20" ht="22.5" customHeight="1" spans="1:5">
      <c r="A20" s="148" t="s">
        <v>83</v>
      </c>
      <c r="B20" s="146">
        <v>267.767553257586</v>
      </c>
      <c r="C20" s="147">
        <v>4.98311307103414</v>
      </c>
      <c r="D20" s="146">
        <v>63.306971356623</v>
      </c>
      <c r="E20" s="147">
        <v>0.739486361660454</v>
      </c>
    </row>
    <row r="21" ht="22.5" customHeight="1" spans="1:5">
      <c r="A21" s="148" t="s">
        <v>84</v>
      </c>
      <c r="B21" s="146">
        <v>133.105964324177</v>
      </c>
      <c r="C21" s="147">
        <v>4.70325031146852</v>
      </c>
      <c r="D21" s="146">
        <v>34.0644723226506</v>
      </c>
      <c r="E21" s="147">
        <v>1.91710168993407</v>
      </c>
    </row>
    <row r="22" ht="22.5" customHeight="1" spans="1:5">
      <c r="A22" s="148" t="s">
        <v>85</v>
      </c>
      <c r="B22" s="146">
        <v>135.04320570522</v>
      </c>
      <c r="C22" s="147">
        <v>8.20884970508735</v>
      </c>
      <c r="D22" s="146">
        <v>33.8631009628879</v>
      </c>
      <c r="E22" s="147">
        <v>5.66158140995128</v>
      </c>
    </row>
    <row r="23" ht="22.5" customHeight="1" spans="1:5">
      <c r="A23" s="148" t="s">
        <v>86</v>
      </c>
      <c r="B23" s="146">
        <v>197.086874708102</v>
      </c>
      <c r="C23" s="147">
        <v>5.53845096065446</v>
      </c>
      <c r="D23" s="146">
        <v>43.8018191162647</v>
      </c>
      <c r="E23" s="147">
        <v>2.2124968504754</v>
      </c>
    </row>
    <row r="24" ht="22.5" customHeight="1" spans="1:5">
      <c r="A24" s="148" t="s">
        <v>87</v>
      </c>
      <c r="B24" s="146">
        <v>121.499382844253</v>
      </c>
      <c r="C24" s="147">
        <v>6.59742247255761</v>
      </c>
      <c r="D24" s="146">
        <v>30.348407689575</v>
      </c>
      <c r="E24" s="147">
        <v>6.94821716702303</v>
      </c>
    </row>
    <row r="25" ht="22.5" customHeight="1" spans="1:5">
      <c r="A25" s="148" t="s">
        <v>88</v>
      </c>
      <c r="B25" s="146">
        <v>177.389240730352</v>
      </c>
      <c r="C25" s="147">
        <v>4.0203608487865</v>
      </c>
      <c r="D25" s="146">
        <v>45.6611121336738</v>
      </c>
      <c r="E25" s="147">
        <v>0.472750008859578</v>
      </c>
    </row>
    <row r="26" ht="22.5" customHeight="1" spans="1:5">
      <c r="A26" s="148" t="s">
        <v>89</v>
      </c>
      <c r="B26" s="146">
        <v>214.117510912447</v>
      </c>
      <c r="C26" s="147">
        <v>4.09371648032406</v>
      </c>
      <c r="D26" s="146">
        <v>50.5027541194367</v>
      </c>
      <c r="E26" s="147">
        <v>3.88677980500753</v>
      </c>
    </row>
    <row r="27" ht="22.5" customHeight="1" spans="1:5">
      <c r="A27" s="148" t="s">
        <v>90</v>
      </c>
      <c r="B27" s="146">
        <v>296.583817043643</v>
      </c>
      <c r="C27" s="147">
        <v>7.82791773351663</v>
      </c>
      <c r="D27" s="146">
        <v>71.4136550598079</v>
      </c>
      <c r="E27" s="147">
        <v>3.91448845838143</v>
      </c>
    </row>
    <row r="28" ht="22.5" customHeight="1" spans="1:5">
      <c r="A28" s="152" t="s">
        <v>423</v>
      </c>
      <c r="B28" s="153">
        <v>228.096464331735</v>
      </c>
      <c r="C28" s="154">
        <v>4.14068360199099</v>
      </c>
      <c r="D28" s="153">
        <v>48.5811541122722</v>
      </c>
      <c r="E28" s="154">
        <v>2.63828226515355</v>
      </c>
    </row>
    <row r="29" ht="44.25" customHeight="1" spans="1:5">
      <c r="A29" s="172" t="s">
        <v>425</v>
      </c>
      <c r="B29" s="172"/>
      <c r="C29" s="172"/>
      <c r="D29" s="172"/>
      <c r="E29" s="172"/>
    </row>
  </sheetData>
  <mergeCells count="5">
    <mergeCell ref="A1:E1"/>
    <mergeCell ref="B2:C2"/>
    <mergeCell ref="D2:E2"/>
    <mergeCell ref="A29:E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E29"/>
  <sheetViews>
    <sheetView zoomScale="80" zoomScaleNormal="80" workbookViewId="0">
      <pane xSplit="1" ySplit="3" topLeftCell="B4" activePane="bottomRight" state="frozen"/>
      <selection/>
      <selection pane="topRight"/>
      <selection pane="bottomLeft"/>
      <selection pane="bottomRight" activeCell="H23" sqref="H23"/>
    </sheetView>
  </sheetViews>
  <sheetFormatPr defaultColWidth="9" defaultRowHeight="14.25"/>
  <cols>
    <col min="1" max="1" width="30.15" style="164" customWidth="1"/>
    <col min="2" max="11" width="9.375" style="164"/>
    <col min="12" max="135" width="9" style="164"/>
    <col min="136" max="16384" width="9" style="163"/>
  </cols>
  <sheetData>
    <row r="1" s="163" customFormat="1" ht="28.5" customHeight="1" spans="1:135">
      <c r="A1" s="173" t="s">
        <v>429</v>
      </c>
      <c r="B1" s="173"/>
      <c r="C1" s="173"/>
      <c r="D1" s="173"/>
      <c r="E1" s="173"/>
      <c r="F1" s="173"/>
      <c r="G1" s="173"/>
      <c r="H1" s="173"/>
      <c r="I1" s="173"/>
      <c r="J1" s="173"/>
      <c r="K1" s="173"/>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row>
    <row r="2" ht="21" customHeight="1" spans="1:135">
      <c r="A2" s="136" t="s">
        <v>1</v>
      </c>
      <c r="B2" s="137" t="s">
        <v>3</v>
      </c>
      <c r="C2" s="138"/>
      <c r="D2" s="137" t="s">
        <v>4</v>
      </c>
      <c r="E2" s="138"/>
      <c r="F2" s="137" t="s">
        <v>5</v>
      </c>
      <c r="G2" s="138"/>
      <c r="H2" s="137" t="s">
        <v>6</v>
      </c>
      <c r="I2" s="138"/>
      <c r="J2" s="137" t="s">
        <v>7</v>
      </c>
      <c r="K2" s="138"/>
    </row>
    <row r="3" ht="29" customHeight="1" spans="1:135">
      <c r="A3" s="139"/>
      <c r="B3" s="140" t="s">
        <v>8</v>
      </c>
      <c r="C3" s="141" t="s">
        <v>9</v>
      </c>
      <c r="D3" s="140" t="s">
        <v>8</v>
      </c>
      <c r="E3" s="141" t="s">
        <v>9</v>
      </c>
      <c r="F3" s="140" t="s">
        <v>8</v>
      </c>
      <c r="G3" s="141" t="s">
        <v>9</v>
      </c>
      <c r="H3" s="140" t="s">
        <v>8</v>
      </c>
      <c r="I3" s="141" t="s">
        <v>9</v>
      </c>
      <c r="J3" s="140" t="s">
        <v>8</v>
      </c>
      <c r="K3" s="141" t="s">
        <v>9</v>
      </c>
    </row>
    <row r="4" s="163" customFormat="1" ht="33" customHeight="1" spans="1:135">
      <c r="A4" s="142" t="s">
        <v>430</v>
      </c>
      <c r="B4" s="165"/>
      <c r="C4" s="166"/>
      <c r="D4" s="165"/>
      <c r="E4" s="166"/>
      <c r="F4" s="165"/>
      <c r="G4" s="166"/>
      <c r="H4" s="165"/>
      <c r="I4" s="166"/>
      <c r="J4" s="165"/>
      <c r="K4" s="166"/>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row>
    <row r="5" s="163" customFormat="1" ht="22.5" customHeight="1" spans="1:135">
      <c r="A5" s="145" t="s">
        <v>422</v>
      </c>
      <c r="B5" s="167">
        <v>1169.25</v>
      </c>
      <c r="C5" s="168">
        <v>3.8</v>
      </c>
      <c r="D5" s="174" t="s">
        <v>12</v>
      </c>
      <c r="E5" s="175" t="s">
        <v>12</v>
      </c>
      <c r="F5" s="167">
        <v>248.8</v>
      </c>
      <c r="G5" s="168">
        <v>4.2</v>
      </c>
      <c r="H5" s="174" t="s">
        <v>12</v>
      </c>
      <c r="I5" s="175" t="s">
        <v>12</v>
      </c>
      <c r="J5" s="174" t="s">
        <v>12</v>
      </c>
      <c r="K5" s="175" t="s">
        <v>12</v>
      </c>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row>
    <row r="6" ht="22.5" customHeight="1" spans="1:135">
      <c r="A6" s="148" t="s">
        <v>82</v>
      </c>
      <c r="B6" s="167">
        <v>1.71</v>
      </c>
      <c r="C6" s="168">
        <v>80.9</v>
      </c>
      <c r="D6" s="174" t="s">
        <v>12</v>
      </c>
      <c r="E6" s="175" t="s">
        <v>12</v>
      </c>
      <c r="F6" s="167">
        <v>0.43</v>
      </c>
      <c r="G6" s="168">
        <v>50.1</v>
      </c>
      <c r="H6" s="174" t="s">
        <v>12</v>
      </c>
      <c r="I6" s="175" t="s">
        <v>12</v>
      </c>
      <c r="J6" s="174" t="s">
        <v>12</v>
      </c>
      <c r="K6" s="175" t="s">
        <v>12</v>
      </c>
    </row>
    <row r="7" ht="22.5" customHeight="1" spans="1:135">
      <c r="A7" s="148" t="s">
        <v>83</v>
      </c>
      <c r="B7" s="167">
        <v>6.28</v>
      </c>
      <c r="C7" s="168">
        <v>23.7</v>
      </c>
      <c r="D7" s="174" t="s">
        <v>12</v>
      </c>
      <c r="E7" s="175" t="s">
        <v>12</v>
      </c>
      <c r="F7" s="167">
        <v>0.95</v>
      </c>
      <c r="G7" s="168">
        <v>12.7</v>
      </c>
      <c r="H7" s="174" t="s">
        <v>12</v>
      </c>
      <c r="I7" s="175" t="s">
        <v>12</v>
      </c>
      <c r="J7" s="174" t="s">
        <v>12</v>
      </c>
      <c r="K7" s="175" t="s">
        <v>12</v>
      </c>
    </row>
    <row r="8" ht="22.5" customHeight="1" spans="1:135">
      <c r="A8" s="148" t="s">
        <v>84</v>
      </c>
      <c r="B8" s="167">
        <v>45.22</v>
      </c>
      <c r="C8" s="168">
        <v>8.5</v>
      </c>
      <c r="D8" s="174" t="s">
        <v>12</v>
      </c>
      <c r="E8" s="175" t="s">
        <v>12</v>
      </c>
      <c r="F8" s="167">
        <v>8.65</v>
      </c>
      <c r="G8" s="168">
        <v>1.6</v>
      </c>
      <c r="H8" s="174" t="s">
        <v>12</v>
      </c>
      <c r="I8" s="175" t="s">
        <v>12</v>
      </c>
      <c r="J8" s="174" t="s">
        <v>12</v>
      </c>
      <c r="K8" s="175" t="s">
        <v>12</v>
      </c>
    </row>
    <row r="9" ht="22.5" customHeight="1" spans="1:135">
      <c r="A9" s="148" t="s">
        <v>85</v>
      </c>
      <c r="B9" s="167">
        <v>53.13</v>
      </c>
      <c r="C9" s="168">
        <v>4.8</v>
      </c>
      <c r="D9" s="174" t="s">
        <v>12</v>
      </c>
      <c r="E9" s="175" t="s">
        <v>12</v>
      </c>
      <c r="F9" s="167">
        <v>10.15</v>
      </c>
      <c r="G9" s="168">
        <v>3.9</v>
      </c>
      <c r="H9" s="174" t="s">
        <v>12</v>
      </c>
      <c r="I9" s="175" t="s">
        <v>12</v>
      </c>
      <c r="J9" s="174" t="s">
        <v>12</v>
      </c>
      <c r="K9" s="175" t="s">
        <v>12</v>
      </c>
    </row>
    <row r="10" ht="22.5" customHeight="1" spans="1:135">
      <c r="A10" s="148" t="s">
        <v>86</v>
      </c>
      <c r="B10" s="167">
        <v>71.35</v>
      </c>
      <c r="C10" s="168">
        <v>2.5</v>
      </c>
      <c r="D10" s="174" t="s">
        <v>12</v>
      </c>
      <c r="E10" s="175" t="s">
        <v>12</v>
      </c>
      <c r="F10" s="167">
        <v>13.49</v>
      </c>
      <c r="G10" s="168">
        <v>-0.6</v>
      </c>
      <c r="H10" s="174" t="s">
        <v>12</v>
      </c>
      <c r="I10" s="175" t="s">
        <v>12</v>
      </c>
      <c r="J10" s="174" t="s">
        <v>12</v>
      </c>
      <c r="K10" s="175" t="s">
        <v>12</v>
      </c>
    </row>
    <row r="11" ht="22.5" customHeight="1" spans="1:135">
      <c r="A11" s="148" t="s">
        <v>87</v>
      </c>
      <c r="B11" s="167">
        <v>185.83</v>
      </c>
      <c r="C11" s="168">
        <v>3.1</v>
      </c>
      <c r="D11" s="174" t="s">
        <v>12</v>
      </c>
      <c r="E11" s="175" t="s">
        <v>12</v>
      </c>
      <c r="F11" s="167">
        <v>46.21</v>
      </c>
      <c r="G11" s="168">
        <v>7.7</v>
      </c>
      <c r="H11" s="174" t="s">
        <v>12</v>
      </c>
      <c r="I11" s="175" t="s">
        <v>12</v>
      </c>
      <c r="J11" s="174" t="s">
        <v>12</v>
      </c>
      <c r="K11" s="175" t="s">
        <v>12</v>
      </c>
    </row>
    <row r="12" ht="22.5" customHeight="1" spans="1:135">
      <c r="A12" s="148" t="s">
        <v>88</v>
      </c>
      <c r="B12" s="167">
        <v>266.62</v>
      </c>
      <c r="C12" s="168">
        <v>4.7</v>
      </c>
      <c r="D12" s="174" t="s">
        <v>12</v>
      </c>
      <c r="E12" s="175" t="s">
        <v>12</v>
      </c>
      <c r="F12" s="167">
        <v>68.04</v>
      </c>
      <c r="G12" s="168">
        <v>7.3</v>
      </c>
      <c r="H12" s="174" t="s">
        <v>12</v>
      </c>
      <c r="I12" s="175" t="s">
        <v>12</v>
      </c>
      <c r="J12" s="174" t="s">
        <v>12</v>
      </c>
      <c r="K12" s="175" t="s">
        <v>12</v>
      </c>
    </row>
    <row r="13" ht="22.5" customHeight="1" spans="1:135">
      <c r="A13" s="148" t="s">
        <v>89</v>
      </c>
      <c r="B13" s="167">
        <v>269.97</v>
      </c>
      <c r="C13" s="168">
        <v>4.4</v>
      </c>
      <c r="D13" s="174" t="s">
        <v>12</v>
      </c>
      <c r="E13" s="175" t="s">
        <v>12</v>
      </c>
      <c r="F13" s="167">
        <v>51.75</v>
      </c>
      <c r="G13" s="168">
        <v>1.5</v>
      </c>
      <c r="H13" s="174" t="s">
        <v>12</v>
      </c>
      <c r="I13" s="175" t="s">
        <v>12</v>
      </c>
      <c r="J13" s="174" t="s">
        <v>12</v>
      </c>
      <c r="K13" s="175" t="s">
        <v>12</v>
      </c>
    </row>
    <row r="14" ht="22.5" customHeight="1" spans="1:135">
      <c r="A14" s="148" t="s">
        <v>90</v>
      </c>
      <c r="B14" s="167">
        <v>233.15</v>
      </c>
      <c r="C14" s="168">
        <v>2.3</v>
      </c>
      <c r="D14" s="174" t="s">
        <v>12</v>
      </c>
      <c r="E14" s="175" t="s">
        <v>12</v>
      </c>
      <c r="F14" s="167">
        <v>40.1</v>
      </c>
      <c r="G14" s="168">
        <v>2.3</v>
      </c>
      <c r="H14" s="174" t="s">
        <v>12</v>
      </c>
      <c r="I14" s="175" t="s">
        <v>12</v>
      </c>
      <c r="J14" s="174" t="s">
        <v>12</v>
      </c>
      <c r="K14" s="175" t="s">
        <v>12</v>
      </c>
    </row>
    <row r="15" ht="22.5" customHeight="1" spans="1:135">
      <c r="A15" s="148" t="s">
        <v>423</v>
      </c>
      <c r="B15" s="167">
        <v>35.98</v>
      </c>
      <c r="C15" s="168">
        <v>3.2</v>
      </c>
      <c r="D15" s="174" t="s">
        <v>12</v>
      </c>
      <c r="E15" s="175" t="s">
        <v>12</v>
      </c>
      <c r="F15" s="167">
        <v>9.02</v>
      </c>
      <c r="G15" s="168">
        <v>0.4</v>
      </c>
      <c r="H15" s="174" t="s">
        <v>12</v>
      </c>
      <c r="I15" s="175" t="s">
        <v>12</v>
      </c>
      <c r="J15" s="174" t="s">
        <v>12</v>
      </c>
      <c r="K15" s="175" t="s">
        <v>12</v>
      </c>
    </row>
    <row r="16" ht="19.5" customHeight="1" spans="1:135">
      <c r="A16" s="148"/>
      <c r="B16" s="167"/>
      <c r="C16" s="168"/>
      <c r="D16" s="167"/>
      <c r="E16" s="168"/>
      <c r="F16" s="167"/>
      <c r="G16" s="168"/>
      <c r="H16" s="167"/>
      <c r="I16" s="168"/>
      <c r="J16" s="167"/>
      <c r="K16" s="168"/>
    </row>
    <row r="17" ht="33" customHeight="1" spans="1:135">
      <c r="A17" s="149" t="s">
        <v>431</v>
      </c>
      <c r="B17" s="167"/>
      <c r="C17" s="168"/>
      <c r="D17" s="167"/>
      <c r="E17" s="168"/>
      <c r="F17" s="167"/>
      <c r="G17" s="168"/>
      <c r="H17" s="167"/>
      <c r="I17" s="168"/>
      <c r="J17" s="167"/>
      <c r="K17" s="168"/>
    </row>
    <row r="18" ht="22.5" customHeight="1" spans="1:135">
      <c r="A18" s="145" t="s">
        <v>422</v>
      </c>
      <c r="B18" s="167"/>
      <c r="C18" s="168">
        <v>10.7</v>
      </c>
      <c r="D18" s="167"/>
      <c r="E18" s="168">
        <v>12.3</v>
      </c>
      <c r="F18" s="167"/>
      <c r="G18" s="168">
        <v>19.7</v>
      </c>
      <c r="H18" s="167"/>
      <c r="I18" s="168">
        <v>14.6</v>
      </c>
      <c r="J18" s="167"/>
      <c r="K18" s="168">
        <v>10.6</v>
      </c>
    </row>
    <row r="19" ht="22.5" customHeight="1" spans="1:135">
      <c r="A19" s="148" t="s">
        <v>82</v>
      </c>
      <c r="B19" s="167"/>
      <c r="C19" s="168">
        <v>1.7</v>
      </c>
      <c r="D19" s="167"/>
      <c r="E19" s="168">
        <v>8.5</v>
      </c>
      <c r="F19" s="167"/>
      <c r="G19" s="168">
        <v>-0.3</v>
      </c>
      <c r="H19" s="167"/>
      <c r="I19" s="168">
        <v>3</v>
      </c>
      <c r="J19" s="167"/>
      <c r="K19" s="168">
        <v>5.4</v>
      </c>
    </row>
    <row r="20" ht="22.5" customHeight="1" spans="1:135">
      <c r="A20" s="148" t="s">
        <v>83</v>
      </c>
      <c r="B20" s="167"/>
      <c r="C20" s="168">
        <v>-3.2</v>
      </c>
      <c r="D20" s="167"/>
      <c r="E20" s="168">
        <v>4.7</v>
      </c>
      <c r="F20" s="167"/>
      <c r="G20" s="168">
        <v>13</v>
      </c>
      <c r="H20" s="167"/>
      <c r="I20" s="168">
        <v>8.3</v>
      </c>
      <c r="J20" s="167"/>
      <c r="K20" s="168">
        <v>5.3</v>
      </c>
    </row>
    <row r="21" ht="22.5" customHeight="1" spans="1:135">
      <c r="A21" s="148" t="s">
        <v>84</v>
      </c>
      <c r="B21" s="167"/>
      <c r="C21" s="168">
        <v>26.3</v>
      </c>
      <c r="D21" s="167"/>
      <c r="E21" s="168">
        <v>40.4</v>
      </c>
      <c r="F21" s="167"/>
      <c r="G21" s="168">
        <v>50</v>
      </c>
      <c r="H21" s="167"/>
      <c r="I21" s="168">
        <v>35.3</v>
      </c>
      <c r="J21" s="167"/>
      <c r="K21" s="168">
        <v>27.7</v>
      </c>
    </row>
    <row r="22" ht="22.5" customHeight="1" spans="1:135">
      <c r="A22" s="148" t="s">
        <v>85</v>
      </c>
      <c r="B22" s="167"/>
      <c r="C22" s="169">
        <v>-56.6</v>
      </c>
      <c r="D22" s="167"/>
      <c r="E22" s="169">
        <v>-3.6</v>
      </c>
      <c r="F22" s="167"/>
      <c r="G22" s="169">
        <v>1.3</v>
      </c>
      <c r="H22" s="167"/>
      <c r="I22" s="169">
        <v>1.7</v>
      </c>
      <c r="J22" s="167"/>
      <c r="K22" s="169">
        <v>2.4</v>
      </c>
    </row>
    <row r="23" ht="22.5" customHeight="1" spans="1:135">
      <c r="A23" s="148" t="s">
        <v>86</v>
      </c>
      <c r="B23" s="167"/>
      <c r="C23" s="169">
        <v>0.8</v>
      </c>
      <c r="D23" s="167"/>
      <c r="E23" s="169">
        <v>8</v>
      </c>
      <c r="F23" s="167"/>
      <c r="G23" s="169">
        <v>-2.8</v>
      </c>
      <c r="H23" s="167"/>
      <c r="I23" s="169">
        <v>-1.4</v>
      </c>
      <c r="J23" s="167"/>
      <c r="K23" s="169">
        <v>-3.2</v>
      </c>
    </row>
    <row r="24" ht="22.5" customHeight="1" spans="1:135">
      <c r="A24" s="148" t="s">
        <v>87</v>
      </c>
      <c r="B24" s="167"/>
      <c r="C24" s="169">
        <v>0.3</v>
      </c>
      <c r="D24" s="167"/>
      <c r="E24" s="169">
        <v>-11.4</v>
      </c>
      <c r="F24" s="167"/>
      <c r="G24" s="169">
        <v>-1.4</v>
      </c>
      <c r="H24" s="167"/>
      <c r="I24" s="169">
        <v>6.6</v>
      </c>
      <c r="J24" s="167"/>
      <c r="K24" s="169">
        <v>0.1</v>
      </c>
    </row>
    <row r="25" ht="22.5" customHeight="1" spans="1:135">
      <c r="A25" s="148" t="s">
        <v>88</v>
      </c>
      <c r="B25" s="167"/>
      <c r="C25" s="169">
        <v>61</v>
      </c>
      <c r="D25" s="167"/>
      <c r="E25" s="169">
        <v>1.6</v>
      </c>
      <c r="F25" s="167"/>
      <c r="G25" s="169">
        <v>3</v>
      </c>
      <c r="H25" s="167"/>
      <c r="I25" s="169">
        <v>22.8</v>
      </c>
      <c r="J25" s="167"/>
      <c r="K25" s="169">
        <v>20</v>
      </c>
    </row>
    <row r="26" ht="22.5" customHeight="1" spans="1:135">
      <c r="A26" s="148" t="s">
        <v>89</v>
      </c>
      <c r="B26" s="167"/>
      <c r="C26" s="169">
        <v>2.6</v>
      </c>
      <c r="D26" s="167"/>
      <c r="E26" s="169">
        <v>1.9</v>
      </c>
      <c r="F26" s="167"/>
      <c r="G26" s="169">
        <v>2.9</v>
      </c>
      <c r="H26" s="167"/>
      <c r="I26" s="169">
        <v>1.4</v>
      </c>
      <c r="J26" s="167"/>
      <c r="K26" s="169">
        <v>0.8</v>
      </c>
    </row>
    <row r="27" ht="22.5" customHeight="1" spans="1:135">
      <c r="A27" s="148" t="s">
        <v>90</v>
      </c>
      <c r="B27" s="167"/>
      <c r="C27" s="169">
        <v>-11</v>
      </c>
      <c r="D27" s="167"/>
      <c r="E27" s="169">
        <v>8.1</v>
      </c>
      <c r="F27" s="167"/>
      <c r="G27" s="169">
        <v>3</v>
      </c>
      <c r="H27" s="167"/>
      <c r="I27" s="169">
        <v>7.1</v>
      </c>
      <c r="J27" s="167"/>
      <c r="K27" s="169">
        <v>4.5</v>
      </c>
    </row>
    <row r="28" ht="22.5" customHeight="1" spans="1:135">
      <c r="A28" s="152" t="s">
        <v>423</v>
      </c>
      <c r="B28" s="170"/>
      <c r="C28" s="171">
        <v>9.5</v>
      </c>
      <c r="D28" s="170"/>
      <c r="E28" s="171">
        <v>2.1</v>
      </c>
      <c r="F28" s="170"/>
      <c r="G28" s="171">
        <v>11</v>
      </c>
      <c r="H28" s="170"/>
      <c r="I28" s="171">
        <v>6.5</v>
      </c>
      <c r="J28" s="170"/>
      <c r="K28" s="171">
        <v>1.8</v>
      </c>
    </row>
    <row r="29" s="163" customFormat="1" ht="64" customHeight="1" spans="1:135">
      <c r="A29" s="172" t="s">
        <v>432</v>
      </c>
      <c r="B29" s="172"/>
      <c r="C29" s="172"/>
      <c r="D29" s="172"/>
      <c r="E29" s="172"/>
      <c r="F29" s="172"/>
      <c r="G29" s="172"/>
      <c r="H29" s="172"/>
      <c r="I29" s="172"/>
      <c r="J29" s="172"/>
      <c r="K29" s="172"/>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E29"/>
  <sheetViews>
    <sheetView zoomScale="80" zoomScaleNormal="80" workbookViewId="0">
      <pane xSplit="1" ySplit="3" topLeftCell="B4" activePane="bottomRight" state="frozen"/>
      <selection/>
      <selection pane="topRight"/>
      <selection pane="bottomLeft"/>
      <selection pane="bottomRight" activeCell="C23" sqref="C23"/>
    </sheetView>
  </sheetViews>
  <sheetFormatPr defaultColWidth="9" defaultRowHeight="14.25"/>
  <cols>
    <col min="1" max="1" width="36.7166666666667" style="164" customWidth="1"/>
    <col min="2" max="2" width="12.025" style="164" customWidth="1"/>
    <col min="3" max="3" width="11.0833333333333" style="164" customWidth="1"/>
    <col min="4" max="4" width="12.025" style="164" customWidth="1"/>
    <col min="5" max="5" width="11.0833333333333" style="164" customWidth="1"/>
    <col min="6" max="6" width="12.025" style="164" customWidth="1"/>
    <col min="7" max="7" width="11.0833333333333" style="164" customWidth="1"/>
    <col min="8" max="8" width="12.025" style="164" customWidth="1"/>
    <col min="9" max="9" width="11.0833333333333" style="164" customWidth="1"/>
    <col min="10" max="135" width="9" style="164"/>
    <col min="136" max="16384" width="9" style="163"/>
  </cols>
  <sheetData>
    <row r="1" s="163" customFormat="1" ht="28.5" customHeight="1" spans="1:135">
      <c r="A1" s="135" t="s">
        <v>433</v>
      </c>
      <c r="B1" s="135"/>
      <c r="C1" s="135"/>
      <c r="D1" s="135"/>
      <c r="E1" s="135"/>
      <c r="F1" s="135"/>
      <c r="G1" s="135"/>
      <c r="H1" s="135"/>
      <c r="I1" s="135"/>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c r="BW1" s="164"/>
      <c r="BX1" s="164"/>
      <c r="BY1" s="164"/>
      <c r="BZ1" s="164"/>
      <c r="CA1" s="164"/>
      <c r="CB1" s="164"/>
      <c r="CC1" s="164"/>
      <c r="CD1" s="164"/>
      <c r="CE1" s="164"/>
      <c r="CF1" s="164"/>
      <c r="CG1" s="164"/>
      <c r="CH1" s="164"/>
      <c r="CI1" s="164"/>
      <c r="CJ1" s="164"/>
      <c r="CK1" s="164"/>
      <c r="CL1" s="164"/>
      <c r="CM1" s="164"/>
      <c r="CN1" s="164"/>
      <c r="CO1" s="164"/>
      <c r="CP1" s="164"/>
      <c r="CQ1" s="164"/>
      <c r="CR1" s="164"/>
      <c r="CS1" s="164"/>
      <c r="CT1" s="164"/>
      <c r="CU1" s="164"/>
      <c r="CV1" s="164"/>
      <c r="CW1" s="164"/>
      <c r="CX1" s="164"/>
      <c r="CY1" s="164"/>
      <c r="CZ1" s="164"/>
      <c r="DA1" s="164"/>
      <c r="DB1" s="164"/>
      <c r="DC1" s="164"/>
      <c r="DD1" s="164"/>
      <c r="DE1" s="164"/>
      <c r="DF1" s="164"/>
      <c r="DG1" s="164"/>
      <c r="DH1" s="164"/>
      <c r="DI1" s="164"/>
      <c r="DJ1" s="164"/>
      <c r="DK1" s="164"/>
      <c r="DL1" s="164"/>
      <c r="DM1" s="164"/>
      <c r="DN1" s="164"/>
      <c r="DO1" s="164"/>
      <c r="DP1" s="164"/>
      <c r="DQ1" s="164"/>
      <c r="DR1" s="164"/>
      <c r="DS1" s="164"/>
      <c r="DT1" s="164"/>
      <c r="DU1" s="164"/>
      <c r="DV1" s="164"/>
      <c r="DW1" s="164"/>
      <c r="DX1" s="164"/>
      <c r="DY1" s="164"/>
      <c r="DZ1" s="164"/>
      <c r="EA1" s="164"/>
      <c r="EB1" s="164"/>
      <c r="EC1" s="164"/>
      <c r="ED1" s="164"/>
      <c r="EE1" s="164"/>
    </row>
    <row r="2" ht="21" customHeight="1" spans="1:135">
      <c r="A2" s="136" t="s">
        <v>1</v>
      </c>
      <c r="B2" s="137" t="s">
        <v>3</v>
      </c>
      <c r="C2" s="138"/>
      <c r="D2" s="137" t="s">
        <v>4</v>
      </c>
      <c r="E2" s="138"/>
      <c r="F2" s="137" t="s">
        <v>5</v>
      </c>
      <c r="G2" s="138"/>
      <c r="H2" s="137" t="s">
        <v>6</v>
      </c>
      <c r="I2" s="138"/>
    </row>
    <row r="3" ht="29" customHeight="1" spans="1:135">
      <c r="A3" s="139"/>
      <c r="B3" s="140" t="s">
        <v>8</v>
      </c>
      <c r="C3" s="141" t="s">
        <v>9</v>
      </c>
      <c r="D3" s="140" t="s">
        <v>8</v>
      </c>
      <c r="E3" s="141" t="s">
        <v>9</v>
      </c>
      <c r="F3" s="140" t="s">
        <v>8</v>
      </c>
      <c r="G3" s="141" t="s">
        <v>9</v>
      </c>
      <c r="H3" s="140" t="s">
        <v>8</v>
      </c>
      <c r="I3" s="141" t="s">
        <v>9</v>
      </c>
    </row>
    <row r="4" s="163" customFormat="1" ht="33" customHeight="1" spans="1:135">
      <c r="A4" s="142" t="s">
        <v>434</v>
      </c>
      <c r="B4" s="165"/>
      <c r="C4" s="166"/>
      <c r="D4" s="165"/>
      <c r="E4" s="166"/>
      <c r="F4" s="165"/>
      <c r="G4" s="166"/>
      <c r="H4" s="165"/>
      <c r="I4" s="166"/>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c r="BM4" s="164"/>
      <c r="BN4" s="164"/>
      <c r="BO4" s="164"/>
      <c r="BP4" s="164"/>
      <c r="BQ4" s="164"/>
      <c r="BR4" s="164"/>
      <c r="BS4" s="164"/>
      <c r="BT4" s="164"/>
      <c r="BU4" s="164"/>
      <c r="BV4" s="164"/>
      <c r="BW4" s="164"/>
      <c r="BX4" s="164"/>
      <c r="BY4" s="164"/>
      <c r="BZ4" s="164"/>
      <c r="CA4" s="164"/>
      <c r="CB4" s="164"/>
      <c r="CC4" s="164"/>
      <c r="CD4" s="164"/>
      <c r="CE4" s="164"/>
      <c r="CF4" s="164"/>
      <c r="CG4" s="164"/>
      <c r="CH4" s="164"/>
      <c r="CI4" s="164"/>
      <c r="CJ4" s="164"/>
      <c r="CK4" s="164"/>
      <c r="CL4" s="164"/>
      <c r="CM4" s="164"/>
      <c r="CN4" s="164"/>
      <c r="CO4" s="164"/>
      <c r="CP4" s="164"/>
      <c r="CQ4" s="164"/>
      <c r="CR4" s="164"/>
      <c r="CS4" s="164"/>
      <c r="CT4" s="164"/>
      <c r="CU4" s="164"/>
      <c r="CV4" s="164"/>
      <c r="CW4" s="164"/>
      <c r="CX4" s="164"/>
      <c r="CY4" s="164"/>
      <c r="CZ4" s="164"/>
      <c r="DA4" s="164"/>
      <c r="DB4" s="164"/>
      <c r="DC4" s="164"/>
      <c r="DD4" s="164"/>
      <c r="DE4" s="164"/>
      <c r="DF4" s="164"/>
      <c r="DG4" s="164"/>
      <c r="DH4" s="164"/>
      <c r="DI4" s="164"/>
      <c r="DJ4" s="164"/>
      <c r="DK4" s="164"/>
      <c r="DL4" s="164"/>
      <c r="DM4" s="164"/>
      <c r="DN4" s="164"/>
      <c r="DO4" s="164"/>
      <c r="DP4" s="164"/>
      <c r="DQ4" s="164"/>
      <c r="DR4" s="164"/>
      <c r="DS4" s="164"/>
      <c r="DT4" s="164"/>
      <c r="DU4" s="164"/>
      <c r="DV4" s="164"/>
      <c r="DW4" s="164"/>
      <c r="DX4" s="164"/>
      <c r="DY4" s="164"/>
      <c r="DZ4" s="164"/>
      <c r="EA4" s="164"/>
      <c r="EB4" s="164"/>
      <c r="EC4" s="164"/>
      <c r="ED4" s="164"/>
      <c r="EE4" s="164"/>
    </row>
    <row r="5" s="163" customFormat="1" ht="22.5" customHeight="1" spans="1:135">
      <c r="A5" s="145" t="s">
        <v>422</v>
      </c>
      <c r="B5" s="167">
        <v>134.30136</v>
      </c>
      <c r="C5" s="168">
        <v>7.8</v>
      </c>
      <c r="D5" s="167">
        <v>22.52587</v>
      </c>
      <c r="E5" s="168">
        <v>-16.9</v>
      </c>
      <c r="F5" s="167">
        <v>49.59303</v>
      </c>
      <c r="G5" s="168">
        <v>22.4</v>
      </c>
      <c r="H5" s="167">
        <v>50.60728</v>
      </c>
      <c r="I5" s="168">
        <v>-10.6</v>
      </c>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c r="BW5" s="164"/>
      <c r="BX5" s="164"/>
      <c r="BY5" s="164"/>
      <c r="BZ5" s="164"/>
      <c r="CA5" s="164"/>
      <c r="CB5" s="164"/>
      <c r="CC5" s="164"/>
      <c r="CD5" s="164"/>
      <c r="CE5" s="164"/>
      <c r="CF5" s="164"/>
      <c r="CG5" s="164"/>
      <c r="CH5" s="164"/>
      <c r="CI5" s="164"/>
      <c r="CJ5" s="164"/>
      <c r="CK5" s="164"/>
      <c r="CL5" s="164"/>
      <c r="CM5" s="164"/>
      <c r="CN5" s="164"/>
      <c r="CO5" s="164"/>
      <c r="CP5" s="164"/>
      <c r="CQ5" s="164"/>
      <c r="CR5" s="164"/>
      <c r="CS5" s="164"/>
      <c r="CT5" s="164"/>
      <c r="CU5" s="164"/>
      <c r="CV5" s="164"/>
      <c r="CW5" s="164"/>
      <c r="CX5" s="164"/>
      <c r="CY5" s="164"/>
      <c r="CZ5" s="164"/>
      <c r="DA5" s="164"/>
      <c r="DB5" s="164"/>
      <c r="DC5" s="164"/>
      <c r="DD5" s="164"/>
      <c r="DE5" s="164"/>
      <c r="DF5" s="164"/>
      <c r="DG5" s="164"/>
      <c r="DH5" s="164"/>
      <c r="DI5" s="164"/>
      <c r="DJ5" s="164"/>
      <c r="DK5" s="164"/>
      <c r="DL5" s="164"/>
      <c r="DM5" s="164"/>
      <c r="DN5" s="164"/>
      <c r="DO5" s="164"/>
      <c r="DP5" s="164"/>
      <c r="DQ5" s="164"/>
      <c r="DR5" s="164"/>
      <c r="DS5" s="164"/>
      <c r="DT5" s="164"/>
      <c r="DU5" s="164"/>
      <c r="DV5" s="164"/>
      <c r="DW5" s="164"/>
      <c r="DX5" s="164"/>
      <c r="DY5" s="164"/>
      <c r="DZ5" s="164"/>
      <c r="EA5" s="164"/>
      <c r="EB5" s="164"/>
      <c r="EC5" s="164"/>
      <c r="ED5" s="164"/>
      <c r="EE5" s="164"/>
    </row>
    <row r="6" ht="22.5" customHeight="1" spans="1:135">
      <c r="A6" s="148" t="s">
        <v>82</v>
      </c>
      <c r="B6" s="167">
        <v>4.59664</v>
      </c>
      <c r="C6" s="168">
        <v>31.1</v>
      </c>
      <c r="D6" s="167">
        <v>1.27607</v>
      </c>
      <c r="E6" s="168">
        <v>125.1</v>
      </c>
      <c r="F6" s="167">
        <v>1.63359</v>
      </c>
      <c r="G6" s="168">
        <v>109.5</v>
      </c>
      <c r="H6" s="167">
        <v>2.05809</v>
      </c>
      <c r="I6" s="168">
        <v>33.9</v>
      </c>
    </row>
    <row r="7" ht="22.5" customHeight="1" spans="1:135">
      <c r="A7" s="148" t="s">
        <v>83</v>
      </c>
      <c r="B7" s="167">
        <v>4.07538</v>
      </c>
      <c r="C7" s="168">
        <v>404.1</v>
      </c>
      <c r="D7" s="167">
        <v>0.71448</v>
      </c>
      <c r="E7" s="168">
        <v>40.6</v>
      </c>
      <c r="F7" s="167">
        <v>1.53915</v>
      </c>
      <c r="G7" s="168">
        <v>41.1</v>
      </c>
      <c r="H7" s="167">
        <v>8.10908</v>
      </c>
      <c r="I7" s="168">
        <v>45.8</v>
      </c>
    </row>
    <row r="8" ht="22.5" customHeight="1" spans="1:135">
      <c r="A8" s="148" t="s">
        <v>84</v>
      </c>
      <c r="B8" s="167">
        <v>123.19759</v>
      </c>
      <c r="C8" s="168">
        <v>19.2</v>
      </c>
      <c r="D8" s="167">
        <v>22.88054</v>
      </c>
      <c r="E8" s="168">
        <v>23.3</v>
      </c>
      <c r="F8" s="167">
        <v>40.51676</v>
      </c>
      <c r="G8" s="168">
        <v>49.3</v>
      </c>
      <c r="H8" s="167">
        <v>38.72725</v>
      </c>
      <c r="I8" s="168">
        <v>14</v>
      </c>
    </row>
    <row r="9" ht="22.5" customHeight="1" spans="1:135">
      <c r="A9" s="148" t="s">
        <v>85</v>
      </c>
      <c r="B9" s="167">
        <v>-11.21678</v>
      </c>
      <c r="C9" s="168">
        <v>-238.7</v>
      </c>
      <c r="D9" s="167">
        <v>-1.59134</v>
      </c>
      <c r="E9" s="168">
        <v>29.7</v>
      </c>
      <c r="F9" s="167">
        <v>-2.14354</v>
      </c>
      <c r="G9" s="168">
        <v>38.1</v>
      </c>
      <c r="H9" s="167">
        <v>-3.09851</v>
      </c>
      <c r="I9" s="168">
        <v>45.4</v>
      </c>
    </row>
    <row r="10" ht="22.5" customHeight="1" spans="1:135">
      <c r="A10" s="148" t="s">
        <v>86</v>
      </c>
      <c r="B10" s="167">
        <v>-15.10173</v>
      </c>
      <c r="C10" s="168">
        <v>-3863.4</v>
      </c>
      <c r="D10" s="167">
        <v>0.02354</v>
      </c>
      <c r="E10" s="168">
        <v>107.3</v>
      </c>
      <c r="F10" s="167">
        <v>0.11154</v>
      </c>
      <c r="G10" s="168">
        <v>116.5</v>
      </c>
      <c r="H10" s="167">
        <v>0.43297</v>
      </c>
      <c r="I10" s="168">
        <v>180.1</v>
      </c>
    </row>
    <row r="11" ht="22.5" customHeight="1" spans="1:135">
      <c r="A11" s="148" t="s">
        <v>87</v>
      </c>
      <c r="B11" s="167">
        <v>5.74827</v>
      </c>
      <c r="C11" s="168">
        <v>-21.5</v>
      </c>
      <c r="D11" s="167">
        <v>0.70329</v>
      </c>
      <c r="E11" s="168">
        <v>-66.9</v>
      </c>
      <c r="F11" s="167">
        <v>1.22859</v>
      </c>
      <c r="G11" s="168">
        <v>-59.8</v>
      </c>
      <c r="H11" s="167">
        <v>2.53519</v>
      </c>
      <c r="I11" s="168">
        <v>-25</v>
      </c>
    </row>
    <row r="12" ht="22.5" customHeight="1" spans="1:135">
      <c r="A12" s="148" t="s">
        <v>88</v>
      </c>
      <c r="B12" s="167">
        <v>9.43943</v>
      </c>
      <c r="C12" s="168">
        <v>62.7</v>
      </c>
      <c r="D12" s="167">
        <v>1.38616</v>
      </c>
      <c r="E12" s="168">
        <v>10.3</v>
      </c>
      <c r="F12" s="167">
        <v>2.75424</v>
      </c>
      <c r="G12" s="168">
        <v>1.6</v>
      </c>
      <c r="H12" s="167">
        <v>14.02385</v>
      </c>
      <c r="I12" s="168">
        <v>37.4</v>
      </c>
    </row>
    <row r="13" ht="22.5" customHeight="1" spans="1:135">
      <c r="A13" s="148" t="s">
        <v>89</v>
      </c>
      <c r="B13" s="167">
        <v>1.77846</v>
      </c>
      <c r="C13" s="168">
        <v>399.2</v>
      </c>
      <c r="D13" s="167">
        <v>0.28481</v>
      </c>
      <c r="E13" s="168">
        <v>40.8</v>
      </c>
      <c r="F13" s="167">
        <v>-0.02498</v>
      </c>
      <c r="G13" s="168">
        <v>77.9</v>
      </c>
      <c r="H13" s="167">
        <v>0.0469</v>
      </c>
      <c r="I13" s="168">
        <v>-88.2</v>
      </c>
    </row>
    <row r="14" ht="22.5" customHeight="1" spans="1:135">
      <c r="A14" s="148" t="s">
        <v>90</v>
      </c>
      <c r="B14" s="167">
        <v>2.33866</v>
      </c>
      <c r="C14" s="168">
        <v>1.6</v>
      </c>
      <c r="D14" s="167">
        <v>0.41985</v>
      </c>
      <c r="E14" s="168">
        <v>111.4</v>
      </c>
      <c r="F14" s="167">
        <v>0.5228</v>
      </c>
      <c r="G14" s="168">
        <v>52.7</v>
      </c>
      <c r="H14" s="167">
        <v>0.56437</v>
      </c>
      <c r="I14" s="168">
        <v>0</v>
      </c>
    </row>
    <row r="15" ht="22.5" customHeight="1" spans="1:135">
      <c r="A15" s="148" t="s">
        <v>423</v>
      </c>
      <c r="B15" s="167">
        <v>10.12162</v>
      </c>
      <c r="C15" s="168">
        <v>78.1</v>
      </c>
      <c r="D15" s="167">
        <v>-3.53025</v>
      </c>
      <c r="E15" s="168">
        <v>-155.7</v>
      </c>
      <c r="F15" s="167">
        <v>3.61747</v>
      </c>
      <c r="G15" s="168">
        <v>-62.9</v>
      </c>
      <c r="H15" s="167">
        <v>-6.59309</v>
      </c>
      <c r="I15" s="168">
        <v>-154.7</v>
      </c>
    </row>
    <row r="16" ht="19.5" customHeight="1" spans="1:135">
      <c r="A16" s="148"/>
      <c r="B16" s="167"/>
      <c r="C16" s="168"/>
      <c r="D16" s="167"/>
      <c r="E16" s="168"/>
      <c r="F16" s="167"/>
      <c r="G16" s="168"/>
      <c r="H16" s="167"/>
      <c r="I16" s="168"/>
    </row>
    <row r="17" ht="33" customHeight="1" spans="1:9">
      <c r="A17" s="149" t="s">
        <v>435</v>
      </c>
      <c r="B17" s="167"/>
      <c r="C17" s="168"/>
      <c r="D17" s="167"/>
      <c r="E17" s="168"/>
      <c r="F17" s="167"/>
      <c r="G17" s="168"/>
      <c r="H17" s="167"/>
      <c r="I17" s="168"/>
    </row>
    <row r="18" ht="22.5" customHeight="1" spans="1:9">
      <c r="A18" s="145" t="s">
        <v>422</v>
      </c>
      <c r="B18" s="167">
        <v>3205.32022</v>
      </c>
      <c r="C18" s="168">
        <v>-1.8</v>
      </c>
      <c r="D18" s="167">
        <v>514.77278</v>
      </c>
      <c r="E18" s="168">
        <v>2.9</v>
      </c>
      <c r="F18" s="167">
        <v>822.74441</v>
      </c>
      <c r="G18" s="168">
        <v>8.4</v>
      </c>
      <c r="H18" s="167">
        <v>1130.68734</v>
      </c>
      <c r="I18" s="168">
        <v>10.4</v>
      </c>
    </row>
    <row r="19" ht="22.5" customHeight="1" spans="1:9">
      <c r="A19" s="148" t="s">
        <v>82</v>
      </c>
      <c r="B19" s="167">
        <v>116.07244</v>
      </c>
      <c r="C19" s="168">
        <v>-4.6</v>
      </c>
      <c r="D19" s="167">
        <v>21.06165</v>
      </c>
      <c r="E19" s="168">
        <v>7.2</v>
      </c>
      <c r="F19" s="167">
        <v>30.07163</v>
      </c>
      <c r="G19" s="168">
        <v>1.7</v>
      </c>
      <c r="H19" s="167">
        <v>40.07329</v>
      </c>
      <c r="I19" s="168">
        <v>2.9</v>
      </c>
    </row>
    <row r="20" ht="22.5" customHeight="1" spans="1:9">
      <c r="A20" s="148" t="s">
        <v>83</v>
      </c>
      <c r="B20" s="167">
        <v>363.1106</v>
      </c>
      <c r="C20" s="168">
        <v>-13.3</v>
      </c>
      <c r="D20" s="167">
        <v>58.56866</v>
      </c>
      <c r="E20" s="168">
        <v>15.2</v>
      </c>
      <c r="F20" s="167">
        <v>97.34469</v>
      </c>
      <c r="G20" s="168">
        <v>20.5</v>
      </c>
      <c r="H20" s="167">
        <v>434.03904</v>
      </c>
      <c r="I20" s="168">
        <v>4</v>
      </c>
    </row>
    <row r="21" ht="22.5" customHeight="1" spans="1:9">
      <c r="A21" s="148" t="s">
        <v>84</v>
      </c>
      <c r="B21" s="167">
        <v>332.79754</v>
      </c>
      <c r="C21" s="168">
        <v>9.3</v>
      </c>
      <c r="D21" s="167">
        <v>56.35222</v>
      </c>
      <c r="E21" s="168">
        <v>27.3</v>
      </c>
      <c r="F21" s="167">
        <v>95.84292</v>
      </c>
      <c r="G21" s="168">
        <v>37.6</v>
      </c>
      <c r="H21" s="167">
        <v>114.07942</v>
      </c>
      <c r="I21" s="168">
        <v>30</v>
      </c>
    </row>
    <row r="22" ht="22.5" customHeight="1" spans="1:9">
      <c r="A22" s="148" t="s">
        <v>85</v>
      </c>
      <c r="B22" s="167">
        <v>81.37697</v>
      </c>
      <c r="C22" s="169">
        <v>-56.2</v>
      </c>
      <c r="D22" s="167">
        <v>11.96895</v>
      </c>
      <c r="E22" s="169">
        <v>-12.3</v>
      </c>
      <c r="F22" s="167">
        <v>19.72928</v>
      </c>
      <c r="G22" s="169">
        <v>-4.8</v>
      </c>
      <c r="H22" s="167">
        <v>27.61413</v>
      </c>
      <c r="I22" s="169">
        <v>-1.3</v>
      </c>
    </row>
    <row r="23" ht="22.5" customHeight="1" spans="1:9">
      <c r="A23" s="148" t="s">
        <v>86</v>
      </c>
      <c r="B23" s="167">
        <v>87.82776</v>
      </c>
      <c r="C23" s="169">
        <v>0.3</v>
      </c>
      <c r="D23" s="167">
        <v>11.41272</v>
      </c>
      <c r="E23" s="169">
        <v>2.6</v>
      </c>
      <c r="F23" s="167">
        <v>16.59752</v>
      </c>
      <c r="G23" s="169">
        <v>-5.3</v>
      </c>
      <c r="H23" s="167">
        <v>22.37733</v>
      </c>
      <c r="I23" s="169">
        <v>-9.2</v>
      </c>
    </row>
    <row r="24" ht="22.5" customHeight="1" spans="1:9">
      <c r="A24" s="148" t="s">
        <v>87</v>
      </c>
      <c r="B24" s="167">
        <v>45.40253</v>
      </c>
      <c r="C24" s="169">
        <v>-4.3</v>
      </c>
      <c r="D24" s="167">
        <v>7.24505</v>
      </c>
      <c r="E24" s="169">
        <v>-12.6</v>
      </c>
      <c r="F24" s="167">
        <v>10.95841</v>
      </c>
      <c r="G24" s="169">
        <v>-8.8</v>
      </c>
      <c r="H24" s="167">
        <v>15.67047</v>
      </c>
      <c r="I24" s="169">
        <v>1.9</v>
      </c>
    </row>
    <row r="25" ht="22.5" customHeight="1" spans="1:9">
      <c r="A25" s="148" t="s">
        <v>88</v>
      </c>
      <c r="B25" s="167">
        <v>121.57776</v>
      </c>
      <c r="C25" s="169">
        <v>13.7</v>
      </c>
      <c r="D25" s="167">
        <v>21.47682</v>
      </c>
      <c r="E25" s="169">
        <v>4.2</v>
      </c>
      <c r="F25" s="167">
        <v>34.22331</v>
      </c>
      <c r="G25" s="169">
        <v>2.1</v>
      </c>
      <c r="H25" s="167">
        <v>65.07753</v>
      </c>
      <c r="I25" s="169">
        <v>16.7</v>
      </c>
    </row>
    <row r="26" ht="22.5" customHeight="1" spans="1:9">
      <c r="A26" s="148" t="s">
        <v>89</v>
      </c>
      <c r="B26" s="167">
        <v>245.24481</v>
      </c>
      <c r="C26" s="169">
        <v>5.5</v>
      </c>
      <c r="D26" s="167">
        <v>37.87821</v>
      </c>
      <c r="E26" s="169">
        <v>-2.2</v>
      </c>
      <c r="F26" s="167">
        <v>59.70141</v>
      </c>
      <c r="G26" s="169">
        <v>0.1</v>
      </c>
      <c r="H26" s="167">
        <v>78.76085</v>
      </c>
      <c r="I26" s="169">
        <v>-2.8</v>
      </c>
    </row>
    <row r="27" ht="22.5" customHeight="1" spans="1:9">
      <c r="A27" s="148" t="s">
        <v>90</v>
      </c>
      <c r="B27" s="167">
        <v>139.16758</v>
      </c>
      <c r="C27" s="169">
        <v>-10.7</v>
      </c>
      <c r="D27" s="167">
        <v>22.07731</v>
      </c>
      <c r="E27" s="169">
        <v>8.5</v>
      </c>
      <c r="F27" s="167">
        <v>32.80302</v>
      </c>
      <c r="G27" s="169">
        <v>5.9</v>
      </c>
      <c r="H27" s="167">
        <v>44.09598</v>
      </c>
      <c r="I27" s="169">
        <v>9.6</v>
      </c>
    </row>
    <row r="28" ht="22.5" customHeight="1" spans="1:9">
      <c r="A28" s="152" t="s">
        <v>423</v>
      </c>
      <c r="B28" s="170">
        <v>1656.50968</v>
      </c>
      <c r="C28" s="171">
        <v>4.4</v>
      </c>
      <c r="D28" s="170">
        <v>266.57912</v>
      </c>
      <c r="E28" s="171">
        <v>-2.2</v>
      </c>
      <c r="F28" s="170">
        <v>429.92018</v>
      </c>
      <c r="G28" s="171">
        <v>5.1</v>
      </c>
      <c r="H28" s="170">
        <v>599.87143</v>
      </c>
      <c r="I28" s="171">
        <v>9.4</v>
      </c>
    </row>
    <row r="29" ht="50" customHeight="1" spans="1:9">
      <c r="A29" s="172"/>
      <c r="B29" s="172"/>
      <c r="C29" s="172"/>
      <c r="D29" s="172"/>
      <c r="E29" s="172"/>
      <c r="F29" s="172"/>
      <c r="G29" s="172"/>
      <c r="H29" s="172"/>
      <c r="I29" s="172"/>
    </row>
  </sheetData>
  <mergeCells count="6">
    <mergeCell ref="A1:I1"/>
    <mergeCell ref="B2:C2"/>
    <mergeCell ref="D2:E2"/>
    <mergeCell ref="F2:G2"/>
    <mergeCell ref="H2:I2"/>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29"/>
  <sheetViews>
    <sheetView zoomScale="80" zoomScaleNormal="80" workbookViewId="0">
      <pane xSplit="1" ySplit="3" topLeftCell="B4" activePane="bottomRight" state="frozen"/>
      <selection/>
      <selection pane="topRight"/>
      <selection pane="bottomLeft"/>
      <selection pane="bottomRight" activeCell="H4" sqref="H4"/>
    </sheetView>
  </sheetViews>
  <sheetFormatPr defaultColWidth="9" defaultRowHeight="14.25"/>
  <cols>
    <col min="1" max="1" width="27.5" style="133" customWidth="1"/>
    <col min="2" max="2" width="10.375" style="133"/>
    <col min="3" max="11" width="9.375" style="133"/>
    <col min="12" max="160" width="9" style="133"/>
    <col min="161" max="16384" width="9" style="134"/>
  </cols>
  <sheetData>
    <row r="1" ht="28.5" customHeight="1" spans="1:11">
      <c r="A1" s="135" t="s">
        <v>436</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21" customHeight="1" spans="1:11">
      <c r="A3" s="139"/>
      <c r="B3" s="140" t="s">
        <v>8</v>
      </c>
      <c r="C3" s="141" t="s">
        <v>9</v>
      </c>
      <c r="D3" s="140" t="s">
        <v>8</v>
      </c>
      <c r="E3" s="141" t="s">
        <v>9</v>
      </c>
      <c r="F3" s="140" t="s">
        <v>8</v>
      </c>
      <c r="G3" s="141" t="s">
        <v>9</v>
      </c>
      <c r="H3" s="140" t="s">
        <v>8</v>
      </c>
      <c r="I3" s="141" t="s">
        <v>9</v>
      </c>
      <c r="J3" s="140" t="s">
        <v>8</v>
      </c>
      <c r="K3" s="141" t="s">
        <v>9</v>
      </c>
    </row>
    <row r="4" ht="33" customHeight="1" spans="1:11">
      <c r="A4" s="142" t="s">
        <v>294</v>
      </c>
      <c r="B4" s="143"/>
      <c r="C4" s="144"/>
      <c r="D4" s="143"/>
      <c r="E4" s="144"/>
      <c r="F4" s="143"/>
      <c r="G4" s="144"/>
      <c r="H4" s="143"/>
      <c r="I4" s="144"/>
      <c r="J4" s="143"/>
      <c r="K4" s="144"/>
    </row>
    <row r="5" ht="24" customHeight="1" spans="1:11">
      <c r="A5" s="145" t="s">
        <v>422</v>
      </c>
      <c r="B5" s="146">
        <v>1620.0596</v>
      </c>
      <c r="C5" s="147">
        <v>2.84</v>
      </c>
      <c r="D5" s="146">
        <v>263.0814</v>
      </c>
      <c r="E5" s="147">
        <v>1.24</v>
      </c>
      <c r="F5" s="146">
        <v>386.9953</v>
      </c>
      <c r="G5" s="147">
        <v>1.28</v>
      </c>
      <c r="H5" s="146">
        <v>510.7049</v>
      </c>
      <c r="I5" s="147">
        <v>1.16</v>
      </c>
      <c r="J5" s="146">
        <v>625.3871</v>
      </c>
      <c r="K5" s="147">
        <v>-0.26</v>
      </c>
    </row>
    <row r="6" ht="24" customHeight="1" spans="1:11">
      <c r="A6" s="148" t="s">
        <v>82</v>
      </c>
      <c r="B6" s="146">
        <v>257.15442</v>
      </c>
      <c r="C6" s="147">
        <v>0.05</v>
      </c>
      <c r="D6" s="146">
        <v>41.21133</v>
      </c>
      <c r="E6" s="147">
        <v>-1.29</v>
      </c>
      <c r="F6" s="146">
        <v>61.0525</v>
      </c>
      <c r="G6" s="147">
        <v>-1.29</v>
      </c>
      <c r="H6" s="146">
        <v>80.51804</v>
      </c>
      <c r="I6" s="147">
        <v>-1.24</v>
      </c>
      <c r="J6" s="146">
        <v>99.34029</v>
      </c>
      <c r="K6" s="147">
        <v>-1.89</v>
      </c>
    </row>
    <row r="7" ht="24" customHeight="1" spans="1:11">
      <c r="A7" s="148" t="s">
        <v>83</v>
      </c>
      <c r="B7" s="146">
        <v>283.16393</v>
      </c>
      <c r="C7" s="147">
        <v>8.76</v>
      </c>
      <c r="D7" s="146">
        <v>43.23344</v>
      </c>
      <c r="E7" s="147">
        <v>3.79</v>
      </c>
      <c r="F7" s="146">
        <v>63.53614</v>
      </c>
      <c r="G7" s="147">
        <v>2.95</v>
      </c>
      <c r="H7" s="146">
        <v>84.32532</v>
      </c>
      <c r="I7" s="147">
        <v>1.83</v>
      </c>
      <c r="J7" s="146">
        <v>97.93642</v>
      </c>
      <c r="K7" s="147">
        <v>-5.83</v>
      </c>
    </row>
    <row r="8" ht="24" customHeight="1" spans="1:11">
      <c r="A8" s="148" t="s">
        <v>84</v>
      </c>
      <c r="B8" s="146">
        <v>45.49547</v>
      </c>
      <c r="C8" s="147">
        <v>0.15</v>
      </c>
      <c r="D8" s="146">
        <v>7.66163</v>
      </c>
      <c r="E8" s="147">
        <v>0.33</v>
      </c>
      <c r="F8" s="146">
        <v>11.01903</v>
      </c>
      <c r="G8" s="147">
        <v>0.91</v>
      </c>
      <c r="H8" s="146">
        <v>14.5835</v>
      </c>
      <c r="I8" s="147">
        <v>0.9</v>
      </c>
      <c r="J8" s="146">
        <v>18.10976</v>
      </c>
      <c r="K8" s="147">
        <v>1.11</v>
      </c>
    </row>
    <row r="9" ht="24" customHeight="1" spans="1:11">
      <c r="A9" s="148" t="s">
        <v>85</v>
      </c>
      <c r="B9" s="146">
        <v>196.66327</v>
      </c>
      <c r="C9" s="147">
        <v>2.22</v>
      </c>
      <c r="D9" s="146">
        <v>32.57251</v>
      </c>
      <c r="E9" s="147">
        <v>0.26</v>
      </c>
      <c r="F9" s="146">
        <v>47.74902</v>
      </c>
      <c r="G9" s="147">
        <v>0.05</v>
      </c>
      <c r="H9" s="146">
        <v>62.61765</v>
      </c>
      <c r="I9" s="147">
        <v>0.07</v>
      </c>
      <c r="J9" s="146">
        <v>76.95371</v>
      </c>
      <c r="K9" s="147">
        <v>-0.13</v>
      </c>
    </row>
    <row r="10" ht="24" customHeight="1" spans="1:11">
      <c r="A10" s="148" t="s">
        <v>86</v>
      </c>
      <c r="B10" s="146">
        <v>167.88047</v>
      </c>
      <c r="C10" s="147">
        <v>2.17</v>
      </c>
      <c r="D10" s="146">
        <v>27.75557</v>
      </c>
      <c r="E10" s="147">
        <v>0.67</v>
      </c>
      <c r="F10" s="146">
        <v>40.98274</v>
      </c>
      <c r="G10" s="147">
        <v>1.28</v>
      </c>
      <c r="H10" s="146">
        <v>54.0722</v>
      </c>
      <c r="I10" s="147">
        <v>1.37</v>
      </c>
      <c r="J10" s="146">
        <v>67.53961</v>
      </c>
      <c r="K10" s="147">
        <v>1.23</v>
      </c>
    </row>
    <row r="11" ht="24" customHeight="1" spans="1:11">
      <c r="A11" s="148" t="s">
        <v>87</v>
      </c>
      <c r="B11" s="146">
        <v>108.43252</v>
      </c>
      <c r="C11" s="147">
        <v>1.87</v>
      </c>
      <c r="D11" s="146">
        <v>17.99604</v>
      </c>
      <c r="E11" s="147">
        <v>1.12</v>
      </c>
      <c r="F11" s="146">
        <v>26.45876</v>
      </c>
      <c r="G11" s="147">
        <v>1.41</v>
      </c>
      <c r="H11" s="146">
        <v>34.95359</v>
      </c>
      <c r="I11" s="147">
        <v>1.63</v>
      </c>
      <c r="J11" s="146">
        <v>43.28912</v>
      </c>
      <c r="K11" s="147">
        <v>1.65</v>
      </c>
    </row>
    <row r="12" ht="24" customHeight="1" spans="1:11">
      <c r="A12" s="148" t="s">
        <v>88</v>
      </c>
      <c r="B12" s="146">
        <v>179.93976</v>
      </c>
      <c r="C12" s="147">
        <v>1.42</v>
      </c>
      <c r="D12" s="146">
        <v>30.27122</v>
      </c>
      <c r="E12" s="147">
        <v>1.44</v>
      </c>
      <c r="F12" s="146">
        <v>43.94814</v>
      </c>
      <c r="G12" s="147">
        <v>1.41</v>
      </c>
      <c r="H12" s="146">
        <v>57.99787</v>
      </c>
      <c r="I12" s="147">
        <v>1.49</v>
      </c>
      <c r="J12" s="146">
        <v>71.35902</v>
      </c>
      <c r="K12" s="147">
        <v>1.52</v>
      </c>
    </row>
    <row r="13" ht="24" customHeight="1" spans="1:11">
      <c r="A13" s="148" t="s">
        <v>89</v>
      </c>
      <c r="B13" s="146">
        <v>150.92869</v>
      </c>
      <c r="C13" s="147">
        <v>1.91</v>
      </c>
      <c r="D13" s="146">
        <v>24.83799</v>
      </c>
      <c r="E13" s="147">
        <v>1.39</v>
      </c>
      <c r="F13" s="146">
        <v>37.32944</v>
      </c>
      <c r="G13" s="147">
        <v>2.59</v>
      </c>
      <c r="H13" s="146">
        <v>49.07401</v>
      </c>
      <c r="I13" s="147">
        <v>2.67</v>
      </c>
      <c r="J13" s="146">
        <v>60.59877</v>
      </c>
      <c r="K13" s="147">
        <v>2.47</v>
      </c>
    </row>
    <row r="14" ht="24" customHeight="1" spans="1:11">
      <c r="A14" s="148" t="s">
        <v>90</v>
      </c>
      <c r="B14" s="146">
        <v>230.40111</v>
      </c>
      <c r="C14" s="147">
        <v>1.92</v>
      </c>
      <c r="D14" s="146">
        <v>37.54168</v>
      </c>
      <c r="E14" s="147">
        <v>2.54</v>
      </c>
      <c r="F14" s="146">
        <v>54.91955</v>
      </c>
      <c r="G14" s="147">
        <v>2.41</v>
      </c>
      <c r="H14" s="146">
        <v>72.56272</v>
      </c>
      <c r="I14" s="147">
        <v>2.51</v>
      </c>
      <c r="J14" s="146">
        <v>90.26039</v>
      </c>
      <c r="K14" s="147">
        <v>2.5</v>
      </c>
    </row>
    <row r="15" ht="24" customHeight="1" spans="1:11">
      <c r="A15" s="148" t="s">
        <v>423</v>
      </c>
      <c r="B15" s="146">
        <v>143.96197</v>
      </c>
      <c r="C15" s="147">
        <v>4.05</v>
      </c>
      <c r="D15" s="146">
        <v>23.01104</v>
      </c>
      <c r="E15" s="147">
        <v>3.88</v>
      </c>
      <c r="F15" s="146">
        <v>34.47194</v>
      </c>
      <c r="G15" s="147">
        <v>3.84</v>
      </c>
      <c r="H15" s="146">
        <v>46.43896</v>
      </c>
      <c r="I15" s="147">
        <v>4.1</v>
      </c>
      <c r="J15" s="146">
        <v>59.08691</v>
      </c>
      <c r="K15" s="147">
        <v>4.57</v>
      </c>
    </row>
    <row r="16" ht="22.9" customHeight="1" spans="1:11">
      <c r="A16" s="148"/>
      <c r="B16" s="161"/>
      <c r="C16" s="162"/>
      <c r="D16" s="161"/>
      <c r="E16" s="162"/>
      <c r="F16" s="161"/>
      <c r="G16" s="162"/>
      <c r="H16" s="161"/>
      <c r="I16" s="162"/>
      <c r="J16" s="161"/>
      <c r="K16" s="162"/>
    </row>
    <row r="17" ht="33" customHeight="1" spans="1:11">
      <c r="A17" s="149" t="s">
        <v>437</v>
      </c>
      <c r="B17" s="161"/>
      <c r="C17" s="162"/>
      <c r="D17" s="161"/>
      <c r="E17" s="162"/>
      <c r="F17" s="161"/>
      <c r="G17" s="162"/>
      <c r="H17" s="161"/>
      <c r="I17" s="162"/>
      <c r="J17" s="161"/>
      <c r="K17" s="162"/>
    </row>
    <row r="18" ht="24" customHeight="1" spans="1:11">
      <c r="A18" s="145" t="s">
        <v>422</v>
      </c>
      <c r="B18" s="146"/>
      <c r="C18" s="147">
        <v>-12.9932263867921</v>
      </c>
      <c r="D18" s="146"/>
      <c r="E18" s="147">
        <v>6.19391202557347</v>
      </c>
      <c r="F18" s="146"/>
      <c r="G18" s="147">
        <v>10.0019473821207</v>
      </c>
      <c r="H18" s="146"/>
      <c r="I18" s="147">
        <v>0.201460966413578</v>
      </c>
      <c r="J18" s="146"/>
      <c r="K18" s="147">
        <v>-6.32902056847102</v>
      </c>
    </row>
    <row r="19" ht="24" customHeight="1" spans="1:11">
      <c r="A19" s="148" t="s">
        <v>82</v>
      </c>
      <c r="B19" s="150"/>
      <c r="C19" s="151">
        <v>-22.9614910012078</v>
      </c>
      <c r="D19" s="150"/>
      <c r="E19" s="151">
        <v>-27.9009085937845</v>
      </c>
      <c r="F19" s="150"/>
      <c r="G19" s="151">
        <v>13.2745807512059</v>
      </c>
      <c r="H19" s="150"/>
      <c r="I19" s="151">
        <v>14.2332042291426</v>
      </c>
      <c r="J19" s="150"/>
      <c r="K19" s="151">
        <v>10.5361891069505</v>
      </c>
    </row>
    <row r="20" ht="24" customHeight="1" spans="1:11">
      <c r="A20" s="148" t="s">
        <v>83</v>
      </c>
      <c r="B20" s="146"/>
      <c r="C20" s="147">
        <v>15.6340800686969</v>
      </c>
      <c r="D20" s="146"/>
      <c r="E20" s="147">
        <v>0.501182616356147</v>
      </c>
      <c r="F20" s="146"/>
      <c r="G20" s="147">
        <v>19.8941913060517</v>
      </c>
      <c r="H20" s="146"/>
      <c r="I20" s="147">
        <v>15.6225854304179</v>
      </c>
      <c r="J20" s="146"/>
      <c r="K20" s="147">
        <v>8.59380155791666</v>
      </c>
    </row>
    <row r="21" ht="24" customHeight="1" spans="1:11">
      <c r="A21" s="148" t="s">
        <v>84</v>
      </c>
      <c r="B21" s="146"/>
      <c r="C21" s="147">
        <v>0.753620602764897</v>
      </c>
      <c r="D21" s="146"/>
      <c r="E21" s="147">
        <v>3.11097214963706</v>
      </c>
      <c r="F21" s="146"/>
      <c r="G21" s="147">
        <v>11.437640176702</v>
      </c>
      <c r="H21" s="146"/>
      <c r="I21" s="147">
        <v>2.22740669901017</v>
      </c>
      <c r="J21" s="146"/>
      <c r="K21" s="147">
        <v>0.0884240596694212</v>
      </c>
    </row>
    <row r="22" ht="24" customHeight="1" spans="1:11">
      <c r="A22" s="148" t="s">
        <v>85</v>
      </c>
      <c r="B22" s="146"/>
      <c r="C22" s="147">
        <v>-10.8998663949165</v>
      </c>
      <c r="D22" s="146"/>
      <c r="E22" s="147">
        <v>13.5485601689006</v>
      </c>
      <c r="F22" s="146"/>
      <c r="G22" s="147">
        <v>21.6967893805104</v>
      </c>
      <c r="H22" s="146"/>
      <c r="I22" s="147">
        <v>9.98162839270422</v>
      </c>
      <c r="J22" s="146"/>
      <c r="K22" s="147">
        <v>6.24350813128018</v>
      </c>
    </row>
    <row r="23" ht="24" customHeight="1" spans="1:11">
      <c r="A23" s="148" t="s">
        <v>86</v>
      </c>
      <c r="B23" s="146"/>
      <c r="C23" s="147">
        <v>-17.3976846863447</v>
      </c>
      <c r="D23" s="146"/>
      <c r="E23" s="147">
        <v>4.44390632911298</v>
      </c>
      <c r="F23" s="146"/>
      <c r="G23" s="147">
        <v>5.3164172559076</v>
      </c>
      <c r="H23" s="146"/>
      <c r="I23" s="147">
        <v>-7.24493314030617</v>
      </c>
      <c r="J23" s="146"/>
      <c r="K23" s="147">
        <v>-15.9269650919345</v>
      </c>
    </row>
    <row r="24" ht="24" customHeight="1" spans="1:11">
      <c r="A24" s="148" t="s">
        <v>87</v>
      </c>
      <c r="B24" s="146"/>
      <c r="C24" s="147">
        <v>1.96013823743624</v>
      </c>
      <c r="D24" s="146"/>
      <c r="E24" s="147">
        <v>49.8293161157257</v>
      </c>
      <c r="F24" s="146"/>
      <c r="G24" s="147">
        <v>17.2965494058559</v>
      </c>
      <c r="H24" s="146"/>
      <c r="I24" s="147">
        <v>12.2863809188007</v>
      </c>
      <c r="J24" s="146"/>
      <c r="K24" s="147">
        <v>3.4128618344579</v>
      </c>
    </row>
    <row r="25" ht="24" customHeight="1" spans="1:11">
      <c r="A25" s="148" t="s">
        <v>88</v>
      </c>
      <c r="B25" s="146"/>
      <c r="C25" s="147">
        <v>-29.7490947311126</v>
      </c>
      <c r="D25" s="146"/>
      <c r="E25" s="147">
        <v>38.2430399797683</v>
      </c>
      <c r="F25" s="146"/>
      <c r="G25" s="147">
        <v>35.3827989620325</v>
      </c>
      <c r="H25" s="146"/>
      <c r="I25" s="147">
        <v>26.6099065622858</v>
      </c>
      <c r="J25" s="146"/>
      <c r="K25" s="147">
        <v>27.5309090515545</v>
      </c>
    </row>
    <row r="26" ht="24" customHeight="1" spans="1:11">
      <c r="A26" s="148" t="s">
        <v>89</v>
      </c>
      <c r="B26" s="146"/>
      <c r="C26" s="147">
        <v>-15.0336276000472</v>
      </c>
      <c r="D26" s="146"/>
      <c r="E26" s="147">
        <v>7.45092564423251</v>
      </c>
      <c r="F26" s="146"/>
      <c r="G26" s="147">
        <v>5.80902986703175</v>
      </c>
      <c r="H26" s="146"/>
      <c r="I26" s="147">
        <v>2.90297562431307</v>
      </c>
      <c r="J26" s="146"/>
      <c r="K26" s="147">
        <v>0.868785639935894</v>
      </c>
    </row>
    <row r="27" ht="24" customHeight="1" spans="1:11">
      <c r="A27" s="148" t="s">
        <v>90</v>
      </c>
      <c r="B27" s="146"/>
      <c r="C27" s="147">
        <v>3.22261120113959</v>
      </c>
      <c r="D27" s="146"/>
      <c r="E27" s="147">
        <v>58.2286357969251</v>
      </c>
      <c r="F27" s="146"/>
      <c r="G27" s="147">
        <v>62.2173071325539</v>
      </c>
      <c r="H27" s="146"/>
      <c r="I27" s="147">
        <v>33.1163618274037</v>
      </c>
      <c r="J27" s="146"/>
      <c r="K27" s="147">
        <v>15.3937939611982</v>
      </c>
    </row>
    <row r="28" ht="24" customHeight="1" spans="1:11">
      <c r="A28" s="152" t="s">
        <v>438</v>
      </c>
      <c r="B28" s="153"/>
      <c r="C28" s="154">
        <v>-28.5307917884507</v>
      </c>
      <c r="D28" s="153"/>
      <c r="E28" s="154">
        <v>-28.9547008846263</v>
      </c>
      <c r="F28" s="153"/>
      <c r="G28" s="154">
        <v>-35.6086097657115</v>
      </c>
      <c r="H28" s="153"/>
      <c r="I28" s="154">
        <v>-43.0764239288599</v>
      </c>
      <c r="J28" s="153"/>
      <c r="K28" s="154">
        <v>-48.2210463315993</v>
      </c>
    </row>
    <row r="29" ht="75" customHeight="1" spans="1:11">
      <c r="A29" s="155" t="s">
        <v>439</v>
      </c>
      <c r="B29" s="155"/>
      <c r="C29" s="155"/>
      <c r="D29" s="155"/>
      <c r="E29" s="155"/>
      <c r="F29" s="155"/>
      <c r="G29" s="155"/>
      <c r="H29" s="155"/>
      <c r="I29" s="155"/>
      <c r="J29" s="155"/>
      <c r="K29" s="155"/>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D29"/>
  <sheetViews>
    <sheetView zoomScale="80" zoomScaleNormal="80" workbookViewId="0">
      <pane xSplit="1" ySplit="3" topLeftCell="B4" activePane="bottomRight" state="frozen"/>
      <selection/>
      <selection pane="topRight"/>
      <selection pane="bottomLeft"/>
      <selection pane="bottomRight" activeCell="F12" sqref="F12"/>
    </sheetView>
  </sheetViews>
  <sheetFormatPr defaultColWidth="9" defaultRowHeight="14.25"/>
  <cols>
    <col min="1" max="1" width="25.625" style="133" customWidth="1"/>
    <col min="2" max="2" width="11.7166666666667" style="133" customWidth="1"/>
    <col min="3" max="3" width="9" style="133"/>
    <col min="4" max="4" width="10.4666666666667" style="133" customWidth="1"/>
    <col min="5" max="5" width="9" style="133"/>
    <col min="6" max="6" width="10.4666666666667" style="133" customWidth="1"/>
    <col min="7" max="7" width="9" style="133"/>
    <col min="8" max="8" width="10.4666666666667" style="133" customWidth="1"/>
    <col min="9" max="9" width="9" style="133"/>
    <col min="10" max="10" width="10.4666666666667" style="133" customWidth="1"/>
    <col min="11" max="158" width="9" style="133"/>
    <col min="159" max="16384" width="9" style="134"/>
  </cols>
  <sheetData>
    <row r="1" ht="28.5" customHeight="1" spans="1:11">
      <c r="A1" s="135" t="s">
        <v>440</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37" customHeight="1" spans="1:11">
      <c r="A3" s="139"/>
      <c r="B3" s="140" t="s">
        <v>8</v>
      </c>
      <c r="C3" s="141" t="s">
        <v>9</v>
      </c>
      <c r="D3" s="140" t="s">
        <v>8</v>
      </c>
      <c r="E3" s="141" t="s">
        <v>9</v>
      </c>
      <c r="F3" s="140" t="s">
        <v>8</v>
      </c>
      <c r="G3" s="141" t="s">
        <v>9</v>
      </c>
      <c r="H3" s="140" t="s">
        <v>8</v>
      </c>
      <c r="I3" s="141" t="s">
        <v>9</v>
      </c>
      <c r="J3" s="140" t="s">
        <v>8</v>
      </c>
      <c r="K3" s="141" t="s">
        <v>9</v>
      </c>
    </row>
    <row r="4" ht="33" customHeight="1" spans="1:11">
      <c r="A4" s="142" t="s">
        <v>441</v>
      </c>
      <c r="B4" s="143"/>
      <c r="C4" s="144"/>
      <c r="D4" s="143"/>
      <c r="E4" s="144"/>
      <c r="F4" s="143"/>
      <c r="G4" s="144"/>
      <c r="H4" s="143"/>
      <c r="I4" s="144"/>
      <c r="J4" s="143"/>
      <c r="K4" s="144"/>
    </row>
    <row r="5" ht="24" customHeight="1" spans="1:11">
      <c r="A5" s="145" t="s">
        <v>422</v>
      </c>
      <c r="B5" s="146"/>
      <c r="C5" s="147">
        <v>-13.0345099011769</v>
      </c>
      <c r="D5" s="146"/>
      <c r="E5" s="147">
        <v>4.54884996770176</v>
      </c>
      <c r="F5" s="146"/>
      <c r="G5" s="147">
        <v>-7.31726820330879</v>
      </c>
      <c r="H5" s="146"/>
      <c r="I5" s="147">
        <v>-17.497459143198</v>
      </c>
      <c r="J5" s="146"/>
      <c r="K5" s="147">
        <v>-24.9807727640779</v>
      </c>
    </row>
    <row r="6" ht="24" customHeight="1" spans="1:11">
      <c r="A6" s="148" t="s">
        <v>82</v>
      </c>
      <c r="B6" s="146"/>
      <c r="C6" s="147">
        <v>77.4889822171642</v>
      </c>
      <c r="D6" s="146"/>
      <c r="E6" s="147">
        <v>-33.4341864067946</v>
      </c>
      <c r="F6" s="146"/>
      <c r="G6" s="147">
        <v>41.7096520736705</v>
      </c>
      <c r="H6" s="146"/>
      <c r="I6" s="147">
        <v>-17.2938580049163</v>
      </c>
      <c r="J6" s="146"/>
      <c r="K6" s="147">
        <v>-12.6990824379841</v>
      </c>
    </row>
    <row r="7" ht="24" customHeight="1" spans="1:11">
      <c r="A7" s="148" t="s">
        <v>83</v>
      </c>
      <c r="B7" s="146"/>
      <c r="C7" s="147">
        <v>115.769198495161</v>
      </c>
      <c r="D7" s="146"/>
      <c r="E7" s="147">
        <v>556.206299559471</v>
      </c>
      <c r="F7" s="146"/>
      <c r="G7" s="147">
        <v>177.816488291071</v>
      </c>
      <c r="H7" s="146"/>
      <c r="I7" s="147">
        <v>33.4795938770572</v>
      </c>
      <c r="J7" s="146"/>
      <c r="K7" s="147">
        <v>39.5256251367478</v>
      </c>
    </row>
    <row r="8" ht="24" customHeight="1" spans="1:11">
      <c r="A8" s="148" t="s">
        <v>84</v>
      </c>
      <c r="B8" s="146"/>
      <c r="C8" s="147">
        <v>12.6554251360338</v>
      </c>
      <c r="D8" s="146"/>
      <c r="E8" s="147">
        <v>-22.2361444178909</v>
      </c>
      <c r="F8" s="146"/>
      <c r="G8" s="147">
        <v>-24.4259218637905</v>
      </c>
      <c r="H8" s="146"/>
      <c r="I8" s="147">
        <v>-25.3723043225397</v>
      </c>
      <c r="J8" s="146"/>
      <c r="K8" s="147">
        <v>-25.6767852819112</v>
      </c>
    </row>
    <row r="9" ht="24" customHeight="1" spans="1:11">
      <c r="A9" s="148" t="s">
        <v>85</v>
      </c>
      <c r="B9" s="146"/>
      <c r="C9" s="147">
        <v>-0.391879962315457</v>
      </c>
      <c r="D9" s="146"/>
      <c r="E9" s="147">
        <v>56.7117243509472</v>
      </c>
      <c r="F9" s="146"/>
      <c r="G9" s="147">
        <v>7.66954156717139</v>
      </c>
      <c r="H9" s="146"/>
      <c r="I9" s="147">
        <v>-4.03627389516976</v>
      </c>
      <c r="J9" s="146"/>
      <c r="K9" s="147">
        <v>-15.3207802062957</v>
      </c>
    </row>
    <row r="10" ht="24" customHeight="1" spans="1:11">
      <c r="A10" s="148" t="s">
        <v>86</v>
      </c>
      <c r="B10" s="146"/>
      <c r="C10" s="147">
        <v>20.8450088813321</v>
      </c>
      <c r="D10" s="146"/>
      <c r="E10" s="147">
        <v>21.9405343292158</v>
      </c>
      <c r="F10" s="146"/>
      <c r="G10" s="147">
        <v>37.6169025678549</v>
      </c>
      <c r="H10" s="146"/>
      <c r="I10" s="147">
        <v>31.5403186866248</v>
      </c>
      <c r="J10" s="146"/>
      <c r="K10" s="147">
        <v>24.5529378370707</v>
      </c>
    </row>
    <row r="11" ht="24" customHeight="1" spans="1:11">
      <c r="A11" s="148" t="s">
        <v>87</v>
      </c>
      <c r="B11" s="146"/>
      <c r="C11" s="147">
        <v>23.306879083591</v>
      </c>
      <c r="D11" s="146"/>
      <c r="E11" s="147">
        <v>273.023187048764</v>
      </c>
      <c r="F11" s="146"/>
      <c r="G11" s="147">
        <v>48.2498524968529</v>
      </c>
      <c r="H11" s="146"/>
      <c r="I11" s="147">
        <v>34.7518701595535</v>
      </c>
      <c r="J11" s="146"/>
      <c r="K11" s="147">
        <v>19.4614526010222</v>
      </c>
    </row>
    <row r="12" ht="24" customHeight="1" spans="1:11">
      <c r="A12" s="148" t="s">
        <v>88</v>
      </c>
      <c r="B12" s="146"/>
      <c r="C12" s="147">
        <v>-34.7945382832024</v>
      </c>
      <c r="D12" s="146"/>
      <c r="E12" s="147">
        <v>48.7346776915687</v>
      </c>
      <c r="F12" s="146"/>
      <c r="G12" s="147">
        <v>72.5895798169367</v>
      </c>
      <c r="H12" s="146"/>
      <c r="I12" s="147">
        <v>44.6978624034489</v>
      </c>
      <c r="J12" s="146"/>
      <c r="K12" s="147">
        <v>26.4561513605239</v>
      </c>
    </row>
    <row r="13" ht="24" customHeight="1" spans="1:11">
      <c r="A13" s="148" t="s">
        <v>89</v>
      </c>
      <c r="B13" s="146"/>
      <c r="C13" s="147">
        <v>-24.866810848492</v>
      </c>
      <c r="D13" s="146"/>
      <c r="E13" s="147">
        <v>15.0401061335061</v>
      </c>
      <c r="F13" s="146"/>
      <c r="G13" s="147">
        <v>-34.693015290269</v>
      </c>
      <c r="H13" s="146"/>
      <c r="I13" s="147">
        <v>-29.6971965942342</v>
      </c>
      <c r="J13" s="146"/>
      <c r="K13" s="147">
        <v>-28.0846780380622</v>
      </c>
    </row>
    <row r="14" ht="24" customHeight="1" spans="1:11">
      <c r="A14" s="148" t="s">
        <v>90</v>
      </c>
      <c r="B14" s="146"/>
      <c r="C14" s="147">
        <v>6.78016795370947</v>
      </c>
      <c r="D14" s="146"/>
      <c r="E14" s="147">
        <v>40.2068762127516</v>
      </c>
      <c r="F14" s="146"/>
      <c r="G14" s="147">
        <v>24.0662229022657</v>
      </c>
      <c r="H14" s="146"/>
      <c r="I14" s="147">
        <v>10.664042414465</v>
      </c>
      <c r="J14" s="146"/>
      <c r="K14" s="147">
        <v>-5.45118170089999</v>
      </c>
    </row>
    <row r="15" ht="24" customHeight="1" spans="1:11">
      <c r="A15" s="148" t="s">
        <v>91</v>
      </c>
      <c r="B15" s="146"/>
      <c r="C15" s="147">
        <v>-32.0832611951887</v>
      </c>
      <c r="D15" s="146"/>
      <c r="E15" s="147">
        <v>-37.4422666579287</v>
      </c>
      <c r="F15" s="146"/>
      <c r="G15" s="147">
        <v>-46.0406624932568</v>
      </c>
      <c r="H15" s="146"/>
      <c r="I15" s="147">
        <v>-54.0381881371439</v>
      </c>
      <c r="J15" s="146"/>
      <c r="K15" s="147">
        <v>-59.5011888566188</v>
      </c>
    </row>
    <row r="16" ht="22.9" customHeight="1" spans="1:11">
      <c r="A16" s="148"/>
      <c r="B16" s="146"/>
      <c r="C16" s="147"/>
      <c r="D16" s="146"/>
      <c r="E16" s="147"/>
      <c r="F16" s="146"/>
      <c r="G16" s="147"/>
      <c r="H16" s="146"/>
      <c r="I16" s="147"/>
      <c r="J16" s="146"/>
      <c r="K16" s="147"/>
    </row>
    <row r="17" ht="33" customHeight="1" spans="1:160">
      <c r="A17" s="149" t="s">
        <v>442</v>
      </c>
      <c r="B17" s="146"/>
      <c r="C17" s="147"/>
      <c r="D17" s="146"/>
      <c r="E17" s="147"/>
      <c r="F17" s="146"/>
      <c r="G17" s="147"/>
      <c r="H17" s="146"/>
      <c r="I17" s="147"/>
      <c r="J17" s="146"/>
      <c r="K17" s="147"/>
    </row>
    <row r="18" ht="24" customHeight="1" spans="1:160">
      <c r="A18" s="148" t="s">
        <v>422</v>
      </c>
      <c r="B18" s="146"/>
      <c r="C18" s="147">
        <v>-26.0186949192034</v>
      </c>
      <c r="D18" s="146"/>
      <c r="E18" s="147">
        <v>-8.61630879746538</v>
      </c>
      <c r="F18" s="146"/>
      <c r="G18" s="147">
        <v>-0.0429611982268767</v>
      </c>
      <c r="H18" s="146"/>
      <c r="I18" s="147">
        <v>-3.35507717080044</v>
      </c>
      <c r="J18" s="146"/>
      <c r="K18" s="147">
        <v>-7.73324446419315</v>
      </c>
    </row>
    <row r="19" ht="24" customHeight="1" spans="1:160">
      <c r="A19" s="148" t="s">
        <v>82</v>
      </c>
      <c r="B19" s="150"/>
      <c r="C19" s="151">
        <v>-28.5229081013311</v>
      </c>
      <c r="D19" s="150"/>
      <c r="E19" s="151">
        <v>-11.2862603336395</v>
      </c>
      <c r="F19" s="150"/>
      <c r="G19" s="151">
        <v>2.18948355085531</v>
      </c>
      <c r="H19" s="150"/>
      <c r="I19" s="151">
        <v>0.589677070236021</v>
      </c>
      <c r="J19" s="150"/>
      <c r="K19" s="151">
        <v>-1.28375814408192</v>
      </c>
    </row>
    <row r="20" ht="24" customHeight="1" spans="1:160">
      <c r="A20" s="148" t="s">
        <v>83</v>
      </c>
      <c r="B20" s="146"/>
      <c r="C20" s="147">
        <v>-24.4743355948771</v>
      </c>
      <c r="D20" s="146"/>
      <c r="E20" s="147">
        <v>21.2216730392614</v>
      </c>
      <c r="F20" s="146"/>
      <c r="G20" s="147">
        <v>38.8627081369777</v>
      </c>
      <c r="H20" s="146"/>
      <c r="I20" s="147">
        <v>34.1045752830379</v>
      </c>
      <c r="J20" s="146"/>
      <c r="K20" s="147">
        <v>24.5692697949716</v>
      </c>
    </row>
    <row r="21" ht="24" customHeight="1" spans="1:160">
      <c r="A21" s="148" t="s">
        <v>84</v>
      </c>
      <c r="B21" s="146"/>
      <c r="C21" s="147">
        <v>-29.046954300988</v>
      </c>
      <c r="D21" s="146"/>
      <c r="E21" s="147">
        <v>31.2010113780025</v>
      </c>
      <c r="F21" s="146"/>
      <c r="G21" s="147">
        <v>29.3748762294541</v>
      </c>
      <c r="H21" s="146"/>
      <c r="I21" s="147">
        <v>0.42078302231981</v>
      </c>
      <c r="J21" s="146"/>
      <c r="K21" s="147">
        <v>-7.57147575879912</v>
      </c>
    </row>
    <row r="22" ht="24" customHeight="1" spans="1:160">
      <c r="A22" s="148" t="s">
        <v>85</v>
      </c>
      <c r="B22" s="146"/>
      <c r="C22" s="147">
        <v>-34.356543560366</v>
      </c>
      <c r="D22" s="146"/>
      <c r="E22" s="147">
        <v>-48.639638258737</v>
      </c>
      <c r="F22" s="146"/>
      <c r="G22" s="147">
        <v>-34.5429244273175</v>
      </c>
      <c r="H22" s="146"/>
      <c r="I22" s="147">
        <v>-29.7334598464591</v>
      </c>
      <c r="J22" s="146"/>
      <c r="K22" s="147">
        <v>-31.041788865081</v>
      </c>
    </row>
    <row r="23" ht="24" customHeight="1" spans="1:160">
      <c r="A23" s="148" t="s">
        <v>86</v>
      </c>
      <c r="B23" s="146"/>
      <c r="C23" s="147">
        <v>-46.4105785253072</v>
      </c>
      <c r="D23" s="146"/>
      <c r="E23" s="147">
        <v>-53.8086022126578</v>
      </c>
      <c r="F23" s="146"/>
      <c r="G23" s="147">
        <v>-47.0768578149705</v>
      </c>
      <c r="H23" s="146"/>
      <c r="I23" s="147">
        <v>-53.071572113155</v>
      </c>
      <c r="J23" s="146"/>
      <c r="K23" s="147">
        <v>-59.5104608231916</v>
      </c>
    </row>
    <row r="24" ht="24" customHeight="1" spans="1:160">
      <c r="A24" s="148" t="s">
        <v>87</v>
      </c>
      <c r="B24" s="146"/>
      <c r="C24" s="147">
        <v>8.88124675891808</v>
      </c>
      <c r="D24" s="146"/>
      <c r="E24" s="147">
        <v>38.0723855228954</v>
      </c>
      <c r="F24" s="146"/>
      <c r="G24" s="147">
        <v>48.9888628370457</v>
      </c>
      <c r="H24" s="146"/>
      <c r="I24" s="147">
        <v>18.3824812423661</v>
      </c>
      <c r="J24" s="146"/>
      <c r="K24" s="147">
        <v>6.60265602593677</v>
      </c>
    </row>
    <row r="25" ht="24" customHeight="1" spans="1:160">
      <c r="A25" s="148" t="s">
        <v>88</v>
      </c>
      <c r="B25" s="146"/>
      <c r="C25" s="147">
        <v>56.0444898365883</v>
      </c>
      <c r="D25" s="146"/>
      <c r="E25" s="147">
        <v>-51.4011627906977</v>
      </c>
      <c r="F25" s="146"/>
      <c r="G25" s="147">
        <v>-32.0407663585726</v>
      </c>
      <c r="H25" s="146"/>
      <c r="I25" s="147">
        <v>-27.0798615562107</v>
      </c>
      <c r="J25" s="146"/>
      <c r="K25" s="147">
        <v>-22.447462331483</v>
      </c>
    </row>
    <row r="26" ht="24" customHeight="1" spans="1:160">
      <c r="A26" s="148" t="s">
        <v>89</v>
      </c>
      <c r="B26" s="146"/>
      <c r="C26" s="147">
        <v>-10.5805074763376</v>
      </c>
      <c r="D26" s="146"/>
      <c r="E26" s="147">
        <v>-6.78827751196172</v>
      </c>
      <c r="F26" s="146"/>
      <c r="G26" s="147">
        <v>-5.75618297220399</v>
      </c>
      <c r="H26" s="146"/>
      <c r="I26" s="147">
        <v>-21.2241303390577</v>
      </c>
      <c r="J26" s="146"/>
      <c r="K26" s="147">
        <v>-24.327922197981</v>
      </c>
    </row>
    <row r="27" ht="24" customHeight="1" spans="1:160">
      <c r="A27" s="148" t="s">
        <v>90</v>
      </c>
      <c r="B27" s="146"/>
      <c r="C27" s="147">
        <v>-12.1391403521277</v>
      </c>
      <c r="D27" s="146"/>
      <c r="E27" s="147">
        <v>28.7250028898393</v>
      </c>
      <c r="F27" s="146"/>
      <c r="G27" s="147">
        <v>22.353256499598</v>
      </c>
      <c r="H27" s="146"/>
      <c r="I27" s="147">
        <v>10.2421747870202</v>
      </c>
      <c r="J27" s="146"/>
      <c r="K27" s="147">
        <v>0.934918104073049</v>
      </c>
    </row>
    <row r="28" ht="24" customHeight="1" spans="1:160">
      <c r="A28" s="152" t="s">
        <v>91</v>
      </c>
      <c r="B28" s="153"/>
      <c r="C28" s="154">
        <v>-37.4569001766042</v>
      </c>
      <c r="D28" s="153"/>
      <c r="E28" s="154">
        <v>-15.1117154423808</v>
      </c>
      <c r="F28" s="153"/>
      <c r="G28" s="154">
        <v>-0.891145352552726</v>
      </c>
      <c r="H28" s="153"/>
      <c r="I28" s="154">
        <v>-3.47327915458175</v>
      </c>
      <c r="J28" s="153"/>
      <c r="K28" s="154">
        <v>-2.59961593855017</v>
      </c>
    </row>
    <row r="29" ht="45" customHeight="1" spans="1:160">
      <c r="A29" s="155" t="s">
        <v>443</v>
      </c>
      <c r="B29" s="155"/>
      <c r="C29" s="155"/>
      <c r="D29" s="155"/>
      <c r="E29" s="155"/>
      <c r="F29" s="155"/>
      <c r="G29" s="155"/>
      <c r="H29" s="155"/>
      <c r="I29" s="155"/>
      <c r="J29" s="155"/>
      <c r="K29" s="155"/>
      <c r="FC29" s="133"/>
      <c r="FD29" s="133"/>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D29"/>
  <sheetViews>
    <sheetView zoomScale="80" zoomScaleNormal="80" workbookViewId="0">
      <pane xSplit="1" ySplit="3" topLeftCell="B4" activePane="bottomRight" state="frozen"/>
      <selection/>
      <selection pane="topRight"/>
      <selection pane="bottomLeft"/>
      <selection pane="bottomRight" activeCell="G14" sqref="G14"/>
    </sheetView>
  </sheetViews>
  <sheetFormatPr defaultColWidth="9" defaultRowHeight="14.25"/>
  <cols>
    <col min="1" max="1" width="25.625" style="133" customWidth="1"/>
    <col min="2" max="2" width="12.9666666666667" style="133" customWidth="1"/>
    <col min="3" max="3" width="9" style="133"/>
    <col min="4" max="4" width="11.8666666666667" style="133" customWidth="1"/>
    <col min="5" max="5" width="9" style="133"/>
    <col min="6" max="6" width="11.8666666666667" style="133" customWidth="1"/>
    <col min="7" max="7" width="9" style="133"/>
    <col min="8" max="8" width="11.8666666666667" style="133" customWidth="1"/>
    <col min="9" max="9" width="9" style="133"/>
    <col min="10" max="10" width="11.8666666666667" style="133" customWidth="1"/>
    <col min="11" max="158" width="9" style="133"/>
    <col min="159" max="16384" width="9" style="134"/>
  </cols>
  <sheetData>
    <row r="1" ht="28.5" customHeight="1" spans="1:13">
      <c r="A1" s="135" t="s">
        <v>444</v>
      </c>
      <c r="B1" s="135"/>
      <c r="C1" s="135"/>
      <c r="D1" s="135"/>
      <c r="E1" s="135"/>
      <c r="F1" s="135"/>
      <c r="G1" s="135"/>
      <c r="H1" s="135"/>
      <c r="I1" s="135"/>
      <c r="J1" s="135"/>
      <c r="K1" s="135"/>
    </row>
    <row r="2" ht="21" customHeight="1" spans="1:13">
      <c r="A2" s="136" t="s">
        <v>1</v>
      </c>
      <c r="B2" s="137" t="s">
        <v>3</v>
      </c>
      <c r="C2" s="138"/>
      <c r="D2" s="137" t="s">
        <v>4</v>
      </c>
      <c r="E2" s="138"/>
      <c r="F2" s="137" t="s">
        <v>5</v>
      </c>
      <c r="G2" s="138"/>
      <c r="H2" s="137" t="s">
        <v>6</v>
      </c>
      <c r="I2" s="138"/>
      <c r="J2" s="137" t="s">
        <v>7</v>
      </c>
      <c r="K2" s="138"/>
    </row>
    <row r="3" ht="37" customHeight="1" spans="1:13">
      <c r="A3" s="139"/>
      <c r="B3" s="140" t="s">
        <v>8</v>
      </c>
      <c r="C3" s="141" t="s">
        <v>9</v>
      </c>
      <c r="D3" s="140" t="s">
        <v>8</v>
      </c>
      <c r="E3" s="141" t="s">
        <v>9</v>
      </c>
      <c r="F3" s="140" t="s">
        <v>8</v>
      </c>
      <c r="G3" s="141" t="s">
        <v>9</v>
      </c>
      <c r="H3" s="140" t="s">
        <v>8</v>
      </c>
      <c r="I3" s="141" t="s">
        <v>9</v>
      </c>
      <c r="J3" s="140" t="s">
        <v>8</v>
      </c>
      <c r="K3" s="141" t="s">
        <v>9</v>
      </c>
    </row>
    <row r="4" ht="33" customHeight="1" spans="1:13">
      <c r="A4" s="142" t="s">
        <v>445</v>
      </c>
      <c r="B4" s="143"/>
      <c r="C4" s="144"/>
      <c r="D4" s="143"/>
      <c r="E4" s="144"/>
      <c r="F4" s="143"/>
      <c r="G4" s="144"/>
      <c r="H4" s="143"/>
      <c r="I4" s="144"/>
      <c r="J4" s="143"/>
      <c r="K4" s="144"/>
      <c r="L4" s="156"/>
    </row>
    <row r="5" ht="24" customHeight="1" spans="1:13">
      <c r="A5" s="145" t="s">
        <v>422</v>
      </c>
      <c r="B5" s="146"/>
      <c r="C5" s="147">
        <v>10.3528958224293</v>
      </c>
      <c r="D5" s="146"/>
      <c r="E5" s="147">
        <v>-6.41913432880085</v>
      </c>
      <c r="F5" s="146"/>
      <c r="G5" s="147">
        <v>-4.87440388545809</v>
      </c>
      <c r="H5" s="146"/>
      <c r="I5" s="147">
        <v>-19.2964944294545</v>
      </c>
      <c r="J5" s="146"/>
      <c r="K5" s="147">
        <v>-29.0653083198741</v>
      </c>
      <c r="L5" s="157"/>
    </row>
    <row r="6" ht="24" customHeight="1" spans="1:13">
      <c r="A6" s="148" t="s">
        <v>82</v>
      </c>
      <c r="B6" s="146"/>
      <c r="C6" s="147">
        <v>-2.21189674411684</v>
      </c>
      <c r="D6" s="146"/>
      <c r="E6" s="147">
        <v>-64.9465364946537</v>
      </c>
      <c r="F6" s="146"/>
      <c r="G6" s="147">
        <v>20.118621965128</v>
      </c>
      <c r="H6" s="146"/>
      <c r="I6" s="147">
        <v>12.8348703352542</v>
      </c>
      <c r="J6" s="146"/>
      <c r="K6" s="147">
        <v>17.5868970234017</v>
      </c>
      <c r="L6" s="157"/>
    </row>
    <row r="7" ht="24" customHeight="1" spans="1:13">
      <c r="A7" s="148" t="s">
        <v>83</v>
      </c>
      <c r="B7" s="146"/>
      <c r="C7" s="147">
        <v>-0.358730307172138</v>
      </c>
      <c r="D7" s="146"/>
      <c r="E7" s="147">
        <v>260</v>
      </c>
      <c r="F7" s="146"/>
      <c r="G7" s="147">
        <v>175.936104181952</v>
      </c>
      <c r="H7" s="146"/>
      <c r="I7" s="147">
        <v>136.552367445396</v>
      </c>
      <c r="J7" s="146"/>
      <c r="K7" s="147">
        <v>129.934710827203</v>
      </c>
      <c r="L7" s="157"/>
    </row>
    <row r="8" ht="24" customHeight="1" spans="1:13">
      <c r="A8" s="148" t="s">
        <v>84</v>
      </c>
      <c r="B8" s="146"/>
      <c r="C8" s="147">
        <v>28.6812056085084</v>
      </c>
      <c r="D8" s="146"/>
      <c r="E8" s="147">
        <v>-37.569120012254</v>
      </c>
      <c r="F8" s="146"/>
      <c r="G8" s="147">
        <v>-30.1606768711205</v>
      </c>
      <c r="H8" s="146"/>
      <c r="I8" s="147">
        <v>-21.5677649879011</v>
      </c>
      <c r="J8" s="146"/>
      <c r="K8" s="147">
        <v>-27.3445863622051</v>
      </c>
      <c r="L8" s="157"/>
    </row>
    <row r="9" ht="24" customHeight="1" spans="1:13">
      <c r="A9" s="148" t="s">
        <v>85</v>
      </c>
      <c r="B9" s="146"/>
      <c r="C9" s="147">
        <v>-15.4036378511044</v>
      </c>
      <c r="D9" s="146"/>
      <c r="E9" s="147">
        <v>1495.89285714286</v>
      </c>
      <c r="F9" s="146"/>
      <c r="G9" s="147">
        <v>240.605771315672</v>
      </c>
      <c r="H9" s="146"/>
      <c r="I9" s="147">
        <v>235.170311404846</v>
      </c>
      <c r="J9" s="146"/>
      <c r="K9" s="147">
        <v>230.975637401498</v>
      </c>
      <c r="L9" s="157"/>
    </row>
    <row r="10" ht="24" customHeight="1" spans="1:13">
      <c r="A10" s="148" t="s">
        <v>86</v>
      </c>
      <c r="B10" s="146"/>
      <c r="C10" s="147">
        <v>-14.569293300118</v>
      </c>
      <c r="D10" s="146"/>
      <c r="E10" s="147">
        <v>-7.44481855592967</v>
      </c>
      <c r="F10" s="146"/>
      <c r="G10" s="147">
        <v>56.9721115537849</v>
      </c>
      <c r="H10" s="146"/>
      <c r="I10" s="147">
        <v>-1.7190242721385</v>
      </c>
      <c r="J10" s="146"/>
      <c r="K10" s="147">
        <v>-2.31194504942202</v>
      </c>
      <c r="L10" s="157"/>
    </row>
    <row r="11" ht="24" customHeight="1" spans="1:13">
      <c r="A11" s="148" t="s">
        <v>87</v>
      </c>
      <c r="B11" s="146"/>
      <c r="C11" s="147">
        <v>38.9750079088896</v>
      </c>
      <c r="D11" s="146"/>
      <c r="E11" s="147">
        <v>729.090909090909</v>
      </c>
      <c r="F11" s="146"/>
      <c r="G11" s="147">
        <v>559.615384615385</v>
      </c>
      <c r="H11" s="146"/>
      <c r="I11" s="147">
        <v>168.909825033647</v>
      </c>
      <c r="J11" s="146"/>
      <c r="K11" s="147">
        <v>61.8296529968454</v>
      </c>
      <c r="L11" s="158"/>
    </row>
    <row r="12" ht="24" customHeight="1" spans="1:13">
      <c r="A12" s="148" t="s">
        <v>88</v>
      </c>
      <c r="B12" s="146"/>
      <c r="C12" s="147">
        <v>-20.1275006439426</v>
      </c>
      <c r="D12" s="146"/>
      <c r="E12" s="147">
        <v>120.130618517096</v>
      </c>
      <c r="F12" s="146"/>
      <c r="G12" s="147">
        <v>183.958773784355</v>
      </c>
      <c r="H12" s="146"/>
      <c r="I12" s="147">
        <v>367.175856929955</v>
      </c>
      <c r="J12" s="146"/>
      <c r="K12" s="147">
        <v>311.553311553312</v>
      </c>
      <c r="L12" s="157"/>
    </row>
    <row r="13" ht="24" customHeight="1" spans="1:13">
      <c r="A13" s="148" t="s">
        <v>89</v>
      </c>
      <c r="B13" s="146"/>
      <c r="C13" s="147">
        <v>-46.2351762151328</v>
      </c>
      <c r="D13" s="146"/>
      <c r="E13" s="147">
        <v>73.3223548785509</v>
      </c>
      <c r="F13" s="146"/>
      <c r="G13" s="147">
        <v>12.8511107031393</v>
      </c>
      <c r="H13" s="146"/>
      <c r="I13" s="147">
        <v>19.2599620493359</v>
      </c>
      <c r="J13" s="146"/>
      <c r="K13" s="147">
        <v>37.1461582900058</v>
      </c>
      <c r="L13" s="157"/>
    </row>
    <row r="14" ht="24" customHeight="1" spans="1:13">
      <c r="A14" s="148" t="s">
        <v>90</v>
      </c>
      <c r="B14" s="146"/>
      <c r="C14" s="147">
        <v>-54.9260858985278</v>
      </c>
      <c r="D14" s="146"/>
      <c r="E14" s="147">
        <v>-64.3325143325143</v>
      </c>
      <c r="F14" s="146"/>
      <c r="G14" s="147">
        <v>-42.9578925534122</v>
      </c>
      <c r="H14" s="146"/>
      <c r="I14" s="147">
        <v>-49.4371626831149</v>
      </c>
      <c r="J14" s="146"/>
      <c r="K14" s="147">
        <v>-55.4317913772769</v>
      </c>
      <c r="L14" s="157"/>
    </row>
    <row r="15" ht="24" customHeight="1" spans="1:13">
      <c r="A15" s="148" t="s">
        <v>91</v>
      </c>
      <c r="B15" s="146"/>
      <c r="C15" s="147">
        <v>43.042198592804</v>
      </c>
      <c r="D15" s="146"/>
      <c r="E15" s="147">
        <v>-27.3962724650544</v>
      </c>
      <c r="F15" s="146"/>
      <c r="G15" s="147">
        <v>-37.2930329061576</v>
      </c>
      <c r="H15" s="146"/>
      <c r="I15" s="147">
        <v>-51.6526259574587</v>
      </c>
      <c r="J15" s="146"/>
      <c r="K15" s="147">
        <v>-61.2452094063918</v>
      </c>
      <c r="L15" s="157"/>
    </row>
    <row r="16" ht="22.9" customHeight="1" spans="1:13">
      <c r="A16" s="148"/>
      <c r="B16" s="146"/>
      <c r="C16" s="147"/>
      <c r="D16" s="146"/>
      <c r="E16" s="147"/>
      <c r="F16" s="146"/>
      <c r="G16" s="147"/>
      <c r="H16" s="146"/>
      <c r="I16" s="147"/>
      <c r="J16" s="146"/>
      <c r="K16" s="147"/>
      <c r="L16" s="157"/>
      <c r="M16" s="159"/>
    </row>
    <row r="17" ht="33" customHeight="1" spans="1:160">
      <c r="A17" s="149" t="s">
        <v>446</v>
      </c>
      <c r="B17" s="146"/>
      <c r="C17" s="147"/>
      <c r="D17" s="146"/>
      <c r="E17" s="147"/>
      <c r="F17" s="146"/>
      <c r="G17" s="147"/>
      <c r="H17" s="146"/>
      <c r="I17" s="147"/>
      <c r="J17" s="146"/>
      <c r="K17" s="147"/>
      <c r="L17" s="157"/>
      <c r="M17" s="159"/>
    </row>
    <row r="18" ht="24" customHeight="1" spans="1:160">
      <c r="A18" s="148" t="s">
        <v>422</v>
      </c>
      <c r="B18" s="146"/>
      <c r="C18" s="147">
        <v>-25.7633585318063</v>
      </c>
      <c r="D18" s="146"/>
      <c r="E18" s="147">
        <v>-7.29262472094031</v>
      </c>
      <c r="F18" s="146"/>
      <c r="G18" s="147">
        <v>-22.6860644579335</v>
      </c>
      <c r="H18" s="146"/>
      <c r="I18" s="147">
        <v>-33.4059183880958</v>
      </c>
      <c r="J18" s="146"/>
      <c r="K18" s="147">
        <v>-40.5295590240372</v>
      </c>
      <c r="L18" s="157"/>
      <c r="M18" s="159"/>
    </row>
    <row r="19" ht="24" customHeight="1" spans="1:160">
      <c r="A19" s="148" t="s">
        <v>82</v>
      </c>
      <c r="B19" s="150"/>
      <c r="C19" s="151">
        <v>1.07765766960675</v>
      </c>
      <c r="D19" s="150"/>
      <c r="E19" s="151">
        <v>-25.433369447454</v>
      </c>
      <c r="F19" s="150"/>
      <c r="G19" s="151">
        <v>62.6823261981436</v>
      </c>
      <c r="H19" s="150"/>
      <c r="I19" s="151">
        <v>0.0105340777414966</v>
      </c>
      <c r="J19" s="150"/>
      <c r="K19" s="151">
        <v>-3.35119426028517</v>
      </c>
      <c r="L19" s="160"/>
      <c r="M19" s="159"/>
    </row>
    <row r="20" ht="24" customHeight="1" spans="1:160">
      <c r="A20" s="148" t="s">
        <v>83</v>
      </c>
      <c r="B20" s="146"/>
      <c r="C20" s="147">
        <v>82.230138348107</v>
      </c>
      <c r="D20" s="146"/>
      <c r="E20" s="147">
        <v>490.455212922173</v>
      </c>
      <c r="F20" s="146"/>
      <c r="G20" s="147">
        <v>221.300326441785</v>
      </c>
      <c r="H20" s="146"/>
      <c r="I20" s="147">
        <v>306.154894390188</v>
      </c>
      <c r="J20" s="146"/>
      <c r="K20" s="147">
        <v>285.379782981154</v>
      </c>
      <c r="L20" s="157"/>
      <c r="M20" s="159"/>
    </row>
    <row r="21" ht="24" customHeight="1" spans="1:160">
      <c r="A21" s="148" t="s">
        <v>84</v>
      </c>
      <c r="B21" s="146"/>
      <c r="C21" s="147">
        <v>78.1513472590248</v>
      </c>
      <c r="D21" s="146"/>
      <c r="E21" s="147">
        <v>533.410204669934</v>
      </c>
      <c r="F21" s="146"/>
      <c r="G21" s="147">
        <v>137.250590438961</v>
      </c>
      <c r="H21" s="146"/>
      <c r="I21" s="147">
        <v>124.580304031725</v>
      </c>
      <c r="J21" s="146"/>
      <c r="K21" s="147">
        <v>125.997588908981</v>
      </c>
      <c r="L21" s="157"/>
      <c r="M21" s="159"/>
    </row>
    <row r="22" ht="24" customHeight="1" spans="1:160">
      <c r="A22" s="148" t="s">
        <v>85</v>
      </c>
      <c r="B22" s="146"/>
      <c r="C22" s="147">
        <v>-15.1718698318194</v>
      </c>
      <c r="D22" s="146"/>
      <c r="E22" s="147">
        <v>142.557134033354</v>
      </c>
      <c r="F22" s="146"/>
      <c r="G22" s="147">
        <v>3.88986013986015</v>
      </c>
      <c r="H22" s="146"/>
      <c r="I22" s="147">
        <v>-9.366391184573</v>
      </c>
      <c r="J22" s="146"/>
      <c r="K22" s="147">
        <v>-16.8675358825463</v>
      </c>
      <c r="L22" s="157"/>
      <c r="M22" s="159"/>
    </row>
    <row r="23" ht="24" customHeight="1" spans="1:160">
      <c r="A23" s="148" t="s">
        <v>86</v>
      </c>
      <c r="B23" s="146"/>
      <c r="C23" s="147">
        <v>65.9098273387955</v>
      </c>
      <c r="D23" s="146"/>
      <c r="E23" s="147">
        <v>72.7428722280887</v>
      </c>
      <c r="F23" s="146"/>
      <c r="G23" s="147">
        <v>38.7084721487063</v>
      </c>
      <c r="H23" s="146"/>
      <c r="I23" s="147">
        <v>35.321543851905</v>
      </c>
      <c r="J23" s="146"/>
      <c r="K23" s="147">
        <v>37.6886327443695</v>
      </c>
      <c r="L23" s="157"/>
      <c r="M23" s="159"/>
    </row>
    <row r="24" ht="24" customHeight="1" spans="1:160">
      <c r="A24" s="148" t="s">
        <v>87</v>
      </c>
      <c r="B24" s="146"/>
      <c r="C24" s="147">
        <v>-48.8867884898131</v>
      </c>
      <c r="D24" s="146"/>
      <c r="E24" s="147">
        <v>-57.7464788732394</v>
      </c>
      <c r="F24" s="146"/>
      <c r="G24" s="147">
        <v>92.2330097087379</v>
      </c>
      <c r="H24" s="146"/>
      <c r="I24" s="147">
        <v>135.593220338983</v>
      </c>
      <c r="J24" s="146"/>
      <c r="K24" s="147">
        <v>-15.9685863874346</v>
      </c>
      <c r="L24" s="157"/>
      <c r="M24" s="159"/>
    </row>
    <row r="25" ht="24" customHeight="1" spans="1:160">
      <c r="A25" s="148" t="s">
        <v>88</v>
      </c>
      <c r="B25" s="146"/>
      <c r="C25" s="147">
        <v>-0.953098218459459</v>
      </c>
      <c r="D25" s="146"/>
      <c r="E25" s="147">
        <v>122.18150463462</v>
      </c>
      <c r="F25" s="146"/>
      <c r="G25" s="147">
        <v>161.715952791407</v>
      </c>
      <c r="H25" s="146"/>
      <c r="I25" s="147">
        <v>93.8025635259726</v>
      </c>
      <c r="J25" s="146"/>
      <c r="K25" s="147">
        <v>96.4051483849811</v>
      </c>
      <c r="L25" s="157"/>
      <c r="M25" s="159"/>
    </row>
    <row r="26" ht="24" customHeight="1" spans="1:160">
      <c r="A26" s="148" t="s">
        <v>89</v>
      </c>
      <c r="B26" s="146"/>
      <c r="C26" s="147">
        <v>-22.2559537844848</v>
      </c>
      <c r="D26" s="146"/>
      <c r="E26" s="147">
        <v>12.8003758893811</v>
      </c>
      <c r="F26" s="146"/>
      <c r="G26" s="147">
        <v>38.9902500241336</v>
      </c>
      <c r="H26" s="146"/>
      <c r="I26" s="147">
        <v>27.5765036932818</v>
      </c>
      <c r="J26" s="146"/>
      <c r="K26" s="147">
        <v>27.6893717873742</v>
      </c>
      <c r="L26" s="157"/>
      <c r="M26" s="159"/>
    </row>
    <row r="27" ht="24" customHeight="1" spans="1:160">
      <c r="A27" s="148" t="s">
        <v>90</v>
      </c>
      <c r="B27" s="146"/>
      <c r="C27" s="147">
        <v>15.4757064443993</v>
      </c>
      <c r="D27" s="146"/>
      <c r="E27" s="147">
        <v>-51.1070110701107</v>
      </c>
      <c r="F27" s="146"/>
      <c r="G27" s="147">
        <v>-66.3114581135261</v>
      </c>
      <c r="H27" s="146"/>
      <c r="I27" s="147">
        <v>-65.6657273687918</v>
      </c>
      <c r="J27" s="146"/>
      <c r="K27" s="147">
        <v>-58.4406237504998</v>
      </c>
      <c r="L27" s="157"/>
      <c r="M27" s="159"/>
    </row>
    <row r="28" ht="24" customHeight="1" spans="1:160">
      <c r="A28" s="152" t="s">
        <v>91</v>
      </c>
      <c r="B28" s="153"/>
      <c r="C28" s="154">
        <v>-31.6861757692226</v>
      </c>
      <c r="D28" s="153"/>
      <c r="E28" s="154">
        <v>-32.0112509163812</v>
      </c>
      <c r="F28" s="153"/>
      <c r="G28" s="154">
        <v>-47.4583447218783</v>
      </c>
      <c r="H28" s="153"/>
      <c r="I28" s="154">
        <v>-54.7909981470852</v>
      </c>
      <c r="J28" s="153"/>
      <c r="K28" s="154">
        <v>-60.600607700458</v>
      </c>
      <c r="L28" s="157"/>
      <c r="M28" s="159"/>
    </row>
    <row r="29" ht="45" customHeight="1" spans="1:160">
      <c r="A29" s="155" t="s">
        <v>443</v>
      </c>
      <c r="B29" s="155"/>
      <c r="C29" s="155"/>
      <c r="D29" s="155"/>
      <c r="E29" s="155"/>
      <c r="F29" s="155"/>
      <c r="G29" s="155"/>
      <c r="H29" s="155"/>
      <c r="I29" s="155"/>
      <c r="J29" s="155"/>
      <c r="K29" s="155"/>
      <c r="FC29" s="133"/>
      <c r="FD29" s="133"/>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29"/>
  <sheetViews>
    <sheetView tabSelected="1" zoomScale="80" zoomScaleNormal="80" workbookViewId="0">
      <pane xSplit="1" ySplit="3" topLeftCell="B4" activePane="bottomRight" state="frozen"/>
      <selection/>
      <selection pane="topRight"/>
      <selection pane="bottomLeft"/>
      <selection pane="bottomRight" activeCell="S20" sqref="S20"/>
    </sheetView>
  </sheetViews>
  <sheetFormatPr defaultColWidth="9" defaultRowHeight="14.25"/>
  <cols>
    <col min="1" max="1" width="30" style="133" customWidth="1"/>
    <col min="2" max="2" width="11.4083333333333" style="133" customWidth="1"/>
    <col min="3" max="160" width="9" style="133"/>
    <col min="161" max="16384" width="9" style="134"/>
  </cols>
  <sheetData>
    <row r="1" ht="28.5" customHeight="1" spans="1:11">
      <c r="A1" s="135" t="s">
        <v>447</v>
      </c>
      <c r="B1" s="135"/>
      <c r="C1" s="135"/>
      <c r="D1" s="135"/>
      <c r="E1" s="135"/>
      <c r="F1" s="135"/>
      <c r="G1" s="135"/>
      <c r="H1" s="135"/>
      <c r="I1" s="135"/>
      <c r="J1" s="135"/>
      <c r="K1" s="135"/>
    </row>
    <row r="2" ht="21" customHeight="1" spans="1:11">
      <c r="A2" s="136" t="s">
        <v>1</v>
      </c>
      <c r="B2" s="137" t="s">
        <v>3</v>
      </c>
      <c r="C2" s="138"/>
      <c r="D2" s="137" t="s">
        <v>4</v>
      </c>
      <c r="E2" s="138"/>
      <c r="F2" s="137" t="s">
        <v>5</v>
      </c>
      <c r="G2" s="138"/>
      <c r="H2" s="137" t="s">
        <v>6</v>
      </c>
      <c r="I2" s="138"/>
      <c r="J2" s="137" t="s">
        <v>7</v>
      </c>
      <c r="K2" s="138"/>
    </row>
    <row r="3" ht="21" customHeight="1" spans="1:11">
      <c r="A3" s="139"/>
      <c r="B3" s="140" t="s">
        <v>8</v>
      </c>
      <c r="C3" s="141" t="s">
        <v>9</v>
      </c>
      <c r="D3" s="140" t="s">
        <v>8</v>
      </c>
      <c r="E3" s="141" t="s">
        <v>9</v>
      </c>
      <c r="F3" s="140" t="s">
        <v>8</v>
      </c>
      <c r="G3" s="141" t="s">
        <v>9</v>
      </c>
      <c r="H3" s="140" t="s">
        <v>8</v>
      </c>
      <c r="I3" s="141" t="s">
        <v>9</v>
      </c>
      <c r="J3" s="140" t="s">
        <v>8</v>
      </c>
      <c r="K3" s="141" t="s">
        <v>9</v>
      </c>
    </row>
    <row r="4" ht="33" customHeight="1" spans="1:11">
      <c r="A4" s="142" t="s">
        <v>322</v>
      </c>
      <c r="B4" s="143"/>
      <c r="C4" s="144"/>
      <c r="D4" s="143"/>
      <c r="E4" s="144"/>
      <c r="F4" s="143"/>
      <c r="G4" s="144"/>
      <c r="H4" s="143"/>
      <c r="I4" s="144"/>
      <c r="J4" s="143"/>
      <c r="K4" s="144"/>
    </row>
    <row r="5" ht="24" customHeight="1" spans="1:11">
      <c r="A5" s="145" t="s">
        <v>422</v>
      </c>
      <c r="B5" s="146">
        <v>215.0988</v>
      </c>
      <c r="C5" s="147">
        <v>6.94108230927173</v>
      </c>
      <c r="D5" s="146">
        <v>43.4608</v>
      </c>
      <c r="E5" s="147">
        <v>0.605537115863509</v>
      </c>
      <c r="F5" s="146">
        <v>63.0854</v>
      </c>
      <c r="G5" s="147">
        <v>3.22263930715576</v>
      </c>
      <c r="H5" s="146">
        <v>82.9549</v>
      </c>
      <c r="I5" s="147">
        <v>8.53938977879931</v>
      </c>
      <c r="J5" s="146">
        <v>97.866</v>
      </c>
      <c r="K5" s="147">
        <v>8.12306196546976</v>
      </c>
    </row>
    <row r="6" ht="24" customHeight="1" spans="1:11">
      <c r="A6" s="148" t="s">
        <v>82</v>
      </c>
      <c r="B6" s="146">
        <v>7.9814</v>
      </c>
      <c r="C6" s="147">
        <v>-21.8789457426012</v>
      </c>
      <c r="D6" s="146">
        <v>1.4546</v>
      </c>
      <c r="E6" s="147">
        <v>-5.09261071658798</v>
      </c>
      <c r="F6" s="146">
        <v>3.0395</v>
      </c>
      <c r="G6" s="147">
        <v>53.8931238962428</v>
      </c>
      <c r="H6" s="146">
        <v>6.477</v>
      </c>
      <c r="I6" s="147">
        <v>130.542852424099</v>
      </c>
      <c r="J6" s="146">
        <v>6.9768</v>
      </c>
      <c r="K6" s="147">
        <v>99.6977399189393</v>
      </c>
    </row>
    <row r="7" ht="24" customHeight="1" spans="1:11">
      <c r="A7" s="148" t="s">
        <v>83</v>
      </c>
      <c r="B7" s="146">
        <v>11.7899</v>
      </c>
      <c r="C7" s="147">
        <v>-11.4292806013304</v>
      </c>
      <c r="D7" s="146">
        <v>1.7466</v>
      </c>
      <c r="E7" s="147">
        <v>9.07197026468031</v>
      </c>
      <c r="F7" s="146">
        <v>2.6621</v>
      </c>
      <c r="G7" s="147">
        <v>1.68324909703166</v>
      </c>
      <c r="H7" s="146">
        <v>3.4831</v>
      </c>
      <c r="I7" s="147">
        <v>-2.24084604287471</v>
      </c>
      <c r="J7" s="146">
        <v>4.5157</v>
      </c>
      <c r="K7" s="147">
        <v>1.20222605901854</v>
      </c>
    </row>
    <row r="8" ht="24" customHeight="1" spans="1:11">
      <c r="A8" s="148" t="s">
        <v>84</v>
      </c>
      <c r="B8" s="146">
        <v>6.4822</v>
      </c>
      <c r="C8" s="147">
        <v>15.3024259792648</v>
      </c>
      <c r="D8" s="146">
        <v>2.1826</v>
      </c>
      <c r="E8" s="147">
        <v>93.6987092456176</v>
      </c>
      <c r="F8" s="146">
        <v>2.6132</v>
      </c>
      <c r="G8" s="147">
        <v>82.6962464744351</v>
      </c>
      <c r="H8" s="146">
        <v>3.0094</v>
      </c>
      <c r="I8" s="147">
        <v>35.4519371391388</v>
      </c>
      <c r="J8" s="146">
        <v>3.2489</v>
      </c>
      <c r="K8" s="147">
        <v>14.9466116877803</v>
      </c>
    </row>
    <row r="9" ht="24" customHeight="1" spans="1:11">
      <c r="A9" s="148" t="s">
        <v>85</v>
      </c>
      <c r="B9" s="146">
        <v>6.3002</v>
      </c>
      <c r="C9" s="147">
        <v>1.31492955137244</v>
      </c>
      <c r="D9" s="146">
        <v>0.8368</v>
      </c>
      <c r="E9" s="147">
        <v>-55.7822338426549</v>
      </c>
      <c r="F9" s="146">
        <v>1.4784</v>
      </c>
      <c r="G9" s="147">
        <v>-33.368307760537</v>
      </c>
      <c r="H9" s="146">
        <v>1.8937</v>
      </c>
      <c r="I9" s="147">
        <v>-25.5541472987678</v>
      </c>
      <c r="J9" s="146">
        <v>2.4622</v>
      </c>
      <c r="K9" s="147">
        <v>-15.0742953325699</v>
      </c>
    </row>
    <row r="10" ht="24" customHeight="1" spans="1:11">
      <c r="A10" s="148" t="s">
        <v>86</v>
      </c>
      <c r="B10" s="146">
        <v>11.364</v>
      </c>
      <c r="C10" s="147">
        <v>-2.70048118910218</v>
      </c>
      <c r="D10" s="146">
        <v>2.1842</v>
      </c>
      <c r="E10" s="147">
        <v>-9.52996338452872</v>
      </c>
      <c r="F10" s="146">
        <v>3.5877</v>
      </c>
      <c r="G10" s="147">
        <v>4.93112222514697</v>
      </c>
      <c r="H10" s="146">
        <v>4.3632</v>
      </c>
      <c r="I10" s="147">
        <v>2.62054951102832</v>
      </c>
      <c r="J10" s="146">
        <v>4.9216</v>
      </c>
      <c r="K10" s="147">
        <v>-6.67334152520517</v>
      </c>
    </row>
    <row r="11" ht="24" customHeight="1" spans="1:11">
      <c r="A11" s="148" t="s">
        <v>87</v>
      </c>
      <c r="B11" s="146">
        <v>11.3432</v>
      </c>
      <c r="C11" s="147">
        <v>5.25553920358696</v>
      </c>
      <c r="D11" s="146">
        <v>3.6353</v>
      </c>
      <c r="E11" s="147">
        <v>146.990161974128</v>
      </c>
      <c r="F11" s="146">
        <v>4.2633</v>
      </c>
      <c r="G11" s="147">
        <v>72.3980363454026</v>
      </c>
      <c r="H11" s="146">
        <v>5.2866</v>
      </c>
      <c r="I11" s="147">
        <v>50.3062077436157</v>
      </c>
      <c r="J11" s="146">
        <v>5.9813</v>
      </c>
      <c r="K11" s="147">
        <v>37.4379595588235</v>
      </c>
    </row>
    <row r="12" ht="24" customHeight="1" spans="1:11">
      <c r="A12" s="148" t="s">
        <v>88</v>
      </c>
      <c r="B12" s="146">
        <v>14.3299</v>
      </c>
      <c r="C12" s="147">
        <v>5.66728656607681</v>
      </c>
      <c r="D12" s="146">
        <v>2.9875</v>
      </c>
      <c r="E12" s="147">
        <v>53.2507104677289</v>
      </c>
      <c r="F12" s="146">
        <v>3.6833</v>
      </c>
      <c r="G12" s="147">
        <v>26.2035127152617</v>
      </c>
      <c r="H12" s="146">
        <v>4.4938</v>
      </c>
      <c r="I12" s="147">
        <v>9.27598398965066</v>
      </c>
      <c r="J12" s="146">
        <v>5.2025</v>
      </c>
      <c r="K12" s="147">
        <v>10.6091208674391</v>
      </c>
    </row>
    <row r="13" ht="24" customHeight="1" spans="1:11">
      <c r="A13" s="148" t="s">
        <v>89</v>
      </c>
      <c r="B13" s="146">
        <v>13.5802</v>
      </c>
      <c r="C13" s="147">
        <v>3.69351153897841</v>
      </c>
      <c r="D13" s="146">
        <v>1.7464</v>
      </c>
      <c r="E13" s="147">
        <v>-9.43693670334685</v>
      </c>
      <c r="F13" s="146">
        <v>2.5624</v>
      </c>
      <c r="G13" s="147">
        <v>-54.6665628748448</v>
      </c>
      <c r="H13" s="146">
        <v>3.2369</v>
      </c>
      <c r="I13" s="147">
        <v>-51.3095825461197</v>
      </c>
      <c r="J13" s="146">
        <v>4.0182</v>
      </c>
      <c r="K13" s="147">
        <v>-44.7597208703829</v>
      </c>
    </row>
    <row r="14" ht="24" customHeight="1" spans="1:11">
      <c r="A14" s="148" t="s">
        <v>90</v>
      </c>
      <c r="B14" s="146">
        <v>21.8926</v>
      </c>
      <c r="C14" s="147">
        <v>4.83785573786971</v>
      </c>
      <c r="D14" s="146">
        <v>5.9762</v>
      </c>
      <c r="E14" s="147">
        <v>112.572155089389</v>
      </c>
      <c r="F14" s="146">
        <v>7.3852</v>
      </c>
      <c r="G14" s="147">
        <v>41.9194866147318</v>
      </c>
      <c r="H14" s="146">
        <v>8.4861</v>
      </c>
      <c r="I14" s="147">
        <v>34.8255032827701</v>
      </c>
      <c r="J14" s="146">
        <v>10.2367</v>
      </c>
      <c r="K14" s="147">
        <v>34.551561217142</v>
      </c>
    </row>
    <row r="15" ht="24" customHeight="1" spans="1:11">
      <c r="A15" s="148" t="s">
        <v>91</v>
      </c>
      <c r="B15" s="146">
        <v>27.1897</v>
      </c>
      <c r="C15" s="147">
        <v>35.674567361616</v>
      </c>
      <c r="D15" s="146">
        <v>4.1478</v>
      </c>
      <c r="E15" s="147">
        <v>-40.2810320453117</v>
      </c>
      <c r="F15" s="146">
        <v>5.7466</v>
      </c>
      <c r="G15" s="147">
        <v>-36.6997955882098</v>
      </c>
      <c r="H15" s="146">
        <v>7.7698</v>
      </c>
      <c r="I15" s="147">
        <v>-29.6693471415265</v>
      </c>
      <c r="J15" s="146">
        <v>10.1479</v>
      </c>
      <c r="K15" s="147">
        <v>-20.5426758067669</v>
      </c>
    </row>
    <row r="16" ht="22.9" customHeight="1" spans="1:11">
      <c r="A16" s="148"/>
      <c r="B16" s="146"/>
      <c r="C16" s="147"/>
      <c r="D16" s="146"/>
      <c r="E16" s="147"/>
      <c r="F16" s="146"/>
      <c r="G16" s="147"/>
      <c r="H16" s="146"/>
      <c r="I16" s="147"/>
      <c r="J16" s="146"/>
      <c r="K16" s="147"/>
    </row>
    <row r="17" ht="33" customHeight="1" spans="1:11">
      <c r="A17" s="149" t="s">
        <v>332</v>
      </c>
      <c r="B17" s="146"/>
      <c r="C17" s="147"/>
      <c r="D17" s="146"/>
      <c r="E17" s="147"/>
      <c r="F17" s="146"/>
      <c r="G17" s="147"/>
      <c r="H17" s="146"/>
      <c r="I17" s="147"/>
      <c r="J17" s="146"/>
      <c r="K17" s="147"/>
    </row>
    <row r="18" ht="24" customHeight="1" spans="1:11">
      <c r="A18" s="148" t="s">
        <v>422</v>
      </c>
      <c r="B18" s="146">
        <v>568.1644</v>
      </c>
      <c r="C18" s="147">
        <v>6.58816943515612</v>
      </c>
      <c r="D18" s="146">
        <v>107.2089</v>
      </c>
      <c r="E18" s="147">
        <v>-1.59229179134892</v>
      </c>
      <c r="F18" s="146">
        <v>160.9933</v>
      </c>
      <c r="G18" s="147">
        <v>0.461768962012021</v>
      </c>
      <c r="H18" s="146">
        <v>209.58</v>
      </c>
      <c r="I18" s="147">
        <v>3.5928806709663</v>
      </c>
      <c r="J18" s="146">
        <v>250.9014</v>
      </c>
      <c r="K18" s="147">
        <v>2.58413262512924</v>
      </c>
    </row>
    <row r="19" ht="24" customHeight="1" spans="1:11">
      <c r="A19" s="148" t="s">
        <v>82</v>
      </c>
      <c r="B19" s="150">
        <v>14.8343</v>
      </c>
      <c r="C19" s="151">
        <v>0.235820371096129</v>
      </c>
      <c r="D19" s="150">
        <v>2.9809</v>
      </c>
      <c r="E19" s="151">
        <v>9.83014627316605</v>
      </c>
      <c r="F19" s="150">
        <v>6.1284</v>
      </c>
      <c r="G19" s="151">
        <v>57.2150534875965</v>
      </c>
      <c r="H19" s="150">
        <v>8.8065</v>
      </c>
      <c r="I19" s="151">
        <v>75.7644100271435</v>
      </c>
      <c r="J19" s="150">
        <v>10.2878</v>
      </c>
      <c r="K19" s="151">
        <v>70.2714333002317</v>
      </c>
    </row>
    <row r="20" ht="24" customHeight="1" spans="1:11">
      <c r="A20" s="148" t="s">
        <v>83</v>
      </c>
      <c r="B20" s="146">
        <v>21.6006</v>
      </c>
      <c r="C20" s="147">
        <v>-1.55277946156336</v>
      </c>
      <c r="D20" s="146">
        <v>3.8397</v>
      </c>
      <c r="E20" s="147">
        <v>-7.66622580257305</v>
      </c>
      <c r="F20" s="146">
        <v>5.6378</v>
      </c>
      <c r="G20" s="147">
        <v>-4.39707652914144</v>
      </c>
      <c r="H20" s="146">
        <v>7.4916</v>
      </c>
      <c r="I20" s="147">
        <v>1.98619600582655</v>
      </c>
      <c r="J20" s="146">
        <v>9.149</v>
      </c>
      <c r="K20" s="147">
        <v>-0.271422186856185</v>
      </c>
    </row>
    <row r="21" ht="24" customHeight="1" spans="1:11">
      <c r="A21" s="148" t="s">
        <v>84</v>
      </c>
      <c r="B21" s="146">
        <v>23.4335</v>
      </c>
      <c r="C21" s="147">
        <v>-3.17095645203278</v>
      </c>
      <c r="D21" s="146">
        <v>5.1832</v>
      </c>
      <c r="E21" s="147">
        <v>14.8148148148148</v>
      </c>
      <c r="F21" s="146">
        <v>7.1666</v>
      </c>
      <c r="G21" s="147">
        <v>7.55815698634248</v>
      </c>
      <c r="H21" s="146">
        <v>9.2298</v>
      </c>
      <c r="I21" s="147">
        <v>9.57333143386281</v>
      </c>
      <c r="J21" s="146">
        <v>11.3864</v>
      </c>
      <c r="K21" s="147">
        <v>8.55355985203829</v>
      </c>
    </row>
    <row r="22" ht="24" customHeight="1" spans="1:11">
      <c r="A22" s="148" t="s">
        <v>85</v>
      </c>
      <c r="B22" s="146">
        <v>18.9886</v>
      </c>
      <c r="C22" s="147">
        <v>15.4778483899413</v>
      </c>
      <c r="D22" s="146">
        <v>3.6788</v>
      </c>
      <c r="E22" s="147">
        <v>-12.8927615845429</v>
      </c>
      <c r="F22" s="146">
        <v>5.6225</v>
      </c>
      <c r="G22" s="147">
        <v>-8.64408156633357</v>
      </c>
      <c r="H22" s="146">
        <v>7.2888</v>
      </c>
      <c r="I22" s="147">
        <v>-2.66155633605321</v>
      </c>
      <c r="J22" s="146">
        <v>8.5515</v>
      </c>
      <c r="K22" s="147">
        <v>-2.71773753185293</v>
      </c>
    </row>
    <row r="23" ht="24" customHeight="1" spans="1:11">
      <c r="A23" s="148" t="s">
        <v>86</v>
      </c>
      <c r="B23" s="146">
        <v>58.271</v>
      </c>
      <c r="C23" s="147">
        <v>6.14044834325747</v>
      </c>
      <c r="D23" s="146">
        <v>10.4526</v>
      </c>
      <c r="E23" s="147">
        <v>-7.61929171785376</v>
      </c>
      <c r="F23" s="146">
        <v>16.3504</v>
      </c>
      <c r="G23" s="147">
        <v>-11.4140357911048</v>
      </c>
      <c r="H23" s="146">
        <v>21.8543</v>
      </c>
      <c r="I23" s="147">
        <v>-5.80083706535748</v>
      </c>
      <c r="J23" s="146">
        <v>26.0759</v>
      </c>
      <c r="K23" s="147">
        <v>-9.07477404597188</v>
      </c>
    </row>
    <row r="24" ht="24" customHeight="1" spans="1:11">
      <c r="A24" s="148" t="s">
        <v>87</v>
      </c>
      <c r="B24" s="146">
        <v>48.1925</v>
      </c>
      <c r="C24" s="147">
        <v>4.70575710567367</v>
      </c>
      <c r="D24" s="146">
        <v>8.845</v>
      </c>
      <c r="E24" s="147">
        <v>5.40427813859263</v>
      </c>
      <c r="F24" s="146">
        <v>12.6855</v>
      </c>
      <c r="G24" s="147">
        <v>-4.34267875186631</v>
      </c>
      <c r="H24" s="146">
        <v>16.3286</v>
      </c>
      <c r="I24" s="147">
        <v>-0.0740482353877137</v>
      </c>
      <c r="J24" s="146">
        <v>20.0053</v>
      </c>
      <c r="K24" s="147">
        <v>0.773737261796215</v>
      </c>
    </row>
    <row r="25" ht="24" customHeight="1" spans="1:11">
      <c r="A25" s="148" t="s">
        <v>88</v>
      </c>
      <c r="B25" s="146">
        <v>86.4667</v>
      </c>
      <c r="C25" s="147">
        <v>9.26134891802244</v>
      </c>
      <c r="D25" s="146">
        <v>16.6619</v>
      </c>
      <c r="E25" s="147">
        <v>-0.816710419010547</v>
      </c>
      <c r="F25" s="146">
        <v>23.5318</v>
      </c>
      <c r="G25" s="147">
        <v>-5.59487130111047</v>
      </c>
      <c r="H25" s="146">
        <v>31.1054</v>
      </c>
      <c r="I25" s="147">
        <v>2.33486973486381</v>
      </c>
      <c r="J25" s="146">
        <v>37.9482</v>
      </c>
      <c r="K25" s="147">
        <v>1.16040082211719</v>
      </c>
    </row>
    <row r="26" ht="24" customHeight="1" spans="1:11">
      <c r="A26" s="148" t="s">
        <v>89</v>
      </c>
      <c r="B26" s="146">
        <v>59.7099</v>
      </c>
      <c r="C26" s="147">
        <v>8.9714038555246</v>
      </c>
      <c r="D26" s="146">
        <v>11.6645</v>
      </c>
      <c r="E26" s="147">
        <v>16.4958852668584</v>
      </c>
      <c r="F26" s="146">
        <v>16.8356</v>
      </c>
      <c r="G26" s="147">
        <v>-1.24125956168755</v>
      </c>
      <c r="H26" s="146">
        <v>22.1607</v>
      </c>
      <c r="I26" s="147">
        <v>-1.66664448023854</v>
      </c>
      <c r="J26" s="146">
        <v>26.2579</v>
      </c>
      <c r="K26" s="147">
        <v>-0.969639826513291</v>
      </c>
    </row>
    <row r="27" ht="24" customHeight="1" spans="1:11">
      <c r="A27" s="148" t="s">
        <v>90</v>
      </c>
      <c r="B27" s="146">
        <v>92.4322</v>
      </c>
      <c r="C27" s="147">
        <v>0.631230103949387</v>
      </c>
      <c r="D27" s="146">
        <v>20.5654</v>
      </c>
      <c r="E27" s="147">
        <v>7.69536916301405</v>
      </c>
      <c r="F27" s="146">
        <v>29.0042</v>
      </c>
      <c r="G27" s="147">
        <v>5.38933905017986</v>
      </c>
      <c r="H27" s="146">
        <v>36.4927</v>
      </c>
      <c r="I27" s="147">
        <v>5.68557320551992</v>
      </c>
      <c r="J27" s="146">
        <v>43.0219</v>
      </c>
      <c r="K27" s="147">
        <v>2.4018870439485</v>
      </c>
    </row>
    <row r="28" ht="24" customHeight="1" spans="1:11">
      <c r="A28" s="152" t="s">
        <v>438</v>
      </c>
      <c r="B28" s="153">
        <v>27.5016</v>
      </c>
      <c r="C28" s="154">
        <v>4.2114118119605</v>
      </c>
      <c r="D28" s="153">
        <v>5.3968</v>
      </c>
      <c r="E28" s="154">
        <v>-31.8344869398272</v>
      </c>
      <c r="F28" s="153">
        <v>7.5743</v>
      </c>
      <c r="G28" s="154">
        <v>-20.9247697993444</v>
      </c>
      <c r="H28" s="153">
        <v>9.6499</v>
      </c>
      <c r="I28" s="154">
        <v>-15.7184530463946</v>
      </c>
      <c r="J28" s="153">
        <v>11.7712</v>
      </c>
      <c r="K28" s="154">
        <v>-12.7826679707181</v>
      </c>
    </row>
    <row r="29" ht="56" customHeight="1" spans="1:11">
      <c r="A29" s="155" t="s">
        <v>448</v>
      </c>
      <c r="B29" s="155"/>
      <c r="C29" s="155"/>
      <c r="D29" s="155"/>
      <c r="E29" s="155"/>
      <c r="F29" s="155"/>
      <c r="G29" s="155"/>
      <c r="H29" s="155"/>
      <c r="I29" s="155"/>
      <c r="J29" s="155"/>
      <c r="K29" s="155"/>
    </row>
  </sheetData>
  <mergeCells count="8">
    <mergeCell ref="A1:K1"/>
    <mergeCell ref="B2:C2"/>
    <mergeCell ref="D2:E2"/>
    <mergeCell ref="F2:G2"/>
    <mergeCell ref="H2:I2"/>
    <mergeCell ref="J2:K2"/>
    <mergeCell ref="A29:K29"/>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O27"/>
  <sheetViews>
    <sheetView workbookViewId="0">
      <selection activeCell="B18" sqref="B18:C28"/>
    </sheetView>
  </sheetViews>
  <sheetFormatPr defaultColWidth="9" defaultRowHeight="14.25"/>
  <cols>
    <col min="1" max="1" width="16.375" customWidth="1"/>
    <col min="2" max="2" width="13" customWidth="1"/>
    <col min="3" max="3" width="9.375" customWidth="1"/>
    <col min="4" max="4" width="8.625" customWidth="1"/>
    <col min="5" max="5" width="14.625" customWidth="1"/>
    <col min="6" max="6" width="10.5" customWidth="1"/>
    <col min="7" max="7" width="8.625" customWidth="1"/>
  </cols>
  <sheetData>
    <row r="1" ht="24" spans="1:15">
      <c r="A1" t="s">
        <v>449</v>
      </c>
      <c r="G1" s="103"/>
    </row>
    <row r="2" ht="29.1" customHeight="1" spans="1:15">
      <c r="A2" t="s">
        <v>450</v>
      </c>
    </row>
    <row r="3" s="100" customFormat="1" ht="30" customHeight="1" spans="1:15">
      <c r="A3" t="s">
        <v>451</v>
      </c>
      <c r="B3" t="s">
        <v>452</v>
      </c>
      <c r="C3"/>
      <c r="D3"/>
      <c r="E3" t="s">
        <v>453</v>
      </c>
      <c r="F3"/>
      <c r="G3"/>
    </row>
    <row r="4" s="101" customFormat="1" ht="36" customHeight="1" spans="1:15">
      <c r="A4"/>
      <c r="B4" s="104" t="s">
        <v>454</v>
      </c>
      <c r="C4" s="105" t="s">
        <v>455</v>
      </c>
      <c r="D4" s="106" t="s">
        <v>456</v>
      </c>
      <c r="E4" s="104" t="s">
        <v>454</v>
      </c>
      <c r="F4" s="107" t="s">
        <v>455</v>
      </c>
      <c r="G4" s="107" t="s">
        <v>456</v>
      </c>
      <c r="H4" s="108"/>
      <c r="O4" s="109"/>
    </row>
    <row r="5" s="101" customFormat="1" ht="25.5" customHeight="1" spans="1:15">
      <c r="A5" s="110" t="s">
        <v>457</v>
      </c>
      <c r="B5" s="111" t="s">
        <v>12</v>
      </c>
      <c r="C5" s="111" t="s">
        <v>12</v>
      </c>
      <c r="D5" s="111" t="s">
        <v>12</v>
      </c>
      <c r="E5" s="112" t="s">
        <v>12</v>
      </c>
      <c r="F5" s="113" t="s">
        <v>12</v>
      </c>
      <c r="G5" s="111" t="s">
        <v>12</v>
      </c>
      <c r="I5" s="114"/>
      <c r="J5" s="114"/>
      <c r="K5" s="115"/>
      <c r="O5" s="109"/>
    </row>
    <row r="6" s="101" customFormat="1" ht="23.1" customHeight="1" spans="1:15">
      <c r="A6" s="110" t="s">
        <v>458</v>
      </c>
      <c r="B6" s="116">
        <v>7406.64</v>
      </c>
      <c r="C6" s="11">
        <v>3.4</v>
      </c>
      <c r="D6" s="111" t="s">
        <v>12</v>
      </c>
      <c r="E6" s="116">
        <v>0</v>
      </c>
      <c r="F6" s="117">
        <v>0</v>
      </c>
      <c r="G6" s="111" t="s">
        <v>12</v>
      </c>
      <c r="I6" s="114"/>
      <c r="J6" s="118"/>
      <c r="O6" s="119"/>
    </row>
    <row r="7" ht="23.1" customHeight="1" spans="1:15">
      <c r="A7" s="101" t="s">
        <v>459</v>
      </c>
      <c r="B7" s="116" t="e">
        <v>#REF!</v>
      </c>
      <c r="C7" s="11" t="e">
        <v>#REF!</v>
      </c>
      <c r="D7" s="120" t="e">
        <f t="shared" ref="D7:D27" si="0">RANK(C7,$C$7:$C$27,0)</f>
        <v>#REF!</v>
      </c>
      <c r="E7" s="116" t="e">
        <v>#REF!</v>
      </c>
      <c r="F7" s="117" t="e">
        <v>#REF!</v>
      </c>
      <c r="G7" s="111" t="e">
        <f t="shared" ref="G7:G27" si="1">RANK(F7,$F$7:$F$27,0)</f>
        <v>#REF!</v>
      </c>
      <c r="I7" s="121"/>
      <c r="J7" s="122"/>
      <c r="K7" s="123"/>
      <c r="L7" s="124"/>
      <c r="O7" s="125"/>
    </row>
    <row r="8" ht="23.1" customHeight="1" spans="1:15">
      <c r="A8" s="101" t="s">
        <v>460</v>
      </c>
      <c r="B8" s="116" t="e">
        <v>#REF!</v>
      </c>
      <c r="C8" s="11" t="e">
        <v>#REF!</v>
      </c>
      <c r="D8" s="120" t="e">
        <f t="shared" si="0"/>
        <v>#REF!</v>
      </c>
      <c r="E8" s="116" t="e">
        <v>#REF!</v>
      </c>
      <c r="F8" s="117" t="e">
        <v>#REF!</v>
      </c>
      <c r="G8" s="111" t="e">
        <f t="shared" si="1"/>
        <v>#REF!</v>
      </c>
      <c r="I8" s="121"/>
      <c r="J8" s="122"/>
      <c r="K8" s="123"/>
      <c r="L8" s="124"/>
      <c r="O8" s="125"/>
    </row>
    <row r="9" ht="23.1" customHeight="1" spans="1:15">
      <c r="A9" s="101" t="s">
        <v>461</v>
      </c>
      <c r="B9" s="116" t="e">
        <v>#REF!</v>
      </c>
      <c r="C9" s="11" t="e">
        <v>#REF!</v>
      </c>
      <c r="D9" s="120" t="e">
        <f t="shared" si="0"/>
        <v>#REF!</v>
      </c>
      <c r="E9" s="116" t="e">
        <v>#REF!</v>
      </c>
      <c r="F9" s="117" t="e">
        <v>#REF!</v>
      </c>
      <c r="G9" s="111" t="e">
        <f t="shared" si="1"/>
        <v>#REF!</v>
      </c>
      <c r="I9" s="121"/>
      <c r="J9" s="122"/>
      <c r="K9" s="123"/>
      <c r="L9" s="124"/>
      <c r="O9" s="125"/>
    </row>
    <row r="10" ht="23.1" customHeight="1" spans="1:15">
      <c r="A10" s="101" t="s">
        <v>462</v>
      </c>
      <c r="B10" s="116" t="e">
        <v>#REF!</v>
      </c>
      <c r="C10" s="11" t="e">
        <v>#REF!</v>
      </c>
      <c r="D10" s="120" t="e">
        <f t="shared" si="0"/>
        <v>#REF!</v>
      </c>
      <c r="E10" s="116" t="e">
        <v>#REF!</v>
      </c>
      <c r="F10" s="117" t="e">
        <v>#REF!</v>
      </c>
      <c r="G10" s="111" t="e">
        <f t="shared" si="1"/>
        <v>#REF!</v>
      </c>
      <c r="I10" s="121"/>
      <c r="J10" s="122"/>
      <c r="K10" s="123"/>
      <c r="L10" s="124"/>
      <c r="O10" s="125"/>
    </row>
    <row r="11" ht="23.1" customHeight="1" spans="1:15">
      <c r="A11" s="101" t="s">
        <v>463</v>
      </c>
      <c r="B11" s="116" t="e">
        <v>#REF!</v>
      </c>
      <c r="C11" s="11" t="e">
        <v>#REF!</v>
      </c>
      <c r="D11" s="120" t="e">
        <f t="shared" si="0"/>
        <v>#REF!</v>
      </c>
      <c r="E11" s="116" t="e">
        <v>#REF!</v>
      </c>
      <c r="F11" s="117" t="e">
        <v>#REF!</v>
      </c>
      <c r="G11" s="111" t="e">
        <f t="shared" si="1"/>
        <v>#REF!</v>
      </c>
      <c r="I11" s="121"/>
      <c r="J11" s="122"/>
      <c r="K11" s="123"/>
      <c r="L11" s="124"/>
      <c r="O11" s="125"/>
    </row>
    <row r="12" ht="23.1" customHeight="1" spans="1:15">
      <c r="A12" s="101" t="s">
        <v>464</v>
      </c>
      <c r="B12" s="116" t="e">
        <v>#REF!</v>
      </c>
      <c r="C12" s="11" t="e">
        <v>#REF!</v>
      </c>
      <c r="D12" s="120" t="e">
        <f t="shared" si="0"/>
        <v>#REF!</v>
      </c>
      <c r="E12" s="116" t="e">
        <v>#REF!</v>
      </c>
      <c r="F12" s="117" t="e">
        <v>#REF!</v>
      </c>
      <c r="G12" s="111" t="e">
        <f t="shared" si="1"/>
        <v>#REF!</v>
      </c>
      <c r="I12" s="121"/>
      <c r="J12" s="122"/>
      <c r="K12" s="123"/>
      <c r="L12" s="124"/>
      <c r="O12" s="125"/>
    </row>
    <row r="13" ht="23.1" customHeight="1" spans="1:15">
      <c r="A13" s="101" t="s">
        <v>465</v>
      </c>
      <c r="B13" s="116" t="e">
        <v>#REF!</v>
      </c>
      <c r="C13" s="11" t="e">
        <v>#REF!</v>
      </c>
      <c r="D13" s="120" t="e">
        <f t="shared" si="0"/>
        <v>#REF!</v>
      </c>
      <c r="E13" s="116" t="e">
        <v>#REF!</v>
      </c>
      <c r="F13" s="117" t="e">
        <v>#REF!</v>
      </c>
      <c r="G13" s="111" t="e">
        <f t="shared" si="1"/>
        <v>#REF!</v>
      </c>
      <c r="I13" s="121"/>
      <c r="J13" s="122"/>
      <c r="K13" s="123"/>
      <c r="L13" s="124"/>
      <c r="O13" s="125"/>
    </row>
    <row r="14" ht="23.1" customHeight="1" spans="1:15">
      <c r="A14" s="101" t="s">
        <v>466</v>
      </c>
      <c r="B14" s="116" t="e">
        <v>#REF!</v>
      </c>
      <c r="C14" s="11" t="e">
        <v>#REF!</v>
      </c>
      <c r="D14" s="120" t="e">
        <f t="shared" si="0"/>
        <v>#REF!</v>
      </c>
      <c r="E14" s="116" t="e">
        <v>#REF!</v>
      </c>
      <c r="F14" s="117" t="e">
        <v>#REF!</v>
      </c>
      <c r="G14" s="111" t="e">
        <f t="shared" si="1"/>
        <v>#REF!</v>
      </c>
      <c r="I14" s="121"/>
      <c r="J14" s="122"/>
      <c r="K14" s="123"/>
      <c r="L14" s="124"/>
      <c r="O14" s="125"/>
    </row>
    <row r="15" ht="23.1" customHeight="1" spans="1:15">
      <c r="A15" s="101" t="s">
        <v>467</v>
      </c>
      <c r="B15" s="116" t="e">
        <v>#REF!</v>
      </c>
      <c r="C15" s="11">
        <v>-15.6</v>
      </c>
      <c r="D15" s="120" t="e">
        <f t="shared" si="0"/>
        <v>#REF!</v>
      </c>
      <c r="E15" s="116" t="e">
        <v>#REF!</v>
      </c>
      <c r="F15" s="117" t="e">
        <v>#REF!</v>
      </c>
      <c r="G15" s="111" t="e">
        <f t="shared" si="1"/>
        <v>#REF!</v>
      </c>
      <c r="I15" s="121"/>
      <c r="J15" s="122"/>
      <c r="K15" s="123"/>
      <c r="L15" s="124"/>
      <c r="O15" s="125"/>
    </row>
    <row r="16" ht="23.1" customHeight="1" spans="1:15">
      <c r="A16" s="101" t="s">
        <v>468</v>
      </c>
      <c r="B16" s="116" t="e">
        <v>#REF!</v>
      </c>
      <c r="C16" s="11" t="e">
        <v>#REF!</v>
      </c>
      <c r="D16" s="120" t="e">
        <f t="shared" si="0"/>
        <v>#REF!</v>
      </c>
      <c r="E16" s="116" t="e">
        <v>#REF!</v>
      </c>
      <c r="F16" s="117" t="e">
        <v>#REF!</v>
      </c>
      <c r="G16" s="111" t="e">
        <f t="shared" si="1"/>
        <v>#REF!</v>
      </c>
      <c r="I16" s="121"/>
      <c r="J16" s="122"/>
      <c r="K16" s="123"/>
      <c r="L16" s="124"/>
      <c r="O16" s="125"/>
    </row>
    <row r="17" ht="23.1" customHeight="1" spans="1:15">
      <c r="A17" s="101" t="s">
        <v>469</v>
      </c>
      <c r="B17" s="116" t="e">
        <v>#REF!</v>
      </c>
      <c r="C17" s="11" t="e">
        <v>#REF!</v>
      </c>
      <c r="D17" s="120" t="e">
        <f t="shared" si="0"/>
        <v>#REF!</v>
      </c>
      <c r="E17" s="116" t="e">
        <v>#REF!</v>
      </c>
      <c r="F17" s="117" t="e">
        <v>#REF!</v>
      </c>
      <c r="G17" s="111" t="e">
        <f t="shared" si="1"/>
        <v>#REF!</v>
      </c>
      <c r="I17" s="121"/>
      <c r="J17" s="122"/>
      <c r="K17" s="123"/>
      <c r="L17" s="124"/>
      <c r="O17" s="125"/>
    </row>
    <row r="18" ht="23.1" customHeight="1" spans="1:15">
      <c r="A18" s="101" t="s">
        <v>470</v>
      </c>
      <c r="B18" s="116" t="e">
        <v>#REF!</v>
      </c>
      <c r="C18" s="11" t="e">
        <v>#REF!</v>
      </c>
      <c r="D18" s="120" t="e">
        <f t="shared" si="0"/>
        <v>#REF!</v>
      </c>
      <c r="E18" s="116" t="e">
        <v>#REF!</v>
      </c>
      <c r="F18" s="117" t="e">
        <v>#REF!</v>
      </c>
      <c r="G18" s="111" t="e">
        <f t="shared" si="1"/>
        <v>#REF!</v>
      </c>
      <c r="I18" s="121"/>
      <c r="J18" s="122"/>
      <c r="K18" s="123"/>
      <c r="L18" s="124"/>
      <c r="O18" s="125"/>
    </row>
    <row r="19" ht="23.1" customHeight="1" spans="1:15">
      <c r="A19" s="101" t="s">
        <v>471</v>
      </c>
      <c r="B19" s="116" t="e">
        <v>#REF!</v>
      </c>
      <c r="C19" s="11" t="e">
        <v>#REF!</v>
      </c>
      <c r="D19" s="120" t="e">
        <f t="shared" si="0"/>
        <v>#REF!</v>
      </c>
      <c r="E19" s="116" t="e">
        <v>#REF!</v>
      </c>
      <c r="F19" s="117" t="e">
        <v>#REF!</v>
      </c>
      <c r="G19" s="111" t="e">
        <f t="shared" si="1"/>
        <v>#REF!</v>
      </c>
      <c r="I19" s="121"/>
      <c r="J19" s="122"/>
      <c r="K19" s="123"/>
      <c r="L19" s="124"/>
      <c r="O19" s="125"/>
    </row>
    <row r="20" ht="23.1" customHeight="1" spans="1:15">
      <c r="A20" s="101" t="s">
        <v>472</v>
      </c>
      <c r="B20" s="116" t="e">
        <v>#REF!</v>
      </c>
      <c r="C20" s="11" t="e">
        <v>#REF!</v>
      </c>
      <c r="D20" s="120" t="e">
        <f t="shared" si="0"/>
        <v>#REF!</v>
      </c>
      <c r="E20" s="116" t="e">
        <v>#REF!</v>
      </c>
      <c r="F20" s="117" t="e">
        <v>#REF!</v>
      </c>
      <c r="G20" s="111" t="e">
        <f t="shared" si="1"/>
        <v>#REF!</v>
      </c>
      <c r="I20" s="121"/>
      <c r="J20" s="122"/>
      <c r="K20" s="123"/>
      <c r="L20" s="124"/>
      <c r="O20" s="125"/>
    </row>
    <row r="21" ht="23.1" customHeight="1" spans="1:15">
      <c r="A21" s="101" t="s">
        <v>473</v>
      </c>
      <c r="B21" s="116" t="e">
        <v>#REF!</v>
      </c>
      <c r="C21" s="11" t="e">
        <v>#REF!</v>
      </c>
      <c r="D21" s="120" t="e">
        <f t="shared" si="0"/>
        <v>#REF!</v>
      </c>
      <c r="E21" s="116" t="e">
        <v>#REF!</v>
      </c>
      <c r="F21" s="117" t="e">
        <v>#REF!</v>
      </c>
      <c r="G21" s="111" t="e">
        <f t="shared" si="1"/>
        <v>#REF!</v>
      </c>
      <c r="I21" s="121"/>
      <c r="J21" s="122"/>
      <c r="K21" s="123"/>
      <c r="L21" s="124"/>
      <c r="O21" s="125"/>
    </row>
    <row r="22" ht="23.1" customHeight="1" spans="1:15">
      <c r="A22" s="101" t="s">
        <v>474</v>
      </c>
      <c r="B22" s="116" t="e">
        <v>#REF!</v>
      </c>
      <c r="C22" s="11" t="e">
        <v>#REF!</v>
      </c>
      <c r="D22" s="120" t="e">
        <f t="shared" si="0"/>
        <v>#REF!</v>
      </c>
      <c r="E22" s="116" t="e">
        <v>#REF!</v>
      </c>
      <c r="F22" s="117" t="e">
        <v>#REF!</v>
      </c>
      <c r="G22" s="111" t="e">
        <f t="shared" si="1"/>
        <v>#REF!</v>
      </c>
      <c r="I22" s="121"/>
      <c r="J22" s="122"/>
      <c r="K22" s="123"/>
      <c r="L22" s="124"/>
      <c r="O22" s="125"/>
    </row>
    <row r="23" ht="23.1" customHeight="1" spans="1:15">
      <c r="A23" s="101" t="s">
        <v>475</v>
      </c>
      <c r="B23" s="116" t="e">
        <v>#REF!</v>
      </c>
      <c r="C23" s="11" t="e">
        <v>#REF!</v>
      </c>
      <c r="D23" s="120" t="e">
        <f t="shared" si="0"/>
        <v>#REF!</v>
      </c>
      <c r="E23" s="116" t="e">
        <v>#REF!</v>
      </c>
      <c r="F23" s="117" t="e">
        <v>#REF!</v>
      </c>
      <c r="G23" s="111" t="e">
        <f t="shared" si="1"/>
        <v>#REF!</v>
      </c>
      <c r="I23" s="121"/>
      <c r="J23" s="122"/>
      <c r="K23" s="123"/>
      <c r="L23" s="124"/>
      <c r="O23" s="125"/>
    </row>
    <row r="24" ht="23.1" customHeight="1" spans="1:15">
      <c r="A24" s="101" t="s">
        <v>476</v>
      </c>
      <c r="B24" s="116" t="e">
        <v>#REF!</v>
      </c>
      <c r="C24" s="11" t="e">
        <v>#REF!</v>
      </c>
      <c r="D24" s="120" t="e">
        <f t="shared" si="0"/>
        <v>#REF!</v>
      </c>
      <c r="E24" s="116" t="e">
        <v>#REF!</v>
      </c>
      <c r="F24" s="117" t="e">
        <v>#REF!</v>
      </c>
      <c r="G24" s="111" t="e">
        <f t="shared" si="1"/>
        <v>#REF!</v>
      </c>
      <c r="I24" s="121"/>
      <c r="J24" s="122"/>
      <c r="K24" s="123"/>
      <c r="L24" s="124"/>
      <c r="O24" s="125"/>
    </row>
    <row r="25" ht="23.1" customHeight="1" spans="1:15">
      <c r="A25" s="101" t="s">
        <v>477</v>
      </c>
      <c r="B25" s="116" t="e">
        <v>#REF!</v>
      </c>
      <c r="C25" s="11" t="e">
        <v>#REF!</v>
      </c>
      <c r="D25" s="120" t="e">
        <f t="shared" si="0"/>
        <v>#REF!</v>
      </c>
      <c r="E25" s="116" t="e">
        <v>#REF!</v>
      </c>
      <c r="F25" s="117" t="e">
        <v>#REF!</v>
      </c>
      <c r="G25" s="111" t="e">
        <f t="shared" si="1"/>
        <v>#REF!</v>
      </c>
      <c r="I25" s="121"/>
      <c r="J25" s="122"/>
      <c r="K25" s="123"/>
      <c r="L25" s="124"/>
      <c r="O25" s="125"/>
    </row>
    <row r="26" ht="23.1" customHeight="1" spans="1:15">
      <c r="A26" s="101" t="s">
        <v>478</v>
      </c>
      <c r="B26" s="116" t="e">
        <v>#REF!</v>
      </c>
      <c r="C26" s="11" t="e">
        <v>#REF!</v>
      </c>
      <c r="D26" s="120" t="e">
        <f t="shared" si="0"/>
        <v>#REF!</v>
      </c>
      <c r="E26" s="116" t="e">
        <v>#REF!</v>
      </c>
      <c r="F26" s="117" t="e">
        <v>#REF!</v>
      </c>
      <c r="G26" s="111" t="e">
        <f t="shared" si="1"/>
        <v>#REF!</v>
      </c>
      <c r="I26" s="121"/>
      <c r="J26" s="122"/>
      <c r="K26" s="123"/>
      <c r="L26" s="124"/>
      <c r="O26" s="125"/>
    </row>
    <row r="27" s="102" customFormat="1" ht="23.1" customHeight="1" spans="1:15">
      <c r="A27" s="126" t="s">
        <v>479</v>
      </c>
      <c r="B27" s="127" t="e">
        <v>#REF!</v>
      </c>
      <c r="C27" s="128" t="e">
        <v>#REF!</v>
      </c>
      <c r="D27" s="129" t="e">
        <f t="shared" si="0"/>
        <v>#REF!</v>
      </c>
      <c r="E27" s="127" t="e">
        <v>#REF!</v>
      </c>
      <c r="F27" s="130" t="e">
        <v>#REF!</v>
      </c>
      <c r="G27" s="131" t="e">
        <f t="shared" si="1"/>
        <v>#REF!</v>
      </c>
      <c r="H27" s="132"/>
      <c r="I27" s="121"/>
      <c r="J27" s="122"/>
      <c r="K27" s="123"/>
      <c r="L27" s="132"/>
      <c r="M27" s="132"/>
      <c r="N27" s="132"/>
      <c r="O27" s="119"/>
    </row>
  </sheetData>
  <mergeCells count="5">
    <mergeCell ref="A1:F1"/>
    <mergeCell ref="A2:G2"/>
    <mergeCell ref="B3:D3"/>
    <mergeCell ref="E3:G3"/>
    <mergeCell ref="A3:A4"/>
  </mergeCells>
  <pageMargins left="0.75" right="0.75" top="1" bottom="1" header="0.51" footer="0.51"/>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4" workbookViewId="0">
      <selection activeCell="B18" sqref="B18:C28"/>
    </sheetView>
  </sheetViews>
  <sheetFormatPr defaultColWidth="9" defaultRowHeight="14.25"/>
  <cols>
    <col min="1" max="1" width="14.375" style="44" customWidth="1"/>
    <col min="2" max="2" width="26.875" customWidth="1"/>
    <col min="3" max="3" width="18.875" customWidth="1"/>
    <col min="4" max="4" width="0.5" hidden="1" customWidth="1"/>
    <col min="5" max="6" width="9" hidden="1" customWidth="1"/>
  </cols>
  <sheetData>
    <row r="1" ht="33.75" customHeight="1" spans="1:7">
      <c r="A1" s="3" t="s">
        <v>480</v>
      </c>
      <c r="B1" s="3"/>
      <c r="C1" s="3"/>
      <c r="D1" s="3"/>
      <c r="E1" s="3"/>
      <c r="F1" s="3"/>
      <c r="G1" s="45"/>
    </row>
    <row r="2" ht="20.25" customHeight="1" spans="1:7">
      <c r="A2" s="84"/>
      <c r="B2" s="84"/>
      <c r="C2" t="s">
        <v>481</v>
      </c>
      <c r="G2" s="45"/>
    </row>
    <row r="3" s="43" customFormat="1" ht="31.5" customHeight="1" spans="1:7">
      <c r="A3" t="s">
        <v>482</v>
      </c>
      <c r="B3" t="s">
        <v>75</v>
      </c>
      <c r="C3"/>
      <c r="D3" s="85"/>
      <c r="E3" s="86"/>
      <c r="F3" s="87"/>
      <c r="G3" s="51"/>
    </row>
    <row r="4" s="43" customFormat="1" ht="31.5" customHeight="1" spans="1:7">
      <c r="A4"/>
      <c r="B4" s="7" t="s">
        <v>483</v>
      </c>
      <c r="C4" s="8" t="s">
        <v>484</v>
      </c>
      <c r="D4" s="88"/>
      <c r="E4" s="89"/>
      <c r="F4" s="90"/>
      <c r="G4" s="51"/>
    </row>
    <row r="5" ht="18" customHeight="1" spans="1:7">
      <c r="A5" s="91">
        <v>2016</v>
      </c>
      <c r="B5" s="92"/>
      <c r="C5" s="80"/>
      <c r="D5" s="93"/>
      <c r="E5" s="93"/>
      <c r="F5" s="93"/>
    </row>
    <row r="6" ht="18" customHeight="1" spans="1:7">
      <c r="A6" s="91">
        <v>6</v>
      </c>
      <c r="B6" s="92">
        <f>ROUND(3143799,0)</f>
        <v>3143799</v>
      </c>
      <c r="C6" s="94">
        <f>ROUND(10.5,1)</f>
        <v>10.5</v>
      </c>
      <c r="D6" s="93"/>
      <c r="E6" s="93"/>
      <c r="F6" s="93"/>
    </row>
    <row r="7" ht="18" customHeight="1" spans="1:7">
      <c r="A7" s="91">
        <v>7</v>
      </c>
      <c r="B7" s="92">
        <f>ROUND(3788981,0)</f>
        <v>3788981</v>
      </c>
      <c r="C7" s="95">
        <f>ROUND(10.6,1)</f>
        <v>10.6</v>
      </c>
      <c r="D7" s="93"/>
      <c r="E7" s="93"/>
      <c r="F7" s="93"/>
    </row>
    <row r="8" ht="18" customHeight="1" spans="1:7">
      <c r="A8" s="91">
        <v>8</v>
      </c>
      <c r="B8" s="92">
        <f>ROUND(4431853,0)</f>
        <v>4431853</v>
      </c>
      <c r="C8" s="95">
        <f>ROUND(10.6,1)</f>
        <v>10.6</v>
      </c>
      <c r="D8" s="93"/>
      <c r="E8" s="93"/>
      <c r="F8" s="93"/>
    </row>
    <row r="9" ht="18" customHeight="1" spans="1:7">
      <c r="A9" s="91">
        <v>9</v>
      </c>
      <c r="B9" s="92">
        <f>ROUND(5129609,0)</f>
        <v>5129609</v>
      </c>
      <c r="C9" s="95">
        <f>ROUND(11,1)</f>
        <v>11</v>
      </c>
      <c r="D9" s="93"/>
      <c r="E9" s="93"/>
      <c r="F9" s="93"/>
    </row>
    <row r="10" ht="18" customHeight="1" spans="1:7">
      <c r="A10" s="91">
        <v>10</v>
      </c>
      <c r="B10" s="92">
        <f>ROUND(5824115,0)</f>
        <v>5824115</v>
      </c>
      <c r="C10" s="95">
        <f>ROUND(11.5,1)</f>
        <v>11.5</v>
      </c>
      <c r="D10" s="93"/>
      <c r="E10" s="93"/>
      <c r="F10" s="93"/>
    </row>
    <row r="11" spans="1:7">
      <c r="A11" s="91">
        <v>11</v>
      </c>
      <c r="B11" s="92">
        <f>ROUND(6614788,0)</f>
        <v>6614788</v>
      </c>
      <c r="C11" s="95">
        <f>ROUND(11.7,1)</f>
        <v>11.7</v>
      </c>
    </row>
    <row r="12" spans="1:7">
      <c r="A12" s="96">
        <v>12</v>
      </c>
      <c r="B12" s="41">
        <f>ROUND(7665202,0)</f>
        <v>7665202</v>
      </c>
      <c r="C12" s="21">
        <f>ROUND(11.5,1)</f>
        <v>11.5</v>
      </c>
    </row>
    <row r="13" ht="18" customHeight="1" spans="1:7">
      <c r="A13" s="91">
        <v>2017</v>
      </c>
      <c r="B13" s="92"/>
      <c r="C13" s="94"/>
      <c r="D13" s="93"/>
      <c r="E13" s="93"/>
      <c r="F13" s="93"/>
    </row>
    <row r="14" spans="1:7">
      <c r="A14" s="91">
        <v>2</v>
      </c>
      <c r="B14" s="16">
        <f>ROUND(1142507,0)</f>
        <v>1142507</v>
      </c>
      <c r="C14" s="97">
        <f>ROUND(7.5,1)</f>
        <v>7.5</v>
      </c>
    </row>
    <row r="15" spans="1:7">
      <c r="A15" s="15">
        <v>3</v>
      </c>
      <c r="B15" s="16">
        <f>ROUND(1799926,0)</f>
        <v>1799926</v>
      </c>
      <c r="C15" s="21">
        <f>ROUND(7.7,1)</f>
        <v>7.7</v>
      </c>
    </row>
    <row r="16" spans="1:7">
      <c r="A16" s="15">
        <v>4</v>
      </c>
      <c r="B16" s="16">
        <f>ROUND(2404934,0)</f>
        <v>2404934</v>
      </c>
      <c r="C16" s="21">
        <f>ROUND(8.1,1)</f>
        <v>8.1</v>
      </c>
    </row>
    <row r="17" spans="1:256">
      <c r="A17" s="15">
        <v>5</v>
      </c>
      <c r="B17" s="16">
        <f>ROUND(3144236,0)</f>
        <v>3144236</v>
      </c>
      <c r="C17" s="21">
        <f>ROUND(7.5,1)</f>
        <v>7.5</v>
      </c>
    </row>
    <row r="18" spans="1:256">
      <c r="A18" s="15">
        <v>6</v>
      </c>
      <c r="B18" s="16">
        <f>ROUND(4030867,0)</f>
        <v>4030867</v>
      </c>
      <c r="C18" s="21">
        <f>ROUND(8.5,)</f>
        <v>9</v>
      </c>
    </row>
    <row r="19" spans="1:256">
      <c r="A19" s="15">
        <v>7</v>
      </c>
      <c r="B19" s="92">
        <f>ROUND(4819573,0)</f>
        <v>4819573</v>
      </c>
      <c r="C19" s="94">
        <f>ROUND(8.8,1)</f>
        <v>8.8</v>
      </c>
    </row>
    <row r="20" spans="1:256">
      <c r="A20" s="98">
        <v>8</v>
      </c>
      <c r="B20" s="41">
        <f>ROUND(5627416,0)</f>
        <v>5627416</v>
      </c>
      <c r="C20" s="21">
        <f>ROUND(9.1,1)</f>
        <v>9.1</v>
      </c>
    </row>
    <row r="21" spans="1:256">
      <c r="A21" s="98">
        <v>9</v>
      </c>
      <c r="B21" s="41">
        <f>ROUND(6503597,0)</f>
        <v>6503597</v>
      </c>
      <c r="C21" s="94">
        <f>ROUND(9.6,1)</f>
        <v>9.6</v>
      </c>
    </row>
    <row r="22" spans="1:256">
      <c r="A22" s="98">
        <v>10</v>
      </c>
      <c r="B22" s="41">
        <f>ROUND(7316245,0)</f>
        <v>7316245</v>
      </c>
      <c r="C22" s="21">
        <f>ROUND(9.3,1)</f>
        <v>9.3</v>
      </c>
    </row>
    <row r="23" spans="1:256">
      <c r="A23" s="99">
        <v>11</v>
      </c>
      <c r="B23" s="16">
        <f>ROUND(8208997,0)</f>
        <v>8208997</v>
      </c>
      <c r="C23" s="21">
        <f>ROUND(9.1,1)</f>
        <v>9.1</v>
      </c>
    </row>
    <row r="24" spans="1:256">
      <c r="A24" s="99">
        <v>12</v>
      </c>
      <c r="B24" s="16">
        <f>ROUND(8357945,0)</f>
        <v>8357945</v>
      </c>
      <c r="C24" s="21">
        <f>ROUND(8.5,1)</f>
        <v>8.5</v>
      </c>
    </row>
    <row r="25" spans="1:256">
      <c r="A25" s="15">
        <v>2018</v>
      </c>
      <c r="B25" s="16"/>
      <c r="C25" s="21"/>
    </row>
    <row r="26" spans="1:256">
      <c r="A26" s="15">
        <v>2</v>
      </c>
      <c r="B26" s="16">
        <f>ROUND(1129112,0)</f>
        <v>1129112</v>
      </c>
      <c r="C26" s="21">
        <f>ROUND(0.2,1)</f>
        <v>0.2</v>
      </c>
    </row>
    <row r="27" spans="1:256">
      <c r="A27" s="15">
        <v>3</v>
      </c>
      <c r="B27" s="16">
        <f>ROUND(1788963,0)</f>
        <v>1788963</v>
      </c>
      <c r="C27" s="21">
        <f>ROUND(2.9,1)</f>
        <v>2.9</v>
      </c>
    </row>
    <row r="28" spans="1:256">
      <c r="A28" s="15">
        <v>4</v>
      </c>
      <c r="B28" s="41">
        <f>ROUND(2439875,0)</f>
        <v>2439875</v>
      </c>
      <c r="C28" s="21">
        <f>ROUND(3.8,1)</f>
        <v>3.8</v>
      </c>
    </row>
    <row r="29" spans="1:256">
      <c r="A29" s="15">
        <v>5</v>
      </c>
      <c r="B29" s="41">
        <v>3086749</v>
      </c>
      <c r="C29" s="21">
        <v>4.1</v>
      </c>
    </row>
    <row r="30" spans="1:256">
      <c r="A30" s="22">
        <v>6</v>
      </c>
      <c r="B30" s="42">
        <v>3845140</v>
      </c>
      <c r="C30" s="24">
        <v>4.7</v>
      </c>
    </row>
    <row r="31" spans="1:256">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c r="CN31" s="98"/>
      <c r="CO31" s="98"/>
      <c r="CP31" s="98"/>
      <c r="CQ31" s="98"/>
      <c r="CR31" s="98"/>
      <c r="CS31" s="98"/>
      <c r="CT31" s="98"/>
      <c r="CU31" s="98"/>
      <c r="CV31" s="98"/>
      <c r="CW31" s="98"/>
      <c r="CX31" s="98"/>
      <c r="CY31" s="98"/>
      <c r="CZ31" s="98"/>
      <c r="DA31" s="98"/>
      <c r="DB31" s="98"/>
      <c r="DC31" s="98"/>
      <c r="DD31" s="98"/>
      <c r="DE31" s="98"/>
      <c r="DF31" s="98"/>
      <c r="DG31" s="98"/>
      <c r="DH31" s="98"/>
      <c r="DI31" s="98"/>
      <c r="DJ31" s="98"/>
      <c r="DK31" s="98"/>
      <c r="DL31" s="98"/>
      <c r="DM31" s="98"/>
      <c r="DN31" s="98"/>
      <c r="DO31" s="98"/>
      <c r="DP31" s="98"/>
      <c r="DQ31" s="98"/>
      <c r="DR31" s="98"/>
      <c r="DS31" s="98"/>
      <c r="DT31" s="98"/>
      <c r="DU31" s="98"/>
      <c r="DV31" s="98"/>
      <c r="DW31" s="98"/>
      <c r="DX31" s="98"/>
      <c r="DY31" s="98"/>
      <c r="DZ31" s="98"/>
      <c r="EA31" s="98"/>
      <c r="EB31" s="98"/>
      <c r="EC31" s="98"/>
      <c r="ED31" s="98"/>
      <c r="EE31" s="98"/>
      <c r="EF31" s="98"/>
      <c r="EG31" s="98"/>
      <c r="EH31" s="98"/>
      <c r="EI31" s="98"/>
      <c r="EJ31" s="98"/>
      <c r="EK31" s="98"/>
      <c r="EL31" s="98"/>
      <c r="EM31" s="98"/>
      <c r="EN31" s="98"/>
      <c r="EO31" s="98"/>
      <c r="EP31" s="98"/>
      <c r="EQ31" s="98"/>
      <c r="ER31" s="98"/>
      <c r="ES31" s="98"/>
      <c r="ET31" s="98"/>
      <c r="EU31" s="98"/>
      <c r="EV31" s="98"/>
      <c r="EW31" s="98"/>
      <c r="EX31" s="98"/>
      <c r="EY31" s="98"/>
      <c r="EZ31" s="98"/>
      <c r="FA31" s="98"/>
      <c r="FB31" s="98"/>
      <c r="FC31" s="98"/>
      <c r="FD31" s="98"/>
      <c r="FE31" s="98"/>
      <c r="FF31" s="98"/>
      <c r="FG31" s="98"/>
      <c r="FH31" s="98"/>
      <c r="FI31" s="98"/>
      <c r="FJ31" s="98"/>
      <c r="FK31" s="98"/>
      <c r="FL31" s="98"/>
      <c r="FM31" s="98"/>
      <c r="FN31" s="98"/>
      <c r="FO31" s="98"/>
      <c r="FP31" s="98"/>
      <c r="FQ31" s="98"/>
      <c r="FR31" s="98"/>
      <c r="FS31" s="98"/>
      <c r="FT31" s="98"/>
      <c r="FU31" s="98"/>
      <c r="FV31" s="98"/>
      <c r="FW31" s="98"/>
      <c r="FX31" s="98"/>
      <c r="FY31" s="98"/>
      <c r="FZ31" s="98"/>
      <c r="GA31" s="98"/>
      <c r="GB31" s="98"/>
      <c r="GC31" s="98"/>
      <c r="GD31" s="98"/>
      <c r="GE31" s="98"/>
      <c r="GF31" s="98"/>
      <c r="GG31" s="98"/>
      <c r="GH31" s="98"/>
      <c r="GI31" s="98"/>
      <c r="GJ31" s="98"/>
      <c r="GK31" s="98"/>
      <c r="GL31" s="98"/>
      <c r="GM31" s="98"/>
      <c r="GN31" s="98"/>
      <c r="GO31" s="98"/>
      <c r="GP31" s="98"/>
      <c r="GQ31" s="98"/>
      <c r="GR31" s="98"/>
      <c r="GS31" s="98"/>
      <c r="GT31" s="98"/>
      <c r="GU31" s="98"/>
      <c r="GV31" s="98"/>
      <c r="GW31" s="98"/>
      <c r="GX31" s="98"/>
      <c r="GY31" s="98"/>
      <c r="GZ31" s="98"/>
      <c r="HA31" s="98"/>
      <c r="HB31" s="98"/>
      <c r="HC31" s="98"/>
      <c r="HD31" s="98"/>
      <c r="HE31" s="98"/>
      <c r="HF31" s="98"/>
      <c r="HG31" s="98"/>
      <c r="HH31" s="98"/>
      <c r="HI31" s="98"/>
      <c r="HJ31" s="98"/>
      <c r="HK31" s="98"/>
      <c r="HL31" s="98"/>
      <c r="HM31" s="98"/>
      <c r="HN31" s="98"/>
      <c r="HO31" s="98"/>
      <c r="HP31" s="98"/>
      <c r="HQ31" s="98"/>
      <c r="HR31" s="98"/>
      <c r="HS31" s="98"/>
      <c r="HT31" s="98"/>
      <c r="HU31" s="98"/>
      <c r="HV31" s="98"/>
      <c r="HW31" s="98"/>
      <c r="HX31" s="98"/>
      <c r="HY31" s="98"/>
      <c r="HZ31" s="98"/>
      <c r="IA31" s="98"/>
      <c r="IB31" s="98"/>
      <c r="IC31" s="98"/>
      <c r="ID31" s="98"/>
      <c r="IE31" s="98"/>
      <c r="IF31" s="98"/>
      <c r="IG31" s="98"/>
      <c r="IH31" s="98"/>
      <c r="II31" s="98"/>
      <c r="IJ31" s="98"/>
      <c r="IK31" s="98"/>
      <c r="IL31" s="98"/>
      <c r="IM31" s="98"/>
      <c r="IN31" s="98"/>
      <c r="IO31" s="98"/>
      <c r="IP31" s="98"/>
      <c r="IQ31" s="98"/>
      <c r="IR31" s="98"/>
      <c r="IS31" s="98"/>
      <c r="IT31" s="98"/>
      <c r="IU31" s="98"/>
      <c r="IV31" s="98"/>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1"/>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485</v>
      </c>
      <c r="B1" s="3"/>
      <c r="C1" s="3"/>
      <c r="D1" s="3"/>
      <c r="E1" s="3"/>
      <c r="F1" s="3"/>
      <c r="G1" s="45"/>
    </row>
    <row r="2" ht="20.25" customHeight="1" spans="1:7">
      <c r="A2" s="46"/>
      <c r="B2" s="46"/>
      <c r="C2" t="s">
        <v>486</v>
      </c>
      <c r="G2" s="45"/>
    </row>
    <row r="3" s="43" customFormat="1" ht="31.5" customHeight="1" spans="1:7">
      <c r="A3" t="s">
        <v>482</v>
      </c>
      <c r="B3" t="s">
        <v>76</v>
      </c>
      <c r="C3"/>
      <c r="D3" s="48"/>
      <c r="E3" s="49"/>
      <c r="F3" s="50"/>
      <c r="G3" s="51"/>
    </row>
    <row r="4" s="43" customFormat="1" ht="31.5" customHeight="1" spans="1:7">
      <c r="A4"/>
      <c r="B4" s="7" t="s">
        <v>483</v>
      </c>
      <c r="C4" s="8" t="s">
        <v>484</v>
      </c>
      <c r="D4" s="52"/>
      <c r="E4" s="53"/>
      <c r="F4" s="54"/>
      <c r="G4" s="51"/>
    </row>
    <row r="5" ht="18" customHeight="1" spans="1:7">
      <c r="A5" s="9">
        <v>2016</v>
      </c>
      <c r="B5" s="77"/>
      <c r="C5" s="11"/>
      <c r="D5" s="55"/>
      <c r="E5" s="55"/>
      <c r="F5" s="55"/>
    </row>
    <row r="6" ht="18" customHeight="1" spans="1:7">
      <c r="A6" s="9">
        <v>5</v>
      </c>
      <c r="B6" s="77">
        <f>ROUND(3079283,0)</f>
        <v>3079283</v>
      </c>
      <c r="C6" s="11">
        <f>ROUND(7.2,1)</f>
        <v>7.2</v>
      </c>
      <c r="D6" s="55"/>
      <c r="E6" s="55"/>
      <c r="F6" s="55"/>
    </row>
    <row r="7" ht="18" customHeight="1" spans="1:7">
      <c r="A7" s="9">
        <v>6</v>
      </c>
      <c r="B7" s="77">
        <f>ROUND(5096563,0)</f>
        <v>5096563</v>
      </c>
      <c r="C7" s="11">
        <f>ROUND(15.1,1)</f>
        <v>15.1</v>
      </c>
      <c r="D7" s="55"/>
      <c r="E7" s="55"/>
      <c r="F7" s="55"/>
    </row>
    <row r="8" ht="18" customHeight="1" spans="1:7">
      <c r="A8" s="9">
        <v>7</v>
      </c>
      <c r="B8" s="77">
        <f>ROUND(6263505,0)</f>
        <v>6263505</v>
      </c>
      <c r="C8" s="78">
        <f>ROUND(16.3,1)</f>
        <v>16.3</v>
      </c>
      <c r="D8" s="55"/>
      <c r="E8" s="55"/>
      <c r="F8" s="55"/>
    </row>
    <row r="9" ht="18" customHeight="1" spans="1:7">
      <c r="A9" s="9">
        <v>8</v>
      </c>
      <c r="B9" s="77">
        <f>ROUND(7372203,0)</f>
        <v>7372203</v>
      </c>
      <c r="C9" s="11">
        <f>ROUND(24.8,1)</f>
        <v>24.8</v>
      </c>
      <c r="D9" s="55"/>
      <c r="E9" s="55"/>
      <c r="F9" s="55"/>
    </row>
    <row r="10" ht="18" customHeight="1" spans="1:7">
      <c r="A10" s="9">
        <v>9</v>
      </c>
      <c r="B10" s="77">
        <f>ROUND(8717492,0)</f>
        <v>8717492</v>
      </c>
      <c r="C10" s="11">
        <f>ROUND(23.5,1)</f>
        <v>23.5</v>
      </c>
      <c r="D10" s="55"/>
      <c r="E10" s="55"/>
      <c r="F10" s="55"/>
    </row>
    <row r="11" ht="18" customHeight="1" spans="1:7">
      <c r="A11" s="9">
        <v>10</v>
      </c>
      <c r="B11" s="77">
        <f>ROUND(10215452,0)</f>
        <v>10215452</v>
      </c>
      <c r="C11" s="11">
        <f>ROUND(22.6,1)</f>
        <v>22.6</v>
      </c>
      <c r="D11" s="55"/>
      <c r="E11" s="55"/>
      <c r="F11" s="55"/>
    </row>
    <row r="12" spans="1:7">
      <c r="A12" s="9">
        <v>11</v>
      </c>
      <c r="B12" s="77">
        <f>ROUND(12000485,0)</f>
        <v>12000485</v>
      </c>
      <c r="C12" s="11">
        <f>ROUND(23.9,1)</f>
        <v>23.9</v>
      </c>
    </row>
    <row r="13" spans="1:7">
      <c r="A13" s="9">
        <v>12</v>
      </c>
      <c r="B13" s="77">
        <f>ROUND(15315995,0)</f>
        <v>15315995</v>
      </c>
      <c r="C13" s="11">
        <f>ROUND(16.6,1)</f>
        <v>16.6</v>
      </c>
    </row>
    <row r="14" spans="1:7">
      <c r="A14" s="9">
        <v>2017</v>
      </c>
      <c r="B14" s="79"/>
      <c r="C14" s="80"/>
    </row>
    <row r="15" spans="1:7">
      <c r="A15" s="9">
        <v>2</v>
      </c>
      <c r="B15" s="77">
        <f>ROUND(796488,0)</f>
        <v>796488</v>
      </c>
      <c r="C15" s="11">
        <f>ROUND(5.3,1)</f>
        <v>5.3</v>
      </c>
    </row>
    <row r="16" spans="1:7">
      <c r="A16" s="9">
        <v>3</v>
      </c>
      <c r="B16" s="79">
        <f>ROUND(1575746,0)</f>
        <v>1575746</v>
      </c>
      <c r="C16" s="11">
        <f>ROUND(7.9,1)</f>
        <v>7.9</v>
      </c>
    </row>
    <row r="17" spans="1:3">
      <c r="A17" s="66">
        <v>4</v>
      </c>
      <c r="B17" s="41">
        <f>ROUND(2056743,0)</f>
        <v>2056743</v>
      </c>
      <c r="C17" s="11">
        <f>ROUND(-0.7,1)</f>
        <v>-0.7</v>
      </c>
    </row>
    <row r="18" spans="1:3">
      <c r="A18" s="66">
        <v>5</v>
      </c>
      <c r="B18" s="16">
        <f>ROUND(2889968,0)</f>
        <v>2889968</v>
      </c>
      <c r="C18" s="11">
        <f>ROUND(-6.1,1)</f>
        <v>-6.1</v>
      </c>
    </row>
    <row r="19" spans="1:3">
      <c r="A19" s="66">
        <v>6</v>
      </c>
      <c r="B19" s="16">
        <f>ROUND(5604382,0)</f>
        <v>5604382</v>
      </c>
      <c r="C19" s="11">
        <f>ROUND(10,1)</f>
        <v>10</v>
      </c>
    </row>
    <row r="20" spans="1:3">
      <c r="A20" s="66">
        <v>7</v>
      </c>
      <c r="B20" s="79">
        <f>ROUND(6864511,0)</f>
        <v>6864511</v>
      </c>
      <c r="C20" s="11">
        <f>ROUND(9.6,1)</f>
        <v>9.6</v>
      </c>
    </row>
    <row r="21" spans="1:3">
      <c r="A21" s="81">
        <v>8</v>
      </c>
      <c r="B21" s="41">
        <f>ROUND(8096944,0)</f>
        <v>8096944</v>
      </c>
      <c r="C21" s="11">
        <f>ROUND(9.8,1)</f>
        <v>9.8</v>
      </c>
    </row>
    <row r="22" spans="1:3">
      <c r="A22" s="81">
        <v>9</v>
      </c>
      <c r="B22" s="41">
        <f>ROUND(9772404,0)</f>
        <v>9772404</v>
      </c>
      <c r="C22" s="11">
        <f>ROUND(12.1010951314896,1)</f>
        <v>12.1</v>
      </c>
    </row>
    <row r="23" spans="1:3">
      <c r="A23" s="81">
        <v>10</v>
      </c>
      <c r="B23" s="41">
        <f>ROUND(11367531,0)</f>
        <v>11367531</v>
      </c>
      <c r="C23" s="11">
        <f>ROUND(11.3,1)</f>
        <v>11.3</v>
      </c>
    </row>
    <row r="24" spans="1:3">
      <c r="A24" s="81">
        <v>11</v>
      </c>
      <c r="B24" s="41">
        <f>ROUND(13376063,0)</f>
        <v>13376063</v>
      </c>
      <c r="C24" s="11">
        <f>ROUND(11.5,1)</f>
        <v>11.5</v>
      </c>
    </row>
    <row r="25" spans="1:3">
      <c r="A25" s="81">
        <v>12</v>
      </c>
      <c r="B25" s="41">
        <f>ROUND(16415341,0)</f>
        <v>16415341</v>
      </c>
      <c r="C25" s="11">
        <f>ROUND(7.2,1)</f>
        <v>7.2</v>
      </c>
    </row>
    <row r="26" spans="1:3">
      <c r="A26" s="15">
        <v>2018</v>
      </c>
      <c r="B26" s="16"/>
      <c r="C26" s="17"/>
    </row>
    <row r="27" spans="1:3">
      <c r="A27" s="15">
        <v>2</v>
      </c>
      <c r="B27" s="16">
        <f>ROUND(844761,0)</f>
        <v>844761</v>
      </c>
      <c r="C27" s="21">
        <f>ROUND(8.8,1)</f>
        <v>8.8</v>
      </c>
    </row>
    <row r="28" spans="1:3">
      <c r="A28" s="15">
        <v>3</v>
      </c>
      <c r="B28" s="16">
        <f>ROUND(2020022,0)</f>
        <v>2020022</v>
      </c>
      <c r="C28" s="21">
        <f>ROUND(31.6,1)</f>
        <v>31.6</v>
      </c>
    </row>
    <row r="29" spans="1:3">
      <c r="A29" s="15">
        <v>4</v>
      </c>
      <c r="B29" s="41">
        <f>ROUND(2639275,0)</f>
        <v>2639275</v>
      </c>
      <c r="C29" s="21">
        <f>ROUND(31,1)</f>
        <v>31</v>
      </c>
    </row>
    <row r="30" spans="1:3">
      <c r="A30" s="15">
        <v>5</v>
      </c>
      <c r="B30" s="41">
        <v>3391968</v>
      </c>
      <c r="C30" s="21">
        <v>19.6</v>
      </c>
    </row>
    <row r="31" spans="1:3">
      <c r="A31" s="22">
        <v>6</v>
      </c>
      <c r="B31" s="82">
        <v>5515829</v>
      </c>
      <c r="C31" s="83">
        <v>13.6</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L29"/>
  <sheetViews>
    <sheetView zoomScale="80" zoomScaleNormal="80" workbookViewId="0">
      <pane xSplit="2" ySplit="3" topLeftCell="E4" activePane="bottomRight" state="frozen"/>
      <selection/>
      <selection pane="topRight"/>
      <selection pane="bottomLeft"/>
      <selection pane="bottomRight" activeCell="G37" sqref="G37"/>
    </sheetView>
  </sheetViews>
  <sheetFormatPr defaultColWidth="9" defaultRowHeight="14.25"/>
  <cols>
    <col min="1" max="1" width="28.6666666666667" style="254" customWidth="1"/>
    <col min="2" max="2" width="9.625" style="254" customWidth="1"/>
    <col min="3" max="3" width="10.375" style="254"/>
    <col min="4" max="12" width="10.7333333333333" style="254" customWidth="1"/>
    <col min="13" max="16384" width="9" style="254"/>
  </cols>
  <sheetData>
    <row r="1" ht="24.95" customHeight="1" spans="1:12">
      <c r="A1" s="135" t="s">
        <v>41</v>
      </c>
      <c r="B1" s="135"/>
      <c r="C1" s="135"/>
      <c r="D1" s="135"/>
      <c r="E1" s="135"/>
      <c r="F1" s="135"/>
      <c r="G1" s="135"/>
      <c r="H1" s="135"/>
      <c r="I1" s="135"/>
      <c r="J1" s="135"/>
      <c r="K1" s="135"/>
      <c r="L1" s="135"/>
    </row>
    <row r="2" s="286" customFormat="1" ht="21" customHeight="1" spans="1:12">
      <c r="A2" s="136" t="s">
        <v>1</v>
      </c>
      <c r="B2" s="230" t="s">
        <v>2</v>
      </c>
      <c r="C2" s="137" t="s">
        <v>3</v>
      </c>
      <c r="D2" s="138"/>
      <c r="E2" s="138" t="s">
        <v>4</v>
      </c>
      <c r="F2" s="326"/>
      <c r="G2" s="137" t="s">
        <v>5</v>
      </c>
      <c r="H2" s="138"/>
      <c r="I2" s="137" t="s">
        <v>6</v>
      </c>
      <c r="J2" s="138"/>
      <c r="K2" s="137" t="s">
        <v>7</v>
      </c>
      <c r="L2" s="138"/>
    </row>
    <row r="3" s="286" customFormat="1" ht="21" customHeight="1" spans="1:12">
      <c r="A3" s="139"/>
      <c r="B3" s="231"/>
      <c r="C3" s="140" t="s">
        <v>8</v>
      </c>
      <c r="D3" s="141" t="s">
        <v>9</v>
      </c>
      <c r="E3" s="141" t="s">
        <v>8</v>
      </c>
      <c r="F3" s="141" t="s">
        <v>9</v>
      </c>
      <c r="G3" s="140" t="s">
        <v>8</v>
      </c>
      <c r="H3" s="141" t="s">
        <v>9</v>
      </c>
      <c r="I3" s="140" t="s">
        <v>8</v>
      </c>
      <c r="J3" s="141" t="s">
        <v>9</v>
      </c>
      <c r="K3" s="140" t="s">
        <v>8</v>
      </c>
      <c r="L3" s="141" t="s">
        <v>9</v>
      </c>
    </row>
    <row r="4" ht="18" customHeight="1" spans="1:12">
      <c r="A4" s="257" t="s">
        <v>42</v>
      </c>
      <c r="B4" s="327" t="s">
        <v>43</v>
      </c>
      <c r="C4" s="146">
        <v>243.82</v>
      </c>
      <c r="D4" s="328">
        <v>-4.5</v>
      </c>
      <c r="E4" s="146">
        <v>28.54</v>
      </c>
      <c r="F4" s="147">
        <v>-39.7</v>
      </c>
      <c r="G4" s="146">
        <v>50.98</v>
      </c>
      <c r="H4" s="328">
        <v>-25.7</v>
      </c>
      <c r="I4" s="146">
        <v>67.25</v>
      </c>
      <c r="J4" s="328">
        <v>-24.6</v>
      </c>
      <c r="K4" s="146">
        <v>87.46</v>
      </c>
      <c r="L4" s="328">
        <v>-21.2</v>
      </c>
    </row>
    <row r="5" ht="18" customHeight="1" spans="1:12">
      <c r="A5" s="329" t="s">
        <v>44</v>
      </c>
      <c r="B5" s="330" t="s">
        <v>11</v>
      </c>
      <c r="C5" s="146">
        <v>202.67</v>
      </c>
      <c r="D5" s="331">
        <v>-11.5</v>
      </c>
      <c r="E5" s="146">
        <v>24.18</v>
      </c>
      <c r="F5" s="147">
        <v>-38.4</v>
      </c>
      <c r="G5" s="146">
        <v>42.22</v>
      </c>
      <c r="H5" s="331">
        <v>-27</v>
      </c>
      <c r="I5" s="146">
        <v>55.67</v>
      </c>
      <c r="J5" s="331">
        <v>-25</v>
      </c>
      <c r="K5" s="146">
        <v>72.67</v>
      </c>
      <c r="L5" s="331">
        <v>-21.6</v>
      </c>
    </row>
    <row r="6" ht="18" customHeight="1" spans="1:12">
      <c r="A6" s="234" t="s">
        <v>45</v>
      </c>
      <c r="B6" s="235" t="s">
        <v>11</v>
      </c>
      <c r="C6" s="146">
        <v>1620.0596</v>
      </c>
      <c r="D6" s="147">
        <v>2.84</v>
      </c>
      <c r="E6" s="278">
        <v>263.0814</v>
      </c>
      <c r="F6" s="147">
        <v>1.2456</v>
      </c>
      <c r="G6" s="146">
        <v>386.9953</v>
      </c>
      <c r="H6" s="147">
        <v>1.28</v>
      </c>
      <c r="I6" s="146">
        <v>510.7049</v>
      </c>
      <c r="J6" s="147">
        <v>1.16</v>
      </c>
      <c r="K6" s="146">
        <v>625.3871</v>
      </c>
      <c r="L6" s="147">
        <v>-0.26</v>
      </c>
    </row>
    <row r="7" ht="18" customHeight="1" spans="1:12">
      <c r="A7" s="234" t="s">
        <v>46</v>
      </c>
      <c r="B7" s="235" t="s">
        <v>11</v>
      </c>
      <c r="C7" s="146">
        <v>1305.75876</v>
      </c>
      <c r="D7" s="147">
        <v>2.96</v>
      </c>
      <c r="E7" s="278">
        <v>211.81421</v>
      </c>
      <c r="F7" s="147">
        <v>1.33</v>
      </c>
      <c r="G7" s="146">
        <v>311.37946</v>
      </c>
      <c r="H7" s="147">
        <v>1.27</v>
      </c>
      <c r="I7" s="146">
        <v>410.7572</v>
      </c>
      <c r="J7" s="147">
        <v>1.09</v>
      </c>
      <c r="K7" s="146">
        <v>501.12029</v>
      </c>
      <c r="L7" s="147">
        <v>-0.69</v>
      </c>
    </row>
    <row r="8" ht="18" customHeight="1" spans="1:12">
      <c r="A8" s="234" t="s">
        <v>47</v>
      </c>
      <c r="B8" s="235" t="s">
        <v>11</v>
      </c>
      <c r="C8" s="146">
        <v>314.30084</v>
      </c>
      <c r="D8" s="147">
        <v>2.33</v>
      </c>
      <c r="E8" s="278">
        <v>51.26719</v>
      </c>
      <c r="F8" s="147">
        <v>0.9</v>
      </c>
      <c r="G8" s="146">
        <v>75.61584</v>
      </c>
      <c r="H8" s="147">
        <v>1.31</v>
      </c>
      <c r="I8" s="146">
        <v>99.9477</v>
      </c>
      <c r="J8" s="147">
        <v>1.45</v>
      </c>
      <c r="K8" s="146">
        <v>124.26681</v>
      </c>
      <c r="L8" s="147">
        <v>1.51</v>
      </c>
    </row>
    <row r="9" ht="18" customHeight="1" spans="1:12">
      <c r="A9" s="259" t="s">
        <v>48</v>
      </c>
      <c r="B9" s="260" t="s">
        <v>11</v>
      </c>
      <c r="C9" s="146">
        <v>1422.31248</v>
      </c>
      <c r="D9" s="147">
        <v>3.11</v>
      </c>
      <c r="E9" s="278">
        <v>230.29787</v>
      </c>
      <c r="F9" s="147">
        <v>1.24</v>
      </c>
      <c r="G9" s="146">
        <v>338.81055</v>
      </c>
      <c r="H9" s="147">
        <v>1.29</v>
      </c>
      <c r="I9" s="146">
        <v>447.12251</v>
      </c>
      <c r="J9" s="147">
        <v>1.18</v>
      </c>
      <c r="K9" s="146">
        <v>546.53382</v>
      </c>
      <c r="L9" s="147">
        <v>-0.41</v>
      </c>
    </row>
    <row r="10" ht="18" customHeight="1" spans="1:12">
      <c r="A10" s="259" t="s">
        <v>49</v>
      </c>
      <c r="B10" s="260" t="s">
        <v>11</v>
      </c>
      <c r="C10" s="146">
        <v>197.74712</v>
      </c>
      <c r="D10" s="147">
        <v>0.89</v>
      </c>
      <c r="E10" s="278">
        <v>32.78353</v>
      </c>
      <c r="F10" s="147">
        <v>1.28</v>
      </c>
      <c r="G10" s="146">
        <v>48.18475</v>
      </c>
      <c r="H10" s="147">
        <v>1.21</v>
      </c>
      <c r="I10" s="146">
        <v>63.58239</v>
      </c>
      <c r="J10" s="147">
        <v>1.07</v>
      </c>
      <c r="K10" s="146">
        <v>78.85328</v>
      </c>
      <c r="L10" s="147">
        <v>0.83</v>
      </c>
    </row>
    <row r="11" ht="18" customHeight="1" spans="1:12">
      <c r="A11" s="257" t="s">
        <v>50</v>
      </c>
      <c r="B11" s="327" t="s">
        <v>11</v>
      </c>
      <c r="C11" s="146">
        <v>628.56741566</v>
      </c>
      <c r="D11" s="147">
        <v>1.9407</v>
      </c>
      <c r="E11" s="278">
        <v>123.69547</v>
      </c>
      <c r="F11" s="147">
        <v>0.9</v>
      </c>
      <c r="G11" s="146">
        <v>172.46840805</v>
      </c>
      <c r="H11" s="147">
        <v>3.2146</v>
      </c>
      <c r="I11" s="146">
        <v>244.82272638</v>
      </c>
      <c r="J11" s="147">
        <v>19.9872</v>
      </c>
      <c r="K11" s="146">
        <v>315.73055578</v>
      </c>
      <c r="L11" s="147">
        <v>22.1295</v>
      </c>
    </row>
    <row r="12" ht="18" customHeight="1" spans="1:12">
      <c r="A12" s="257" t="s">
        <v>51</v>
      </c>
      <c r="B12" s="327" t="s">
        <v>11</v>
      </c>
      <c r="C12" s="146">
        <v>200.73441333</v>
      </c>
      <c r="D12" s="147">
        <v>3.2645</v>
      </c>
      <c r="E12" s="278">
        <v>33.43758</v>
      </c>
      <c r="F12" s="147">
        <v>22.1</v>
      </c>
      <c r="G12" s="146">
        <v>53.41737218</v>
      </c>
      <c r="H12" s="147">
        <v>18.7605</v>
      </c>
      <c r="I12" s="146">
        <v>70.83167592</v>
      </c>
      <c r="J12" s="147">
        <v>14.9081</v>
      </c>
      <c r="K12" s="146">
        <v>95.3665303</v>
      </c>
      <c r="L12" s="147">
        <v>24.2832</v>
      </c>
    </row>
    <row r="13" ht="18" customHeight="1" spans="1:12">
      <c r="A13" s="257" t="s">
        <v>52</v>
      </c>
      <c r="B13" s="327" t="s">
        <v>11</v>
      </c>
      <c r="C13" s="146">
        <v>427.83300233</v>
      </c>
      <c r="D13" s="147">
        <v>1.3312</v>
      </c>
      <c r="E13" s="278">
        <v>90.25789</v>
      </c>
      <c r="F13" s="147">
        <v>-5.2</v>
      </c>
      <c r="G13" s="146">
        <v>119.05103587</v>
      </c>
      <c r="H13" s="147">
        <v>-2.5113</v>
      </c>
      <c r="I13" s="146">
        <v>173.99105046</v>
      </c>
      <c r="J13" s="147">
        <v>22.1859</v>
      </c>
      <c r="K13" s="146">
        <v>220.36402548</v>
      </c>
      <c r="L13" s="147">
        <v>21.2205</v>
      </c>
    </row>
    <row r="14" ht="18" customHeight="1" spans="1:12">
      <c r="A14" s="257" t="s">
        <v>53</v>
      </c>
      <c r="B14" s="327" t="s">
        <v>11</v>
      </c>
      <c r="C14" s="146">
        <v>1.512</v>
      </c>
      <c r="D14" s="147">
        <v>-96</v>
      </c>
      <c r="E14" s="278">
        <v>0.1419</v>
      </c>
      <c r="F14" s="162" t="s">
        <v>12</v>
      </c>
      <c r="G14" s="146">
        <v>0.1419</v>
      </c>
      <c r="H14" s="147">
        <v>-70.5</v>
      </c>
      <c r="I14" s="146">
        <v>0.1419</v>
      </c>
      <c r="J14" s="147">
        <v>-73.5</v>
      </c>
      <c r="K14" s="146">
        <v>0.1419</v>
      </c>
      <c r="L14" s="147">
        <v>-79.1</v>
      </c>
    </row>
    <row r="15" ht="18" customHeight="1" spans="1:12">
      <c r="A15" s="257" t="s">
        <v>54</v>
      </c>
      <c r="B15" s="327" t="s">
        <v>11</v>
      </c>
      <c r="C15" s="146">
        <v>215.0988</v>
      </c>
      <c r="D15" s="147">
        <v>6.94108230927173</v>
      </c>
      <c r="E15" s="278">
        <v>43.4608</v>
      </c>
      <c r="F15" s="147">
        <v>0.606500021142763</v>
      </c>
      <c r="G15" s="146">
        <v>63.0854</v>
      </c>
      <c r="H15" s="147">
        <v>3.22291304920878</v>
      </c>
      <c r="I15" s="146">
        <v>82.9549</v>
      </c>
      <c r="J15" s="147">
        <v>8.53953127819579</v>
      </c>
      <c r="K15" s="146">
        <v>97.866</v>
      </c>
      <c r="L15" s="147">
        <v>8.12306041332612</v>
      </c>
    </row>
    <row r="16" ht="18" customHeight="1" spans="1:12">
      <c r="A16" s="257" t="s">
        <v>55</v>
      </c>
      <c r="B16" s="327" t="s">
        <v>11</v>
      </c>
      <c r="C16" s="146">
        <v>131.2569</v>
      </c>
      <c r="D16" s="147">
        <v>6.12234403502682</v>
      </c>
      <c r="E16" s="278">
        <v>24.6775</v>
      </c>
      <c r="F16" s="147">
        <v>-3.71253474225106</v>
      </c>
      <c r="G16" s="146">
        <v>34.1626</v>
      </c>
      <c r="H16" s="147">
        <v>3.76957036656275</v>
      </c>
      <c r="I16" s="146">
        <v>48.7225</v>
      </c>
      <c r="J16" s="147">
        <v>9.10343995675341</v>
      </c>
      <c r="K16" s="146">
        <v>60.0094</v>
      </c>
      <c r="L16" s="147">
        <v>9.60670827550424</v>
      </c>
    </row>
    <row r="17" ht="18" customHeight="1" spans="1:12">
      <c r="A17" s="257" t="s">
        <v>56</v>
      </c>
      <c r="B17" s="327" t="s">
        <v>11</v>
      </c>
      <c r="C17" s="146">
        <v>568.1644</v>
      </c>
      <c r="D17" s="147">
        <v>6.58816943515612</v>
      </c>
      <c r="E17" s="278">
        <v>107.2089</v>
      </c>
      <c r="F17" s="147">
        <v>-1.59229179134892</v>
      </c>
      <c r="G17" s="146">
        <v>160.9933</v>
      </c>
      <c r="H17" s="147">
        <v>0.461768962012021</v>
      </c>
      <c r="I17" s="146">
        <v>209.58</v>
      </c>
      <c r="J17" s="147">
        <v>3.5928806709663</v>
      </c>
      <c r="K17" s="146">
        <v>250.9014</v>
      </c>
      <c r="L17" s="147">
        <v>2.58413262512924</v>
      </c>
    </row>
    <row r="18" ht="18" customHeight="1" spans="1:12">
      <c r="A18" s="257" t="s">
        <v>57</v>
      </c>
      <c r="B18" s="327" t="s">
        <v>11</v>
      </c>
      <c r="C18" s="146">
        <v>5275.4577575514</v>
      </c>
      <c r="D18" s="147">
        <v>6.18372641103777</v>
      </c>
      <c r="E18" s="278">
        <v>5371.7639803829</v>
      </c>
      <c r="F18" s="147">
        <v>5.87709445025932</v>
      </c>
      <c r="G18" s="146">
        <v>5489.9961943581</v>
      </c>
      <c r="H18" s="147">
        <v>5.71561046103308</v>
      </c>
      <c r="I18" s="146">
        <v>5428.9066701606</v>
      </c>
      <c r="J18" s="147">
        <v>5.51665718667773</v>
      </c>
      <c r="K18" s="146">
        <v>5450.3418806805</v>
      </c>
      <c r="L18" s="147">
        <v>5.65776139426559</v>
      </c>
    </row>
    <row r="19" ht="18" customHeight="1" spans="1:12">
      <c r="A19" s="257" t="s">
        <v>58</v>
      </c>
      <c r="B19" s="327" t="s">
        <v>11</v>
      </c>
      <c r="C19" s="146">
        <v>3952.1386646398</v>
      </c>
      <c r="D19" s="147">
        <v>8.38733031565504</v>
      </c>
      <c r="E19" s="278">
        <v>4027.7464007019</v>
      </c>
      <c r="F19" s="147">
        <v>6.99762792640859</v>
      </c>
      <c r="G19" s="146">
        <v>4089.6770812541</v>
      </c>
      <c r="H19" s="147">
        <v>6.43076935256516</v>
      </c>
      <c r="I19" s="146">
        <v>4061.7851188926</v>
      </c>
      <c r="J19" s="147">
        <v>6.28056873633103</v>
      </c>
      <c r="K19" s="146">
        <v>4064.5837219053</v>
      </c>
      <c r="L19" s="147">
        <v>6.00240954879168</v>
      </c>
    </row>
    <row r="20" ht="18" customHeight="1" spans="1:12">
      <c r="A20" s="257" t="s">
        <v>59</v>
      </c>
      <c r="B20" s="327" t="s">
        <v>11</v>
      </c>
      <c r="C20" s="146">
        <v>4564.4155373845</v>
      </c>
      <c r="D20" s="147">
        <v>5.01251612477425</v>
      </c>
      <c r="E20" s="278">
        <v>4663.4192781226</v>
      </c>
      <c r="F20" s="147">
        <v>4.38367568587663</v>
      </c>
      <c r="G20" s="146">
        <v>4722.2867617772</v>
      </c>
      <c r="H20" s="147">
        <v>4.34563106367708</v>
      </c>
      <c r="I20" s="146">
        <v>4707.4519357306</v>
      </c>
      <c r="J20" s="147">
        <v>4.47734983111839</v>
      </c>
      <c r="K20" s="146">
        <v>4722.6899338586</v>
      </c>
      <c r="L20" s="147">
        <v>4.41532830150857</v>
      </c>
    </row>
    <row r="21" ht="18" customHeight="1" spans="1:12">
      <c r="A21" s="257" t="s">
        <v>60</v>
      </c>
      <c r="B21" s="327" t="s">
        <v>24</v>
      </c>
      <c r="C21" s="189">
        <v>99.8</v>
      </c>
      <c r="D21" s="147">
        <v>-0.2</v>
      </c>
      <c r="E21" s="151">
        <v>99.80073787</v>
      </c>
      <c r="F21" s="151">
        <v>-0.199262129999994</v>
      </c>
      <c r="G21" s="189">
        <v>100.1136</v>
      </c>
      <c r="H21" s="147">
        <v>0.1</v>
      </c>
      <c r="I21" s="189">
        <v>100.3448</v>
      </c>
      <c r="J21" s="147">
        <v>0.344800000000006</v>
      </c>
      <c r="K21" s="189">
        <v>100.61889832</v>
      </c>
      <c r="L21" s="147">
        <v>0.61889832</v>
      </c>
    </row>
    <row r="22" ht="18" customHeight="1" spans="1:12">
      <c r="A22" s="234" t="s">
        <v>61</v>
      </c>
      <c r="B22" s="235" t="s">
        <v>62</v>
      </c>
      <c r="C22" s="146">
        <v>317.88</v>
      </c>
      <c r="D22" s="147">
        <v>1.9</v>
      </c>
      <c r="E22" s="278">
        <v>53.1015704327</v>
      </c>
      <c r="F22" s="147">
        <v>19.9993864074494</v>
      </c>
      <c r="G22" s="146">
        <v>83.528475177</v>
      </c>
      <c r="H22" s="147">
        <v>22.9686194822093</v>
      </c>
      <c r="I22" s="146">
        <v>114.04</v>
      </c>
      <c r="J22" s="147">
        <v>23.98</v>
      </c>
      <c r="K22" s="146">
        <v>147.8010775248</v>
      </c>
      <c r="L22" s="147">
        <v>24.212156895589</v>
      </c>
    </row>
    <row r="23" ht="18" customHeight="1" spans="1:12">
      <c r="A23" s="234" t="s">
        <v>63</v>
      </c>
      <c r="B23" s="235" t="s">
        <v>62</v>
      </c>
      <c r="C23" s="146">
        <v>168.44</v>
      </c>
      <c r="D23" s="147">
        <v>-0.2</v>
      </c>
      <c r="E23" s="278">
        <v>31.217292015</v>
      </c>
      <c r="F23" s="147">
        <v>30.4715098784944</v>
      </c>
      <c r="G23" s="146">
        <v>49.9733849826</v>
      </c>
      <c r="H23" s="147">
        <v>35.0742998125497</v>
      </c>
      <c r="I23" s="146">
        <v>67.5537361593</v>
      </c>
      <c r="J23" s="147">
        <v>35.9755736677151</v>
      </c>
      <c r="K23" s="146">
        <v>86.2428889551</v>
      </c>
      <c r="L23" s="147">
        <v>36.2420172745781</v>
      </c>
    </row>
    <row r="24" ht="18" customHeight="1" spans="1:12">
      <c r="A24" s="234" t="s">
        <v>64</v>
      </c>
      <c r="B24" s="235" t="s">
        <v>62</v>
      </c>
      <c r="C24" s="146">
        <v>143.55</v>
      </c>
      <c r="D24" s="147">
        <v>-5</v>
      </c>
      <c r="E24" s="278">
        <v>25.9124982573</v>
      </c>
      <c r="F24" s="147">
        <v>23.5493470960947</v>
      </c>
      <c r="G24" s="146">
        <v>41.7959662366</v>
      </c>
      <c r="H24" s="147">
        <v>28.1911513494002</v>
      </c>
      <c r="I24" s="146">
        <v>56.5892053686</v>
      </c>
      <c r="J24" s="147">
        <v>29.059105568307</v>
      </c>
      <c r="K24" s="146">
        <v>72.0105177641</v>
      </c>
      <c r="L24" s="147">
        <v>29.1407169334338</v>
      </c>
    </row>
    <row r="25" ht="18" customHeight="1" spans="1:12">
      <c r="A25" s="259" t="s">
        <v>65</v>
      </c>
      <c r="B25" s="260" t="s">
        <v>66</v>
      </c>
      <c r="C25" s="146">
        <v>246.747195613</v>
      </c>
      <c r="D25" s="147">
        <v>-3.453978303794</v>
      </c>
      <c r="E25" s="278">
        <v>38.361147313</v>
      </c>
      <c r="F25" s="147">
        <v>9.74085664681992</v>
      </c>
      <c r="G25" s="146">
        <v>62.130915871</v>
      </c>
      <c r="H25" s="147">
        <v>6.74304995150455</v>
      </c>
      <c r="I25" s="146">
        <v>85.645091376</v>
      </c>
      <c r="J25" s="147">
        <v>6.94762032215219</v>
      </c>
      <c r="K25" s="146">
        <v>109.851425255</v>
      </c>
      <c r="L25" s="147">
        <v>7.13322183867457</v>
      </c>
    </row>
    <row r="26" ht="18" customHeight="1" spans="1:12">
      <c r="A26" s="259" t="s">
        <v>67</v>
      </c>
      <c r="B26" s="260" t="s">
        <v>66</v>
      </c>
      <c r="C26" s="146">
        <v>195.74135024</v>
      </c>
      <c r="D26" s="147">
        <v>3.4012387337732</v>
      </c>
      <c r="E26" s="278">
        <v>31.93650878</v>
      </c>
      <c r="F26" s="147">
        <v>14.7170267986209</v>
      </c>
      <c r="G26" s="146">
        <v>49.324806705</v>
      </c>
      <c r="H26" s="147">
        <v>3.24275473136477</v>
      </c>
      <c r="I26" s="146">
        <v>64.117402985</v>
      </c>
      <c r="J26" s="147">
        <v>1.6974602754527</v>
      </c>
      <c r="K26" s="146">
        <v>79.654130205</v>
      </c>
      <c r="L26" s="147">
        <v>2.82852055559685</v>
      </c>
    </row>
    <row r="27" ht="18" customHeight="1" spans="1:12">
      <c r="A27" s="259" t="s">
        <v>68</v>
      </c>
      <c r="B27" s="260" t="s">
        <v>69</v>
      </c>
      <c r="C27" s="146">
        <v>2.65342128</v>
      </c>
      <c r="D27" s="147">
        <v>-3.51170363757451</v>
      </c>
      <c r="E27" s="278">
        <v>0.45719013</v>
      </c>
      <c r="F27" s="147">
        <v>5.87566589114696</v>
      </c>
      <c r="G27" s="146">
        <v>0.70257215</v>
      </c>
      <c r="H27" s="147">
        <v>4.16036487046072</v>
      </c>
      <c r="I27" s="146">
        <v>0.94359374</v>
      </c>
      <c r="J27" s="147">
        <v>3.55349193942764</v>
      </c>
      <c r="K27" s="146">
        <v>1.18193182</v>
      </c>
      <c r="L27" s="147">
        <v>2.38310066499927</v>
      </c>
    </row>
    <row r="28" ht="18" customHeight="1" spans="1:12">
      <c r="A28" s="261" t="s">
        <v>70</v>
      </c>
      <c r="B28" s="262" t="s">
        <v>71</v>
      </c>
      <c r="C28" s="332">
        <v>157.65235</v>
      </c>
      <c r="D28" s="154">
        <v>-4.47794247403894</v>
      </c>
      <c r="E28" s="333">
        <v>25.1375</v>
      </c>
      <c r="F28" s="154">
        <v>14.4820016759573</v>
      </c>
      <c r="G28" s="332">
        <v>41.1072</v>
      </c>
      <c r="H28" s="154">
        <v>16.2213473377674</v>
      </c>
      <c r="I28" s="332">
        <v>56.6508</v>
      </c>
      <c r="J28" s="154">
        <v>15.0324939362589</v>
      </c>
      <c r="K28" s="332">
        <v>71.6681</v>
      </c>
      <c r="L28" s="154">
        <v>14.0551607469243</v>
      </c>
    </row>
    <row r="29" ht="37" customHeight="1" spans="1:12">
      <c r="A29" s="270" t="s">
        <v>72</v>
      </c>
      <c r="B29" s="270"/>
      <c r="C29" s="270"/>
      <c r="D29" s="270"/>
      <c r="E29" s="270"/>
      <c r="F29" s="270"/>
      <c r="G29" s="270"/>
      <c r="H29" s="270"/>
      <c r="I29" s="270"/>
      <c r="J29" s="270"/>
      <c r="K29" s="270"/>
      <c r="L29" s="270"/>
    </row>
  </sheetData>
  <mergeCells count="9">
    <mergeCell ref="A1:L1"/>
    <mergeCell ref="C2:D2"/>
    <mergeCell ref="E2:F2"/>
    <mergeCell ref="G2:H2"/>
    <mergeCell ref="I2:J2"/>
    <mergeCell ref="K2:L2"/>
    <mergeCell ref="A29:L29"/>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30"/>
  <sheetViews>
    <sheetView topLeftCell="A7" workbookViewId="0">
      <selection activeCell="B18" sqref="B18:C28"/>
    </sheetView>
  </sheetViews>
  <sheetFormatPr defaultColWidth="9" defaultRowHeight="14.25" outlineLevelCol="6"/>
  <cols>
    <col min="1" max="1" width="14.375" style="44" customWidth="1"/>
    <col min="2" max="2" width="26.875" customWidth="1"/>
    <col min="3" max="3" width="18.875" customWidth="1"/>
    <col min="4" max="4" width="0.5" hidden="1" customWidth="1"/>
    <col min="5" max="6" width="9" hidden="1" customWidth="1"/>
  </cols>
  <sheetData>
    <row r="1" ht="33.75" customHeight="1" spans="1:7">
      <c r="A1" s="3" t="s">
        <v>487</v>
      </c>
      <c r="B1" s="3"/>
      <c r="C1" s="3"/>
      <c r="D1" s="3"/>
      <c r="E1" s="3"/>
      <c r="F1" s="3"/>
      <c r="G1" s="45"/>
    </row>
    <row r="2" ht="20.25" customHeight="1" spans="1:7">
      <c r="A2" s="46"/>
      <c r="B2" s="46"/>
      <c r="C2" t="s">
        <v>486</v>
      </c>
      <c r="G2" s="45"/>
    </row>
    <row r="3" s="43" customFormat="1" ht="31.5" customHeight="1" spans="1:7">
      <c r="A3" t="s">
        <v>482</v>
      </c>
      <c r="B3" t="s">
        <v>77</v>
      </c>
      <c r="C3"/>
      <c r="D3" s="48"/>
      <c r="E3" s="49"/>
      <c r="F3" s="50"/>
      <c r="G3" s="51"/>
    </row>
    <row r="4" s="43" customFormat="1" ht="31.5" customHeight="1" spans="1:7">
      <c r="A4"/>
      <c r="B4" s="7" t="s">
        <v>483</v>
      </c>
      <c r="C4" s="8" t="s">
        <v>484</v>
      </c>
      <c r="D4" s="52"/>
      <c r="E4" s="53"/>
      <c r="F4" s="54"/>
      <c r="G4" s="51"/>
    </row>
    <row r="5" ht="18" customHeight="1" spans="1:7">
      <c r="A5" s="9">
        <v>2016</v>
      </c>
      <c r="B5" s="61"/>
      <c r="C5" s="11"/>
      <c r="D5" s="55"/>
      <c r="E5" s="55"/>
      <c r="F5" s="55"/>
    </row>
    <row r="6" ht="18" customHeight="1" spans="1:7">
      <c r="A6" s="9">
        <v>6</v>
      </c>
      <c r="B6" s="62">
        <f>ROUND(6760206,0)</f>
        <v>6760206</v>
      </c>
      <c r="C6" s="63">
        <f>ROUND(8.8,1)</f>
        <v>8.8</v>
      </c>
      <c r="D6" s="55"/>
      <c r="E6" s="55"/>
      <c r="F6" s="55"/>
    </row>
    <row r="7" ht="18" customHeight="1" spans="1:7">
      <c r="A7" s="9">
        <v>7</v>
      </c>
      <c r="B7" s="62">
        <f>ROUND(7975890,0)</f>
        <v>7975890</v>
      </c>
      <c r="C7" s="63">
        <f>ROUND(9,1)</f>
        <v>9</v>
      </c>
      <c r="D7" s="55"/>
      <c r="E7" s="55"/>
      <c r="F7" s="55"/>
    </row>
    <row r="8" ht="18" customHeight="1" spans="1:7">
      <c r="A8" s="9">
        <v>8</v>
      </c>
      <c r="B8" s="62">
        <f>ROUND(9193702.5,0)</f>
        <v>9193703</v>
      </c>
      <c r="C8" s="63">
        <f>ROUND(8.9,1)</f>
        <v>8.9</v>
      </c>
      <c r="D8" s="55"/>
      <c r="E8" s="55"/>
      <c r="F8" s="55"/>
    </row>
    <row r="9" spans="1:7">
      <c r="A9" s="9">
        <v>9</v>
      </c>
      <c r="B9" s="64">
        <f>ROUND(10457008.3,0)</f>
        <v>10457008</v>
      </c>
      <c r="C9" s="63">
        <f>ROUND(9.3,1)</f>
        <v>9.3</v>
      </c>
    </row>
    <row r="10" spans="1:7">
      <c r="A10" s="9">
        <v>10</v>
      </c>
      <c r="B10" s="64">
        <f>ROUND(11782159.5,0)</f>
        <v>11782160</v>
      </c>
      <c r="C10" s="63">
        <f>ROUND(9.5,1)</f>
        <v>9.5</v>
      </c>
    </row>
    <row r="11" spans="1:7">
      <c r="A11" s="9">
        <v>11</v>
      </c>
      <c r="B11" s="65">
        <f>ROUND(13025842,0)</f>
        <v>13025842</v>
      </c>
      <c r="C11" s="63">
        <f>ROUND(9.4,1)</f>
        <v>9.4</v>
      </c>
    </row>
    <row r="12" ht="15.95" customHeight="1" spans="1:7">
      <c r="A12" s="66">
        <v>12</v>
      </c>
      <c r="B12" s="67">
        <f>ROUND(14329570,0)</f>
        <v>14329570</v>
      </c>
      <c r="C12" s="68">
        <f>ROUND(9.5,1)</f>
        <v>9.5</v>
      </c>
    </row>
    <row r="13" ht="15.95" customHeight="1" spans="1:7">
      <c r="A13" s="66">
        <v>2017</v>
      </c>
      <c r="B13" s="67"/>
      <c r="C13" s="68"/>
    </row>
    <row r="14" ht="15.95" customHeight="1" spans="1:7">
      <c r="A14" s="66">
        <v>2</v>
      </c>
      <c r="B14" s="67">
        <f>ROUND(2520522,0)</f>
        <v>2520522</v>
      </c>
      <c r="C14" s="69">
        <f>ROUND(12,1)</f>
        <v>12</v>
      </c>
    </row>
    <row r="15" ht="15.95" customHeight="1" spans="1:7">
      <c r="A15" s="66">
        <v>3</v>
      </c>
      <c r="B15" s="67">
        <f>ROUND(3755066,0)</f>
        <v>3755066</v>
      </c>
      <c r="C15" s="68">
        <f>ROUND(12.1,1)</f>
        <v>12.1</v>
      </c>
    </row>
    <row r="16" ht="15.95" customHeight="1" spans="1:7">
      <c r="A16" s="66">
        <v>4</v>
      </c>
      <c r="B16" s="67">
        <f>ROUND(4968495,0)</f>
        <v>4968495</v>
      </c>
      <c r="C16" s="68">
        <f>ROUND(11.8,1)</f>
        <v>11.8</v>
      </c>
    </row>
    <row r="17" ht="15.95" customHeight="1" spans="1:3">
      <c r="A17" s="66">
        <v>5</v>
      </c>
      <c r="B17" s="67">
        <f>ROUND(6247711,0)</f>
        <v>6247711</v>
      </c>
      <c r="C17" s="68">
        <f>ROUND(11.5,1)</f>
        <v>11.5</v>
      </c>
    </row>
    <row r="18" ht="15.95" customHeight="1" spans="1:3">
      <c r="A18" s="66">
        <v>6</v>
      </c>
      <c r="B18" s="67">
        <f>ROUND(7543984,0)</f>
        <v>7543984</v>
      </c>
      <c r="C18" s="68">
        <f>ROUND(11.1,1)</f>
        <v>11.1</v>
      </c>
    </row>
    <row r="19" ht="15.95" customHeight="1" spans="1:3">
      <c r="A19" s="66">
        <v>7</v>
      </c>
      <c r="B19" s="67">
        <f>ROUND(8865132,0)</f>
        <v>8865132</v>
      </c>
      <c r="C19" s="68">
        <f>ROUND(10.8,1)</f>
        <v>10.8</v>
      </c>
    </row>
    <row r="20" ht="15.95" customHeight="1" spans="1:3">
      <c r="A20" s="70">
        <v>8</v>
      </c>
      <c r="B20" s="71">
        <f>ROUND(10165674.4,0)</f>
        <v>10165674</v>
      </c>
      <c r="C20" s="72">
        <f>ROUND(10.2,1)</f>
        <v>10.2</v>
      </c>
    </row>
    <row r="21" spans="1:3">
      <c r="A21" s="66">
        <v>9</v>
      </c>
      <c r="B21" s="71">
        <f>ROUND(11558876.6,0)</f>
        <v>11558877</v>
      </c>
      <c r="C21" s="72">
        <f>ROUND(10.2,1)</f>
        <v>10.2</v>
      </c>
    </row>
    <row r="22" spans="1:3">
      <c r="A22" s="66">
        <v>10</v>
      </c>
      <c r="B22" s="71">
        <f>ROUND(12962204,0)</f>
        <v>12962204</v>
      </c>
      <c r="C22" s="72">
        <f>ROUND(10.2,1)</f>
        <v>10.2</v>
      </c>
    </row>
    <row r="23" spans="1:3">
      <c r="A23" s="66">
        <v>11</v>
      </c>
      <c r="B23" s="71">
        <f>ROUND(14339244.7,0)</f>
        <v>14339245</v>
      </c>
      <c r="C23" s="73">
        <f>ROUND(10.1873510322444,1)</f>
        <v>10.2</v>
      </c>
    </row>
    <row r="24" spans="1:3">
      <c r="A24" s="66">
        <v>12</v>
      </c>
      <c r="B24" s="71">
        <f>ROUND(15780801.9,0)</f>
        <v>15780802</v>
      </c>
      <c r="C24" s="73">
        <f>ROUND(10.1275297129633,1)</f>
        <v>10.1</v>
      </c>
    </row>
    <row r="25" spans="1:3">
      <c r="A25" s="15">
        <v>2018</v>
      </c>
      <c r="B25" s="16"/>
      <c r="C25" s="17"/>
    </row>
    <row r="26" spans="1:3">
      <c r="A26" s="15">
        <v>2</v>
      </c>
      <c r="B26" s="74">
        <f>ROUND(2761961.2,0)</f>
        <v>2761961</v>
      </c>
      <c r="C26" s="17">
        <f>ROUND(10.1,1)</f>
        <v>10.1</v>
      </c>
    </row>
    <row r="27" spans="1:3">
      <c r="A27" s="15">
        <v>3</v>
      </c>
      <c r="B27" s="74">
        <f>ROUND(4120562.9,0)</f>
        <v>4120563</v>
      </c>
      <c r="C27" s="17">
        <f>ROUND(10.1,1)</f>
        <v>10.1</v>
      </c>
    </row>
    <row r="28" spans="1:3">
      <c r="A28" s="15">
        <v>4</v>
      </c>
      <c r="B28" s="74">
        <f>ROUND(5462840,0)</f>
        <v>5462840</v>
      </c>
      <c r="C28" s="17">
        <f>ROUND(10.1,1)</f>
        <v>10.1</v>
      </c>
    </row>
    <row r="29" spans="1:3">
      <c r="A29" s="15">
        <v>5</v>
      </c>
      <c r="B29" s="74">
        <v>6829174</v>
      </c>
      <c r="C29" s="21">
        <v>10</v>
      </c>
    </row>
    <row r="30" spans="1:3">
      <c r="A30" s="22">
        <v>6</v>
      </c>
      <c r="B30" s="75">
        <v>8214416</v>
      </c>
      <c r="C30" s="76">
        <v>10</v>
      </c>
    </row>
  </sheetData>
  <mergeCells count="4">
    <mergeCell ref="A1:F1"/>
    <mergeCell ref="C2:F2"/>
    <mergeCell ref="B3:C3"/>
    <mergeCell ref="A3:A4"/>
  </mergeCells>
  <pageMargins left="0.75" right="0.75" top="1" bottom="1" header="0.5" footer="0.5"/>
  <pageSetup paperSize="9" orientation="portrait"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H32"/>
  <sheetViews>
    <sheetView workbookViewId="0">
      <selection activeCell="B18" sqref="B18:C28"/>
    </sheetView>
  </sheetViews>
  <sheetFormatPr defaultColWidth="9" defaultRowHeight="14.25" outlineLevelCol="7"/>
  <cols>
    <col min="1" max="1" width="14.375" style="44" customWidth="1"/>
    <col min="2" max="2" width="26.875" customWidth="1"/>
    <col min="3" max="3" width="18.875" customWidth="1"/>
    <col min="4" max="4" width="0.5" hidden="1" customWidth="1"/>
    <col min="5" max="6" width="9" hidden="1" customWidth="1"/>
  </cols>
  <sheetData>
    <row r="1" ht="33.75" customHeight="1" spans="1:8">
      <c r="A1" s="3" t="s">
        <v>488</v>
      </c>
      <c r="B1" s="3"/>
      <c r="C1" s="3"/>
      <c r="D1" s="3"/>
      <c r="E1" s="3"/>
      <c r="F1" s="3"/>
      <c r="G1" s="45"/>
    </row>
    <row r="2" ht="20.25" customHeight="1" spans="1:8">
      <c r="A2" s="46"/>
      <c r="C2" s="47" t="s">
        <v>489</v>
      </c>
      <c r="D2" s="47"/>
      <c r="E2" s="47"/>
      <c r="F2" s="47"/>
      <c r="G2" s="47"/>
      <c r="H2" s="47"/>
    </row>
    <row r="3" s="43" customFormat="1" ht="31.5" customHeight="1" spans="1:8">
      <c r="A3" t="s">
        <v>482</v>
      </c>
      <c r="B3" t="s">
        <v>490</v>
      </c>
      <c r="C3"/>
      <c r="D3" s="48"/>
      <c r="E3" s="49"/>
      <c r="F3" s="50"/>
      <c r="G3" s="51"/>
    </row>
    <row r="4" s="43" customFormat="1" ht="31.5" customHeight="1" spans="1:8">
      <c r="A4"/>
      <c r="B4" s="7" t="s">
        <v>483</v>
      </c>
      <c r="C4" s="8" t="s">
        <v>484</v>
      </c>
      <c r="D4" s="52"/>
      <c r="E4" s="53"/>
      <c r="F4" s="54"/>
      <c r="G4" s="51"/>
    </row>
    <row r="5" ht="18" customHeight="1" spans="1:8">
      <c r="A5" s="9">
        <v>2016</v>
      </c>
      <c r="B5" s="27"/>
      <c r="C5" s="11"/>
      <c r="D5" s="55"/>
      <c r="E5" s="55"/>
      <c r="F5" s="55"/>
      <c r="H5" t="s">
        <v>254</v>
      </c>
    </row>
    <row r="6" ht="18" customHeight="1" spans="1:8">
      <c r="A6" s="9">
        <v>5</v>
      </c>
      <c r="B6" s="27">
        <f>ROUND(651964,0)</f>
        <v>651964</v>
      </c>
      <c r="C6" s="56">
        <f>ROUND(4.3,1)</f>
        <v>4.3</v>
      </c>
      <c r="D6" s="55"/>
      <c r="E6" s="55"/>
      <c r="F6" s="55"/>
    </row>
    <row r="7" ht="18" customHeight="1" spans="1:8">
      <c r="A7" s="9">
        <v>6</v>
      </c>
      <c r="B7" s="27">
        <f>ROUND(780476,0)</f>
        <v>780476</v>
      </c>
      <c r="C7" s="11">
        <f>ROUND(-3.8,1)</f>
        <v>-3.8</v>
      </c>
      <c r="D7" s="55"/>
      <c r="E7" s="55"/>
      <c r="F7" s="55"/>
    </row>
    <row r="8" ht="18" customHeight="1" spans="1:8">
      <c r="A8" s="9">
        <v>7</v>
      </c>
      <c r="B8" s="27">
        <f>ROUND(922333.1019,0)</f>
        <v>922333</v>
      </c>
      <c r="C8" s="11">
        <f>ROUND(-3.98796758100968,1)</f>
        <v>-4</v>
      </c>
      <c r="D8" s="55"/>
      <c r="E8" s="55"/>
      <c r="F8" s="55"/>
    </row>
    <row r="9" spans="1:8">
      <c r="A9" s="9">
        <v>8</v>
      </c>
      <c r="B9" s="27">
        <f>ROUND(1118014,0)</f>
        <v>1118014</v>
      </c>
      <c r="C9" s="11">
        <f>ROUND(2.07,1)</f>
        <v>2.1</v>
      </c>
    </row>
    <row r="10" spans="1:8">
      <c r="A10" s="9">
        <v>9</v>
      </c>
      <c r="B10" s="27">
        <f>ROUND(1355582.6735,0)</f>
        <v>1355583</v>
      </c>
      <c r="C10" s="11">
        <f>ROUND(10.8909650955423,1)</f>
        <v>10.9</v>
      </c>
    </row>
    <row r="11" spans="1:8">
      <c r="A11" s="9">
        <v>10</v>
      </c>
      <c r="B11" s="27">
        <f>ROUND(1530438,0)</f>
        <v>1530438</v>
      </c>
      <c r="C11" s="11">
        <f>ROUND(12,1)</f>
        <v>12</v>
      </c>
    </row>
    <row r="12" spans="1:8">
      <c r="A12" s="57">
        <v>11</v>
      </c>
      <c r="B12" s="27">
        <f>ROUND(1711506,0)</f>
        <v>1711506</v>
      </c>
      <c r="C12" s="11">
        <f>ROUND(14,1)</f>
        <v>14</v>
      </c>
    </row>
    <row r="13" spans="1:8">
      <c r="A13" s="57">
        <v>12</v>
      </c>
      <c r="B13" s="27">
        <f>ROUND(1947922,0)</f>
        <v>1947922</v>
      </c>
      <c r="C13" s="11">
        <f>ROUND(11.8,1)</f>
        <v>11.8</v>
      </c>
    </row>
    <row r="14" spans="1:8">
      <c r="A14" s="57">
        <v>2017</v>
      </c>
      <c r="B14" s="27"/>
      <c r="C14" s="11"/>
    </row>
    <row r="15" spans="1:8">
      <c r="A15" s="57">
        <v>1</v>
      </c>
      <c r="B15" s="27">
        <f>ROUND(181359,0)</f>
        <v>181359</v>
      </c>
      <c r="C15" s="11">
        <f>ROUND(-7.6,1)</f>
        <v>-7.6</v>
      </c>
    </row>
    <row r="16" spans="1:8">
      <c r="A16" s="57">
        <v>2</v>
      </c>
      <c r="B16" s="27">
        <f>ROUND(241658,0)</f>
        <v>241658</v>
      </c>
      <c r="C16" s="11">
        <f>ROUND(-11.38,1)</f>
        <v>-11.4</v>
      </c>
    </row>
    <row r="17" spans="1:3">
      <c r="A17" s="57">
        <v>3</v>
      </c>
      <c r="B17" s="27">
        <f>ROUND(415528,0)</f>
        <v>415528</v>
      </c>
      <c r="C17" s="11">
        <f>ROUND(13.9,1)</f>
        <v>13.9</v>
      </c>
    </row>
    <row r="18" spans="1:3">
      <c r="A18" s="57">
        <v>4</v>
      </c>
      <c r="B18" s="27">
        <f>ROUND(594563,0)</f>
        <v>594563</v>
      </c>
      <c r="C18" s="11">
        <f>ROUND(22.2,1)</f>
        <v>22.2</v>
      </c>
    </row>
    <row r="19" spans="1:3">
      <c r="A19" s="57">
        <v>5</v>
      </c>
      <c r="B19" s="27">
        <f>ROUND(815811,0)</f>
        <v>815811</v>
      </c>
      <c r="C19" s="11">
        <f>ROUND(28.7,1)</f>
        <v>28.7</v>
      </c>
    </row>
    <row r="20" spans="1:3">
      <c r="A20" s="57">
        <v>6</v>
      </c>
      <c r="B20" s="27">
        <f>ROUND(1006074,0)</f>
        <v>1006074</v>
      </c>
      <c r="C20" s="11">
        <f>ROUND(32,1)</f>
        <v>32</v>
      </c>
    </row>
    <row r="21" spans="1:3">
      <c r="A21" s="57">
        <v>7</v>
      </c>
      <c r="B21" s="40">
        <f>ROUND(1228741,0)</f>
        <v>1228741</v>
      </c>
      <c r="C21" s="14">
        <f>ROUND(35.9,1)</f>
        <v>35.9</v>
      </c>
    </row>
    <row r="22" spans="1:3">
      <c r="A22" s="57">
        <v>8</v>
      </c>
      <c r="B22" s="40">
        <v>1411285</v>
      </c>
      <c r="C22" s="14">
        <v>28.3</v>
      </c>
    </row>
    <row r="23" spans="1:3">
      <c r="A23" s="57">
        <v>9</v>
      </c>
      <c r="B23" s="40">
        <f>ROUND(1593063,0)</f>
        <v>1593063</v>
      </c>
      <c r="C23" s="14">
        <f>ROUND(19.1,1)</f>
        <v>19.1</v>
      </c>
    </row>
    <row r="24" spans="1:3">
      <c r="A24" s="57">
        <v>10</v>
      </c>
      <c r="B24" s="40">
        <f>ROUND(1750486,0)</f>
        <v>1750486</v>
      </c>
      <c r="C24" s="14">
        <f>ROUND(15.7303,1)</f>
        <v>15.7</v>
      </c>
    </row>
    <row r="25" spans="1:3">
      <c r="A25" s="57">
        <v>11</v>
      </c>
      <c r="B25" s="40">
        <f>ROUND(1923410,0)</f>
        <v>1923410</v>
      </c>
      <c r="C25" s="14">
        <f>ROUND(12.4106,1)</f>
        <v>12.4</v>
      </c>
    </row>
    <row r="26" spans="1:3">
      <c r="A26" s="57">
        <v>12</v>
      </c>
      <c r="B26" s="40">
        <f>ROUND(2170709.6623,0)</f>
        <v>2170710</v>
      </c>
      <c r="C26" s="14">
        <f>ROUND(11.4496,1)</f>
        <v>11.4</v>
      </c>
    </row>
    <row r="27" spans="1:3">
      <c r="A27" s="15">
        <v>2018</v>
      </c>
      <c r="B27" s="16"/>
      <c r="C27" s="17"/>
    </row>
    <row r="28" spans="1:3">
      <c r="A28" s="15">
        <v>1</v>
      </c>
      <c r="B28" s="40">
        <f>ROUND(245060.5487,0)</f>
        <v>245061</v>
      </c>
      <c r="C28" s="14">
        <f>ROUND(-9.2749,1)</f>
        <v>-9.3</v>
      </c>
    </row>
    <row r="29" spans="1:3">
      <c r="A29" s="15">
        <v>2</v>
      </c>
      <c r="B29" s="40">
        <f>ROUND(254273.584,0)</f>
        <v>254274</v>
      </c>
      <c r="C29" s="14">
        <f>ROUND(5.1148,1)</f>
        <v>5.1</v>
      </c>
    </row>
    <row r="30" spans="1:3">
      <c r="A30" s="15">
        <v>3</v>
      </c>
      <c r="B30" s="40">
        <f>ROUND(368490,0)</f>
        <v>368490</v>
      </c>
      <c r="C30" s="58">
        <f>ROUND(-11.4,1)</f>
        <v>-11.4</v>
      </c>
    </row>
    <row r="31" spans="1:3">
      <c r="A31" s="15">
        <v>4</v>
      </c>
      <c r="B31" s="40">
        <v>498314.2314</v>
      </c>
      <c r="C31" s="58">
        <v>-16.2432</v>
      </c>
    </row>
    <row r="32" spans="1:3">
      <c r="A32" s="22">
        <v>5</v>
      </c>
      <c r="B32" s="59">
        <v>696319</v>
      </c>
      <c r="C32" s="60">
        <v>-14.7</v>
      </c>
    </row>
  </sheetData>
  <mergeCells count="3">
    <mergeCell ref="A1:F1"/>
    <mergeCell ref="B3:C3"/>
    <mergeCell ref="A3:A4"/>
  </mergeCells>
  <pageMargins left="0.75" right="0.75" top="1" bottom="1" header="0.5" footer="0.5"/>
  <pageSetup paperSize="9" orientation="portrait"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1"/>
  <sheetViews>
    <sheetView topLeftCell="A7"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ht="24" spans="1:3">
      <c r="A1" s="39" t="s">
        <v>491</v>
      </c>
      <c r="B1" s="39"/>
      <c r="C1" s="39"/>
    </row>
    <row r="2" ht="24.75" spans="1:3">
      <c r="A2" s="25"/>
      <c r="B2" s="25"/>
      <c r="C2" s="26" t="s">
        <v>486</v>
      </c>
    </row>
    <row r="3" ht="32.1" customHeight="1" spans="1:3">
      <c r="A3" t="s">
        <v>482</v>
      </c>
      <c r="B3" t="s">
        <v>78</v>
      </c>
    </row>
    <row r="4" ht="32.1" customHeight="1" spans="1:3">
      <c r="B4" s="7" t="s">
        <v>483</v>
      </c>
      <c r="C4" s="8" t="s">
        <v>484</v>
      </c>
    </row>
    <row r="5" ht="18" customHeight="1" spans="1:3">
      <c r="A5" s="9">
        <v>2016</v>
      </c>
      <c r="B5" s="27"/>
      <c r="C5" s="11"/>
    </row>
    <row r="6" ht="18" customHeight="1" spans="1:3">
      <c r="A6" s="9">
        <v>6</v>
      </c>
      <c r="B6" s="27">
        <f>ROUND(566175,0)</f>
        <v>566175</v>
      </c>
      <c r="C6" s="11">
        <f>ROUND(5,1)</f>
        <v>5</v>
      </c>
    </row>
    <row r="7" spans="1:3">
      <c r="A7" s="9">
        <v>7</v>
      </c>
      <c r="B7" s="27">
        <f>ROUND(663904,0)</f>
        <v>663904</v>
      </c>
      <c r="C7" s="11">
        <f>ROUND(7.7,1)</f>
        <v>7.7</v>
      </c>
    </row>
    <row r="8" spans="1:3">
      <c r="A8" s="9">
        <v>8</v>
      </c>
      <c r="B8" s="27">
        <f>ROUND(735390,0)</f>
        <v>735390</v>
      </c>
      <c r="C8" s="11">
        <f>ROUND(7.7,1)</f>
        <v>7.7</v>
      </c>
    </row>
    <row r="9" spans="1:3">
      <c r="A9" s="9">
        <v>9</v>
      </c>
      <c r="B9" s="27">
        <f>ROUND(815736,0)</f>
        <v>815736</v>
      </c>
      <c r="C9" s="29">
        <f>ROUND(7.2,1)</f>
        <v>7.2</v>
      </c>
    </row>
    <row r="10" spans="1:3">
      <c r="A10" s="9">
        <v>10</v>
      </c>
      <c r="B10" s="27">
        <f>ROUND(894414,0)</f>
        <v>894414</v>
      </c>
      <c r="C10" s="29">
        <f>ROUND(7.36088408731323,1)</f>
        <v>7.4</v>
      </c>
    </row>
    <row r="11" spans="1:3">
      <c r="A11" s="9">
        <v>11</v>
      </c>
      <c r="B11" s="27">
        <f>ROUND(966337,0)</f>
        <v>966337</v>
      </c>
      <c r="C11" s="30">
        <f>ROUND(3.8,1)</f>
        <v>3.8</v>
      </c>
    </row>
    <row r="12" spans="1:3">
      <c r="A12" s="9">
        <v>12</v>
      </c>
      <c r="B12" s="27">
        <f>ROUND(1129375,0)</f>
        <v>1129375</v>
      </c>
      <c r="C12" s="30">
        <f>ROUND(-4.8,1)</f>
        <v>-4.8</v>
      </c>
    </row>
    <row r="13" spans="1:3">
      <c r="A13" s="9">
        <v>2017</v>
      </c>
      <c r="B13" s="27"/>
      <c r="C13" s="30"/>
    </row>
    <row r="14" spans="1:3">
      <c r="A14" s="9">
        <v>2</v>
      </c>
      <c r="B14" s="27">
        <f>ROUND(168865,0)</f>
        <v>168865</v>
      </c>
      <c r="C14" s="30">
        <f>ROUND(21.3,1)</f>
        <v>21.3</v>
      </c>
    </row>
    <row r="15" spans="1:3">
      <c r="A15" s="9">
        <v>3</v>
      </c>
      <c r="B15" s="27">
        <f>ROUND(248142,0)</f>
        <v>248142</v>
      </c>
      <c r="C15" s="30">
        <f>ROUND(15.8466028595928,1)</f>
        <v>15.8</v>
      </c>
    </row>
    <row r="16" spans="1:3">
      <c r="A16" s="9">
        <v>4</v>
      </c>
      <c r="B16" s="27">
        <f>ROUND(325815,0)</f>
        <v>325815</v>
      </c>
      <c r="C16" s="30">
        <v>7.38333558548909</v>
      </c>
    </row>
    <row r="17" spans="1:3">
      <c r="A17" s="9">
        <v>5</v>
      </c>
      <c r="B17" s="27">
        <f>ROUND(401635,0)</f>
        <v>401635</v>
      </c>
      <c r="C17" s="30">
        <f>ROUND(2.1,1)</f>
        <v>2.1</v>
      </c>
    </row>
    <row r="18" spans="1:3">
      <c r="A18" s="9">
        <v>6</v>
      </c>
      <c r="B18" s="27">
        <f>ROUND(583819,0)</f>
        <v>583819</v>
      </c>
      <c r="C18" s="30">
        <f>ROUND(6.8,1)</f>
        <v>6.8</v>
      </c>
    </row>
    <row r="19" spans="1:3">
      <c r="A19" s="9">
        <v>7</v>
      </c>
      <c r="B19" s="27">
        <f>ROUND(672492,0)</f>
        <v>672492</v>
      </c>
      <c r="C19" s="30">
        <f>ROUND(4.4,1)</f>
        <v>4.4</v>
      </c>
    </row>
    <row r="20" spans="1:3">
      <c r="A20" s="31">
        <v>8</v>
      </c>
      <c r="B20" s="27">
        <f>ROUND(745911,0)</f>
        <v>745911</v>
      </c>
      <c r="C20" s="32">
        <f>ROUND(4.2,1)</f>
        <v>4.2</v>
      </c>
    </row>
    <row r="21" spans="1:3">
      <c r="A21" s="31">
        <v>9</v>
      </c>
      <c r="B21" s="27">
        <f>ROUND(869421,0)</f>
        <v>869421</v>
      </c>
      <c r="C21" s="32">
        <f>ROUND(9.22031343236707,1)</f>
        <v>9.2</v>
      </c>
    </row>
    <row r="22" spans="1:3">
      <c r="A22" s="15">
        <v>10</v>
      </c>
      <c r="B22" s="40">
        <f>ROUND(1196191,0)</f>
        <v>1196191</v>
      </c>
      <c r="C22" s="17">
        <f>ROUND(36.8,1)</f>
        <v>36.8</v>
      </c>
    </row>
    <row r="23" spans="1:3">
      <c r="A23" s="15">
        <v>11</v>
      </c>
      <c r="B23" s="40">
        <f>ROUND(1260850,0)</f>
        <v>1260850</v>
      </c>
      <c r="C23" s="34">
        <f>ROUND(32.3884093336007,1)</f>
        <v>32.4</v>
      </c>
    </row>
    <row r="24" spans="1:3">
      <c r="A24" s="15">
        <v>12</v>
      </c>
      <c r="B24" s="40">
        <f>ROUND(1349958,0)</f>
        <v>1349958</v>
      </c>
      <c r="C24" s="34">
        <f>ROUND(21.0263352533788,1)</f>
        <v>21</v>
      </c>
    </row>
    <row r="25" spans="1:3">
      <c r="A25" s="15">
        <v>2018</v>
      </c>
      <c r="B25" s="16"/>
      <c r="C25" s="17"/>
    </row>
    <row r="26" spans="1:3">
      <c r="A26" s="15">
        <v>1</v>
      </c>
      <c r="B26" s="16">
        <f>ROUND(131471,0)</f>
        <v>131471</v>
      </c>
      <c r="C26" s="34">
        <f>ROUND(33.4500644558807,1)</f>
        <v>33.5</v>
      </c>
    </row>
    <row r="27" spans="1:3">
      <c r="A27" s="15">
        <v>2</v>
      </c>
      <c r="B27" s="16">
        <f>ROUND(222479,0)</f>
        <v>222479</v>
      </c>
      <c r="C27" s="34">
        <f>ROUND(31.7496224794955,1)</f>
        <v>31.7</v>
      </c>
    </row>
    <row r="28" spans="1:3">
      <c r="A28" s="15">
        <v>3</v>
      </c>
      <c r="B28" s="16">
        <f>ROUND(302572,0)</f>
        <v>302572</v>
      </c>
      <c r="C28" s="34">
        <f>ROUND(21.9350210766416,1)</f>
        <v>21.9</v>
      </c>
    </row>
    <row r="29" spans="1:3">
      <c r="A29" s="15">
        <v>4</v>
      </c>
      <c r="B29" s="41">
        <f>ROUND(403634,0)</f>
        <v>403634</v>
      </c>
      <c r="C29" s="21">
        <f>ROUND(23.9,1)</f>
        <v>23.9</v>
      </c>
    </row>
    <row r="30" spans="1:3">
      <c r="A30" s="15">
        <v>5</v>
      </c>
      <c r="B30" s="41">
        <v>499011</v>
      </c>
      <c r="C30" s="21">
        <v>24.2448989754379</v>
      </c>
    </row>
    <row r="31" spans="1:3">
      <c r="A31" s="22">
        <v>6</v>
      </c>
      <c r="B31" s="42">
        <v>647923</v>
      </c>
      <c r="C31" s="24">
        <v>11</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C30"/>
  <sheetViews>
    <sheetView workbookViewId="0">
      <selection activeCell="B18" sqref="B18:C28"/>
    </sheetView>
  </sheetViews>
  <sheetFormatPr defaultColWidth="9" defaultRowHeight="14.25" outlineLevelCol="2"/>
  <cols>
    <col min="1" max="1" width="14.375" customWidth="1"/>
    <col min="2" max="2" width="26.875" customWidth="1"/>
    <col min="3" max="3" width="18.875" customWidth="1"/>
  </cols>
  <sheetData>
    <row r="1" spans="1:3">
      <c r="A1" t="s">
        <v>492</v>
      </c>
    </row>
    <row r="2" ht="24.75" spans="1:3">
      <c r="A2" s="25"/>
      <c r="B2" s="25"/>
      <c r="C2" s="26" t="s">
        <v>493</v>
      </c>
    </row>
    <row r="3" ht="32.1" customHeight="1" spans="1:3">
      <c r="A3" t="s">
        <v>482</v>
      </c>
      <c r="B3" t="s">
        <v>494</v>
      </c>
    </row>
    <row r="4" ht="32.1" customHeight="1" spans="1:3">
      <c r="B4" s="7" t="s">
        <v>483</v>
      </c>
      <c r="C4" s="8" t="s">
        <v>484</v>
      </c>
    </row>
    <row r="5" ht="18" customHeight="1" spans="1:3">
      <c r="A5" s="9">
        <v>2016</v>
      </c>
      <c r="B5" s="27"/>
      <c r="C5" s="11"/>
    </row>
    <row r="6" ht="18" customHeight="1" spans="1:3">
      <c r="A6" s="9">
        <v>6</v>
      </c>
      <c r="B6" s="28">
        <f>ROUND(38.78,2)</f>
        <v>38.78</v>
      </c>
      <c r="C6" s="11">
        <f>ROUND(31.4,1)</f>
        <v>31.4</v>
      </c>
    </row>
    <row r="7" spans="1:3">
      <c r="A7" s="9">
        <v>7</v>
      </c>
      <c r="B7" s="28">
        <f>ROUND(49.38,2)</f>
        <v>49.38</v>
      </c>
      <c r="C7" s="11">
        <f>ROUND(44.3,1)</f>
        <v>44.3</v>
      </c>
    </row>
    <row r="8" spans="1:3">
      <c r="A8" s="9">
        <v>8</v>
      </c>
      <c r="B8" s="28">
        <f>ROUND(56,2)</f>
        <v>56</v>
      </c>
      <c r="C8" s="11">
        <f>ROUND(41.9,1)</f>
        <v>41.9</v>
      </c>
    </row>
    <row r="9" spans="1:3">
      <c r="A9" s="9">
        <v>9</v>
      </c>
      <c r="B9" s="28">
        <f>ROUND(64.1,2)</f>
        <v>64.1</v>
      </c>
      <c r="C9" s="29">
        <f>ROUND(44.1,1)</f>
        <v>44.1</v>
      </c>
    </row>
    <row r="10" spans="1:3">
      <c r="A10" s="9">
        <v>10</v>
      </c>
      <c r="B10" s="28">
        <f>ROUND(72.32,2)</f>
        <v>72.32</v>
      </c>
      <c r="C10" s="29">
        <f>ROUND(47.3,1)</f>
        <v>47.3</v>
      </c>
    </row>
    <row r="11" spans="1:3">
      <c r="A11" s="9">
        <v>11</v>
      </c>
      <c r="B11" s="28">
        <f>ROUND(80.75,2)</f>
        <v>80.75</v>
      </c>
      <c r="C11" s="30">
        <f>ROUND(52,1)</f>
        <v>52</v>
      </c>
    </row>
    <row r="12" spans="1:3">
      <c r="A12" s="9">
        <v>12</v>
      </c>
      <c r="B12" s="28">
        <f>ROUND(89.4,2)</f>
        <v>89.4</v>
      </c>
      <c r="C12" s="30">
        <f>ROUND(52.9,1)</f>
        <v>52.9</v>
      </c>
    </row>
    <row r="13" spans="1:3">
      <c r="A13" s="9">
        <v>2017</v>
      </c>
      <c r="B13" s="28"/>
      <c r="C13" s="30"/>
    </row>
    <row r="14" spans="1:3">
      <c r="A14" s="9">
        <v>2</v>
      </c>
      <c r="B14" s="28">
        <f>ROUND(19.95,2)</f>
        <v>19.95</v>
      </c>
      <c r="C14" s="30">
        <f>ROUND(49.7,1)</f>
        <v>49.7</v>
      </c>
    </row>
    <row r="15" spans="1:3">
      <c r="A15" s="9">
        <v>3</v>
      </c>
      <c r="B15" s="28">
        <f>ROUND(25.02,2)</f>
        <v>25.02</v>
      </c>
      <c r="C15" s="30">
        <f>ROUND(66.7,1)</f>
        <v>66.7</v>
      </c>
    </row>
    <row r="16" spans="1:3">
      <c r="A16" s="9">
        <v>4</v>
      </c>
      <c r="B16" s="28">
        <f>ROUND(34.86,2)</f>
        <v>34.86</v>
      </c>
      <c r="C16" s="30">
        <f>ROUND(55.8,1)</f>
        <v>55.8</v>
      </c>
    </row>
    <row r="17" spans="1:3">
      <c r="A17" s="9">
        <v>5</v>
      </c>
      <c r="B17" s="28">
        <f>ROUND(44.18,2)</f>
        <v>44.18</v>
      </c>
      <c r="C17" s="30">
        <f>ROUND(47.1,1)</f>
        <v>47.1</v>
      </c>
    </row>
    <row r="18" spans="1:3">
      <c r="A18" s="9">
        <v>6</v>
      </c>
      <c r="B18" s="28">
        <f>ROUND(54.94,2)</f>
        <v>54.94</v>
      </c>
      <c r="C18" s="30">
        <f>ROUND(41.7,1)</f>
        <v>41.7</v>
      </c>
    </row>
    <row r="19" spans="1:3">
      <c r="A19" s="9">
        <v>7</v>
      </c>
      <c r="B19" s="28">
        <f>ROUND(64.67,2)</f>
        <v>64.67</v>
      </c>
      <c r="C19" s="30">
        <f>ROUND(35.8,1)</f>
        <v>35.8</v>
      </c>
    </row>
    <row r="20" spans="1:3">
      <c r="A20" s="31">
        <v>8</v>
      </c>
      <c r="B20" s="28">
        <f>ROUND(75.46,2)</f>
        <v>75.46</v>
      </c>
      <c r="C20" s="32">
        <f>ROUND(34.8,1)</f>
        <v>34.8</v>
      </c>
    </row>
    <row r="21" spans="1:3">
      <c r="A21" s="31">
        <v>9</v>
      </c>
      <c r="B21" s="28">
        <f>ROUND(85.67,2)</f>
        <v>85.67</v>
      </c>
      <c r="C21" s="32">
        <f>ROUND(33.7,1)</f>
        <v>33.7</v>
      </c>
    </row>
    <row r="22" spans="1:3">
      <c r="A22" s="15">
        <v>10</v>
      </c>
      <c r="B22" s="33">
        <f>ROUND(93.88,2)</f>
        <v>93.88</v>
      </c>
      <c r="C22" s="17">
        <f>ROUND(29.8,1)</f>
        <v>29.8</v>
      </c>
    </row>
    <row r="23" spans="1:3">
      <c r="A23" s="15">
        <v>11</v>
      </c>
      <c r="B23" s="33">
        <f>ROUND(102.83,2)</f>
        <v>102.83</v>
      </c>
      <c r="C23" s="34">
        <f>ROUND(27.4,1)</f>
        <v>27.4</v>
      </c>
    </row>
    <row r="24" spans="1:3">
      <c r="A24" s="15">
        <v>12</v>
      </c>
      <c r="B24" s="33">
        <f>ROUND(112.45,2)</f>
        <v>112.45</v>
      </c>
      <c r="C24" s="34">
        <f>ROUND(25.8,1)</f>
        <v>25.8</v>
      </c>
    </row>
    <row r="25" spans="1:3">
      <c r="A25" s="15">
        <v>2018</v>
      </c>
      <c r="B25" s="35"/>
      <c r="C25" s="17"/>
    </row>
    <row r="26" spans="1:3">
      <c r="A26" s="15">
        <v>2</v>
      </c>
      <c r="B26" s="35">
        <f>ROUND(17.26707351,2)</f>
        <v>17.27</v>
      </c>
      <c r="C26" s="34">
        <f>ROUND(6.31,1)</f>
        <v>6.3</v>
      </c>
    </row>
    <row r="27" spans="1:3">
      <c r="A27" s="15">
        <v>3</v>
      </c>
      <c r="B27" s="35">
        <f>ROUND(26.96,2)</f>
        <v>26.96</v>
      </c>
      <c r="C27" s="34">
        <f>ROUND(6.1,1)</f>
        <v>6.1</v>
      </c>
    </row>
    <row r="28" spans="1:3">
      <c r="A28" s="15">
        <v>4</v>
      </c>
      <c r="B28" s="28">
        <f>ROUND(374489.7976/10000,2)</f>
        <v>37.45</v>
      </c>
      <c r="C28" s="36">
        <f>ROUND(5.86,1)</f>
        <v>5.9</v>
      </c>
    </row>
    <row r="29" spans="1:3">
      <c r="A29" s="15">
        <v>5</v>
      </c>
      <c r="B29" s="28">
        <v>48.08</v>
      </c>
      <c r="C29" s="36">
        <v>9.1</v>
      </c>
    </row>
    <row r="30" spans="1:3">
      <c r="A30" s="22">
        <v>6</v>
      </c>
      <c r="B30" s="37">
        <v>58.99</v>
      </c>
      <c r="C30" s="38">
        <v>8.9</v>
      </c>
    </row>
  </sheetData>
  <mergeCells count="3">
    <mergeCell ref="A1:C1"/>
    <mergeCell ref="B3:C3"/>
    <mergeCell ref="A3:A4"/>
  </mergeCells>
  <printOptions horizontalCentered="1"/>
  <pageMargins left="0.75" right="0.75" top="0.98" bottom="0.98" header="0.51" footer="0.51"/>
  <pageSetup paperSize="9" orientation="portrait" horizontalDpi="600"/>
  <headerFooter alignWithMargins="0" scaleWithDoc="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V31"/>
  <sheetViews>
    <sheetView topLeftCell="A10" workbookViewId="0">
      <selection activeCell="B18" sqref="B18:C28"/>
    </sheetView>
  </sheetViews>
  <sheetFormatPr defaultColWidth="9" defaultRowHeight="12.75"/>
  <cols>
    <col min="1" max="1" width="14.125" style="2" customWidth="1"/>
    <col min="2" max="2" width="21.375" style="2" customWidth="1"/>
    <col min="3" max="3" width="17.375" style="2" customWidth="1"/>
    <col min="4" max="16384" width="9" style="2"/>
  </cols>
  <sheetData>
    <row r="1" ht="24" customHeight="1" spans="1:256">
      <c r="A1" s="3" t="s">
        <v>399</v>
      </c>
      <c r="B1" s="3"/>
      <c r="C1" s="3"/>
    </row>
    <row r="2" ht="24" customHeight="1" spans="1:256">
      <c r="A2" s="4"/>
      <c r="B2" s="5"/>
      <c r="C2" s="6" t="s">
        <v>495</v>
      </c>
    </row>
    <row r="3" s="1" customFormat="1" ht="32.25" customHeight="1" spans="1:256">
      <c r="A3" t="s">
        <v>482</v>
      </c>
      <c r="B3" t="s">
        <v>399</v>
      </c>
      <c r="C3"/>
    </row>
    <row r="4" s="1" customFormat="1" ht="32.25" customHeight="1" spans="1:256">
      <c r="A4">
        <v>2009</v>
      </c>
      <c r="B4" s="7" t="s">
        <v>496</v>
      </c>
      <c r="C4" s="8" t="s">
        <v>497</v>
      </c>
    </row>
    <row r="5" s="1" customFormat="1" ht="20.1" customHeight="1" spans="1:256">
      <c r="A5" s="9">
        <v>2016</v>
      </c>
      <c r="B5" s="10"/>
      <c r="C5" s="11"/>
    </row>
    <row r="6" s="1" customFormat="1" ht="20.1" customHeight="1" spans="1:256">
      <c r="A6" s="9">
        <v>6</v>
      </c>
      <c r="B6" s="10">
        <f>ROUND(102.3,1)</f>
        <v>102.3</v>
      </c>
      <c r="C6" s="11">
        <f>ROUND(102.7,1)</f>
        <v>102.7</v>
      </c>
    </row>
    <row r="7" s="1" customFormat="1" ht="20.1" customHeight="1" spans="1:256">
      <c r="A7" s="9">
        <v>7</v>
      </c>
      <c r="B7" s="10">
        <f>ROUND(102.1,1)</f>
        <v>102.1</v>
      </c>
      <c r="C7" s="11">
        <f>ROUND(102.6,1)</f>
        <v>102.6</v>
      </c>
    </row>
    <row r="8" s="1" customFormat="1" ht="20.1" customHeight="1" spans="1:256">
      <c r="A8" s="9">
        <v>8</v>
      </c>
      <c r="B8" s="10">
        <f>ROUND(101.4,1)</f>
        <v>101.4</v>
      </c>
      <c r="C8" s="11">
        <f>ROUND(102.5,1)</f>
        <v>102.5</v>
      </c>
    </row>
    <row r="9" s="1" customFormat="1" ht="14.45" customHeight="1" spans="1:256">
      <c r="A9" s="9">
        <v>9</v>
      </c>
      <c r="B9" s="10">
        <f>ROUND(101.82067344,1)</f>
        <v>101.8</v>
      </c>
      <c r="C9" s="11">
        <f>ROUND(102.40761463,1)</f>
        <v>102.4</v>
      </c>
    </row>
    <row r="10" s="1" customFormat="1" ht="14.45" customHeight="1" spans="1:256">
      <c r="A10" s="9">
        <v>10</v>
      </c>
      <c r="B10" s="10">
        <f>ROUND(101.32746357,1)</f>
        <v>101.3</v>
      </c>
      <c r="C10" s="11">
        <f>ROUND(102.29864677,1)</f>
        <v>102.3</v>
      </c>
    </row>
    <row r="11" s="1" customFormat="1" ht="14.45" customHeight="1" spans="1:256">
      <c r="A11" s="9">
        <v>11</v>
      </c>
      <c r="B11" s="10">
        <f>ROUND(102.2,1)</f>
        <v>102.2</v>
      </c>
      <c r="C11" s="11">
        <f>ROUND(102.29864677,1)</f>
        <v>102.3</v>
      </c>
    </row>
    <row r="12" ht="14.25" spans="1:256">
      <c r="A12" s="12">
        <v>12</v>
      </c>
      <c r="B12" s="10">
        <f>ROUND(101.4,1)</f>
        <v>101.4</v>
      </c>
      <c r="C12" s="11">
        <f>ROUND(102.2,1)</f>
        <v>102.2</v>
      </c>
    </row>
    <row r="13" ht="14.25" spans="1:256">
      <c r="A13" s="12">
        <v>2017</v>
      </c>
      <c r="B13" s="10"/>
      <c r="C13" s="11"/>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14.25" spans="1:256">
      <c r="A14" s="12">
        <v>2</v>
      </c>
      <c r="B14" s="10">
        <f>ROUND(99.8,1)</f>
        <v>99.8</v>
      </c>
      <c r="C14" s="11">
        <f>ROUND(101.1,1)</f>
        <v>101.1</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14.25" spans="1:256">
      <c r="A15" s="12">
        <v>3</v>
      </c>
      <c r="B15" s="10">
        <f>ROUND(100.57911031,1)</f>
        <v>100.6</v>
      </c>
      <c r="C15" s="11">
        <f>ROUND(100.95612843,1)</f>
        <v>101</v>
      </c>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14.25" spans="1:256">
      <c r="A16" s="12">
        <v>4</v>
      </c>
      <c r="B16" s="10">
        <f>ROUND(101,1)</f>
        <v>101</v>
      </c>
      <c r="C16" s="11">
        <f>ROUND(100.95612843,1)</f>
        <v>101</v>
      </c>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14.25" spans="1:256">
      <c r="A17" s="12">
        <v>5</v>
      </c>
      <c r="B17" s="10">
        <f>ROUND(101.5,1)</f>
        <v>101.5</v>
      </c>
      <c r="C17" s="11">
        <f>ROUND(101.1,1)</f>
        <v>101.1</v>
      </c>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14.25" spans="1:256">
      <c r="A18" s="12">
        <v>6</v>
      </c>
      <c r="B18" s="10">
        <f>ROUND(101.1,1)</f>
        <v>101.1</v>
      </c>
      <c r="C18" s="11">
        <f>ROUND(101.1,1)</f>
        <v>101.1</v>
      </c>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14.25" spans="1:256">
      <c r="A19" s="12">
        <v>7</v>
      </c>
      <c r="B19" s="10">
        <f>ROUND(101.62395255,1)</f>
        <v>101.6</v>
      </c>
      <c r="C19" s="11">
        <f>ROUND(101.16440126,1)</f>
        <v>101.2</v>
      </c>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14.25" spans="1:256">
      <c r="A20" s="13">
        <v>8</v>
      </c>
      <c r="B20" s="10">
        <f>ROUND(101.91687646,1)</f>
        <v>101.9</v>
      </c>
      <c r="C20" s="14">
        <f>ROUND(101.25801138,1)</f>
        <v>101.3</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14.25" spans="1:256">
      <c r="A21" s="12">
        <v>9</v>
      </c>
      <c r="B21" s="10">
        <f>ROUND(101.03765598,1)</f>
        <v>101</v>
      </c>
      <c r="C21" s="14">
        <f>ROUND(101.23346012,1)</f>
        <v>101.2</v>
      </c>
    </row>
    <row r="22" ht="14.25" spans="1:256">
      <c r="A22" s="12">
        <v>10</v>
      </c>
      <c r="B22" s="10">
        <f>ROUND(101.8,1)</f>
        <v>101.8</v>
      </c>
      <c r="C22" s="14">
        <f>ROUND(101.3,1)</f>
        <v>101.3</v>
      </c>
    </row>
    <row r="23" ht="14.25" spans="1:256">
      <c r="A23" s="12">
        <v>11</v>
      </c>
      <c r="B23" s="10">
        <f>ROUND(101.32934401,1)</f>
        <v>101.3</v>
      </c>
      <c r="C23" s="14">
        <f>ROUND(101.29138171,1)</f>
        <v>101.3</v>
      </c>
    </row>
    <row r="24" ht="14.25" spans="1:256">
      <c r="A24" s="12">
        <v>12</v>
      </c>
      <c r="B24" s="10">
        <f>ROUND(101.93633331,1)</f>
        <v>101.9</v>
      </c>
      <c r="C24" s="14">
        <f>ROUND(101.34501843,1)</f>
        <v>101.3</v>
      </c>
    </row>
    <row r="25" ht="14.25" spans="1:256">
      <c r="A25" s="15">
        <v>2018</v>
      </c>
      <c r="B25" s="16"/>
      <c r="C25" s="17"/>
    </row>
    <row r="26" ht="14.25" spans="1:256">
      <c r="A26" s="15">
        <v>1</v>
      </c>
      <c r="B26" s="10">
        <f>ROUND(100.4833835,1)</f>
        <v>100.5</v>
      </c>
      <c r="C26" s="14">
        <f>ROUND(100.4833835,1)</f>
        <v>100.5</v>
      </c>
    </row>
    <row r="27" ht="14.25" spans="1:256">
      <c r="A27" s="15">
        <v>2</v>
      </c>
      <c r="B27" s="18">
        <f>ROUND(102.58323309,1)</f>
        <v>102.6</v>
      </c>
      <c r="C27" s="19">
        <f>ROUND(101.53370061,1)</f>
        <v>101.5</v>
      </c>
    </row>
    <row r="28" ht="14.25" spans="1:256">
      <c r="A28" s="15">
        <v>3</v>
      </c>
      <c r="B28" s="10">
        <f>ROUND(101.8,1)</f>
        <v>101.8</v>
      </c>
      <c r="C28" s="19">
        <f>ROUND(101.6,1)</f>
        <v>101.6</v>
      </c>
    </row>
    <row r="29" ht="14.25" spans="1:256">
      <c r="A29" s="15">
        <v>4</v>
      </c>
      <c r="B29" s="20">
        <f>ROUND(101,1)</f>
        <v>101</v>
      </c>
      <c r="C29" s="21">
        <f>ROUND(101.45789835,1)</f>
        <v>101.5</v>
      </c>
    </row>
    <row r="30" customFormat="1" ht="14.25" spans="1:256">
      <c r="A30" s="15">
        <v>5</v>
      </c>
      <c r="B30" s="20">
        <v>100.63043043</v>
      </c>
      <c r="C30" s="21">
        <v>101.29245659</v>
      </c>
    </row>
    <row r="31" ht="14.25" spans="1:256">
      <c r="A31" s="22">
        <v>6</v>
      </c>
      <c r="B31" s="23">
        <v>101.2</v>
      </c>
      <c r="C31" s="24">
        <v>101.27416779</v>
      </c>
    </row>
  </sheetData>
  <mergeCells count="3">
    <mergeCell ref="A1:C1"/>
    <mergeCell ref="B3:C3"/>
    <mergeCell ref="A3:A4"/>
  </mergeCells>
  <pageMargins left="0.75" right="0.75" top="1" bottom="1" header="0.5" footer="0.5"/>
  <pageSetup paperSize="9"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90" zoomScaleNormal="90" workbookViewId="0">
      <selection activeCell="G22" sqref="G22"/>
    </sheetView>
  </sheetViews>
  <sheetFormatPr defaultColWidth="9" defaultRowHeight="14.25"/>
  <cols>
    <col min="1" max="1" width="12.1416666666667" style="299" customWidth="1"/>
    <col min="2" max="2" width="11.25" style="299" customWidth="1"/>
    <col min="3" max="3" width="9.5" style="299" customWidth="1"/>
    <col min="4" max="4" width="11.25" style="299" customWidth="1"/>
    <col min="5" max="5" width="9.5" style="299" customWidth="1"/>
    <col min="6" max="6" width="11.25" style="299" customWidth="1"/>
    <col min="7" max="7" width="9.5" style="299" customWidth="1"/>
    <col min="8" max="8" width="11.25" style="299" customWidth="1"/>
    <col min="9" max="9" width="9.5" style="299" customWidth="1"/>
    <col min="10" max="10" width="11.25" style="299" customWidth="1"/>
    <col min="11" max="11" width="9.5" style="299" customWidth="1"/>
    <col min="12" max="16384" width="9" style="299"/>
  </cols>
  <sheetData>
    <row r="1" s="299" customFormat="1" ht="21" customHeight="1" spans="1:12">
      <c r="A1" s="300" t="s">
        <v>73</v>
      </c>
      <c r="B1" s="300"/>
      <c r="C1" s="300"/>
      <c r="D1" s="300"/>
      <c r="E1" s="300"/>
      <c r="F1" s="300"/>
      <c r="G1" s="300"/>
      <c r="H1" s="300"/>
      <c r="I1" s="300"/>
      <c r="J1" s="300"/>
      <c r="K1" s="300"/>
    </row>
    <row r="2" s="299" customFormat="1" ht="23.1" customHeight="1" spans="1:12">
      <c r="A2" s="301"/>
      <c r="B2" s="301"/>
      <c r="C2" s="301"/>
      <c r="D2" s="301"/>
      <c r="E2" s="301"/>
      <c r="F2" s="301"/>
      <c r="G2" s="301"/>
      <c r="H2" s="301"/>
      <c r="I2" s="301"/>
      <c r="J2" s="301"/>
      <c r="K2" s="301"/>
    </row>
    <row r="3" s="299" customFormat="1" customHeight="1" spans="1:12">
      <c r="A3" s="302"/>
      <c r="B3" s="303" t="s">
        <v>74</v>
      </c>
      <c r="C3" s="303"/>
      <c r="D3" s="304" t="s">
        <v>75</v>
      </c>
      <c r="E3" s="302"/>
      <c r="F3" s="303" t="s">
        <v>76</v>
      </c>
      <c r="G3" s="303"/>
      <c r="H3" s="304" t="s">
        <v>77</v>
      </c>
      <c r="I3" s="303"/>
      <c r="J3" s="304" t="s">
        <v>78</v>
      </c>
      <c r="K3" s="303"/>
    </row>
    <row r="4" s="299" customFormat="1" ht="21" customHeight="1" spans="1:12">
      <c r="A4" s="305"/>
      <c r="B4" s="306"/>
      <c r="C4" s="306"/>
      <c r="D4" s="307"/>
      <c r="E4" s="308"/>
      <c r="F4" s="309"/>
      <c r="G4" s="309"/>
      <c r="H4" s="307"/>
      <c r="I4" s="309"/>
      <c r="J4" s="307"/>
      <c r="K4" s="309"/>
    </row>
    <row r="5" s="299" customFormat="1" ht="30" customHeight="1" spans="1:12">
      <c r="A5" s="308"/>
      <c r="B5" s="310" t="s">
        <v>79</v>
      </c>
      <c r="C5" s="310" t="s">
        <v>80</v>
      </c>
      <c r="D5" s="310" t="s">
        <v>79</v>
      </c>
      <c r="E5" s="310" t="s">
        <v>80</v>
      </c>
      <c r="F5" s="310" t="s">
        <v>79</v>
      </c>
      <c r="G5" s="310" t="s">
        <v>80</v>
      </c>
      <c r="H5" s="310" t="s">
        <v>79</v>
      </c>
      <c r="I5" s="310" t="s">
        <v>80</v>
      </c>
      <c r="J5" s="310" t="s">
        <v>79</v>
      </c>
      <c r="K5" s="311" t="s">
        <v>80</v>
      </c>
    </row>
    <row r="6" s="299" customFormat="1" ht="25.5" customHeight="1" spans="1:12">
      <c r="A6" s="312" t="s">
        <v>81</v>
      </c>
      <c r="B6" s="313">
        <v>901.612500588815</v>
      </c>
      <c r="C6" s="314">
        <v>6.79808503723845</v>
      </c>
      <c r="D6" s="313"/>
      <c r="E6" s="314">
        <v>10.6</v>
      </c>
      <c r="F6" s="313"/>
      <c r="G6" s="314">
        <v>-6.32902056847102</v>
      </c>
      <c r="H6" s="313">
        <v>625.3871</v>
      </c>
      <c r="I6" s="314">
        <v>-0.26</v>
      </c>
      <c r="J6" s="313">
        <v>97.866</v>
      </c>
      <c r="K6" s="315">
        <v>8.12306196546976</v>
      </c>
      <c r="L6" s="316"/>
    </row>
    <row r="7" s="299" customFormat="1" ht="27.95" customHeight="1" spans="1:12">
      <c r="A7" s="312" t="s">
        <v>82</v>
      </c>
      <c r="B7" s="313">
        <v>92.2414133458563</v>
      </c>
      <c r="C7" s="314">
        <v>3.05602075241491</v>
      </c>
      <c r="D7" s="313"/>
      <c r="E7" s="314">
        <v>5.4</v>
      </c>
      <c r="F7" s="313"/>
      <c r="G7" s="314">
        <v>10.5361891069505</v>
      </c>
      <c r="H7" s="313">
        <v>99.34029</v>
      </c>
      <c r="I7" s="314">
        <v>-1.89</v>
      </c>
      <c r="J7" s="313">
        <v>6.9768</v>
      </c>
      <c r="K7" s="315">
        <v>99.6977399189393</v>
      </c>
    </row>
    <row r="8" s="299" customFormat="1" ht="27.95" customHeight="1" spans="1:12">
      <c r="A8" s="312" t="s">
        <v>83</v>
      </c>
      <c r="B8" s="313">
        <v>111.264022171274</v>
      </c>
      <c r="C8" s="314">
        <v>4.14732157318871</v>
      </c>
      <c r="D8" s="313"/>
      <c r="E8" s="314">
        <v>5.3</v>
      </c>
      <c r="F8" s="313"/>
      <c r="G8" s="314">
        <v>8.59380155791666</v>
      </c>
      <c r="H8" s="313">
        <v>97.93642</v>
      </c>
      <c r="I8" s="314">
        <v>-5.83</v>
      </c>
      <c r="J8" s="313">
        <v>4.5157</v>
      </c>
      <c r="K8" s="315">
        <v>1.20222605901854</v>
      </c>
    </row>
    <row r="9" s="299" customFormat="1" ht="27.95" customHeight="1" spans="1:12">
      <c r="A9" s="312" t="s">
        <v>84</v>
      </c>
      <c r="B9" s="313">
        <v>119.727567881731</v>
      </c>
      <c r="C9" s="314">
        <v>22.9171398818712</v>
      </c>
      <c r="D9" s="313"/>
      <c r="E9" s="314">
        <v>27.7</v>
      </c>
      <c r="F9" s="313"/>
      <c r="G9" s="314">
        <v>0.0884240596694212</v>
      </c>
      <c r="H9" s="313">
        <v>18.10976</v>
      </c>
      <c r="I9" s="314">
        <v>1.11</v>
      </c>
      <c r="J9" s="313">
        <v>3.2489</v>
      </c>
      <c r="K9" s="315">
        <v>14.9466116877803</v>
      </c>
    </row>
    <row r="10" s="299" customFormat="1" ht="27.95" customHeight="1" spans="1:12">
      <c r="A10" s="312" t="s">
        <v>85</v>
      </c>
      <c r="B10" s="313">
        <v>48.1220791546109</v>
      </c>
      <c r="C10" s="314">
        <v>4.36134262349506</v>
      </c>
      <c r="D10" s="313"/>
      <c r="E10" s="314">
        <v>2.4</v>
      </c>
      <c r="F10" s="313"/>
      <c r="G10" s="314">
        <v>6.24350813128018</v>
      </c>
      <c r="H10" s="313">
        <v>76.95371</v>
      </c>
      <c r="I10" s="314">
        <v>-0.13</v>
      </c>
      <c r="J10" s="313">
        <v>2.4622</v>
      </c>
      <c r="K10" s="315">
        <v>-15.0742953325699</v>
      </c>
    </row>
    <row r="11" s="299" customFormat="1" ht="27.95" customHeight="1" spans="1:12">
      <c r="A11" s="312" t="s">
        <v>86</v>
      </c>
      <c r="B11" s="313">
        <v>66.2900065673388</v>
      </c>
      <c r="C11" s="314">
        <v>1.96416344678025</v>
      </c>
      <c r="D11" s="313"/>
      <c r="E11" s="314">
        <v>-3.2</v>
      </c>
      <c r="F11" s="313"/>
      <c r="G11" s="314">
        <v>-15.9269650919345</v>
      </c>
      <c r="H11" s="313">
        <v>67.53961</v>
      </c>
      <c r="I11" s="314">
        <v>1.23</v>
      </c>
      <c r="J11" s="313">
        <v>4.9216</v>
      </c>
      <c r="K11" s="315">
        <v>-6.67334152520517</v>
      </c>
    </row>
    <row r="12" s="299" customFormat="1" ht="27.95" customHeight="1" spans="1:12">
      <c r="A12" s="312" t="s">
        <v>87</v>
      </c>
      <c r="B12" s="313">
        <v>64.9554525166309</v>
      </c>
      <c r="C12" s="314">
        <v>6.95021518690911</v>
      </c>
      <c r="D12" s="313"/>
      <c r="E12" s="314">
        <v>0.1</v>
      </c>
      <c r="F12" s="313"/>
      <c r="G12" s="314">
        <v>3.4128618344579</v>
      </c>
      <c r="H12" s="313">
        <v>43.28912</v>
      </c>
      <c r="I12" s="314">
        <v>1.65</v>
      </c>
      <c r="J12" s="313">
        <v>5.9813</v>
      </c>
      <c r="K12" s="315">
        <v>37.4379595588235</v>
      </c>
    </row>
    <row r="13" s="299" customFormat="1" ht="27.95" customHeight="1" spans="1:12">
      <c r="A13" s="312" t="s">
        <v>88</v>
      </c>
      <c r="B13" s="313">
        <v>91.9279089318699</v>
      </c>
      <c r="C13" s="314">
        <v>3.64767430510622</v>
      </c>
      <c r="D13" s="313"/>
      <c r="E13" s="314">
        <v>20</v>
      </c>
      <c r="F13" s="313"/>
      <c r="G13" s="314">
        <v>27.5309090515545</v>
      </c>
      <c r="H13" s="313">
        <v>71.35902</v>
      </c>
      <c r="I13" s="314">
        <v>1.52</v>
      </c>
      <c r="J13" s="313">
        <v>5.2025</v>
      </c>
      <c r="K13" s="315">
        <v>10.6091208674391</v>
      </c>
    </row>
    <row r="14" s="299" customFormat="1" ht="27.95" customHeight="1" spans="1:12">
      <c r="A14" s="317" t="s">
        <v>89</v>
      </c>
      <c r="B14" s="313">
        <v>83.2783854212022</v>
      </c>
      <c r="C14" s="318">
        <v>3.67750995527849</v>
      </c>
      <c r="D14" s="313"/>
      <c r="E14" s="318">
        <v>0.8</v>
      </c>
      <c r="F14" s="313"/>
      <c r="G14" s="318">
        <v>0.868785639935894</v>
      </c>
      <c r="H14" s="313">
        <v>60.59877</v>
      </c>
      <c r="I14" s="318">
        <v>2.47</v>
      </c>
      <c r="J14" s="313">
        <v>4.0182</v>
      </c>
      <c r="K14" s="319">
        <v>-44.7597208703829</v>
      </c>
    </row>
    <row r="15" s="299" customFormat="1" ht="27.95" customHeight="1" spans="1:12">
      <c r="A15" s="317" t="s">
        <v>90</v>
      </c>
      <c r="B15" s="313">
        <v>113.392918674228</v>
      </c>
      <c r="C15" s="318">
        <v>4.2055098547698</v>
      </c>
      <c r="D15" s="313"/>
      <c r="E15" s="318">
        <v>4.5</v>
      </c>
      <c r="F15" s="313"/>
      <c r="G15" s="318">
        <v>15.3937939611982</v>
      </c>
      <c r="H15" s="313">
        <v>90.26039</v>
      </c>
      <c r="I15" s="318">
        <v>2.5</v>
      </c>
      <c r="J15" s="313">
        <v>10.2367</v>
      </c>
      <c r="K15" s="319">
        <v>34.551561217142</v>
      </c>
    </row>
    <row r="16" s="299" customFormat="1" ht="27.95" customHeight="1" spans="1:12">
      <c r="A16" s="320" t="s">
        <v>91</v>
      </c>
      <c r="B16" s="321">
        <v>189.544949677749</v>
      </c>
      <c r="C16" s="322">
        <v>7.47788303103427</v>
      </c>
      <c r="D16" s="323"/>
      <c r="E16" s="322">
        <v>1.8</v>
      </c>
      <c r="F16" s="323"/>
      <c r="G16" s="322">
        <v>-48.2210463315993</v>
      </c>
      <c r="H16" s="323">
        <v>59.08691</v>
      </c>
      <c r="I16" s="322">
        <v>4.57</v>
      </c>
      <c r="J16" s="323">
        <v>10.1479</v>
      </c>
      <c r="K16" s="324">
        <v>-20.5426758067669</v>
      </c>
    </row>
    <row r="17" s="299" customFormat="1" ht="36" customHeight="1" spans="1:11">
      <c r="A17" s="325" t="s">
        <v>92</v>
      </c>
      <c r="B17" s="325"/>
      <c r="C17" s="325"/>
      <c r="D17" s="325"/>
      <c r="E17" s="325"/>
      <c r="F17" s="325"/>
      <c r="G17" s="325"/>
      <c r="H17" s="325"/>
      <c r="I17" s="325"/>
      <c r="J17" s="325"/>
      <c r="K17" s="325"/>
    </row>
  </sheetData>
  <mergeCells count="8">
    <mergeCell ref="A17:K17"/>
    <mergeCell ref="A3:A5"/>
    <mergeCell ref="B3:C4"/>
    <mergeCell ref="D3:E4"/>
    <mergeCell ref="F3:G4"/>
    <mergeCell ref="H3:I4"/>
    <mergeCell ref="J3:K4"/>
    <mergeCell ref="A1:K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F26"/>
  <sheetViews>
    <sheetView zoomScale="90" zoomScaleNormal="90" workbookViewId="0">
      <pane xSplit="2" ySplit="3" topLeftCell="C4" activePane="bottomRight" state="frozen"/>
      <selection/>
      <selection pane="topRight"/>
      <selection pane="bottomLeft"/>
      <selection pane="bottomRight" activeCell="J15" sqref="J15"/>
    </sheetView>
  </sheetViews>
  <sheetFormatPr defaultColWidth="9" defaultRowHeight="14.25" outlineLevelCol="5"/>
  <cols>
    <col min="1" max="1" width="33.125" style="254" customWidth="1"/>
    <col min="2" max="6" width="9.625" style="254" customWidth="1"/>
    <col min="7" max="16384" width="9" style="254"/>
  </cols>
  <sheetData>
    <row r="1" ht="24.95" customHeight="1" spans="1:6">
      <c r="A1" s="135" t="s">
        <v>93</v>
      </c>
      <c r="B1" s="135"/>
      <c r="C1" s="135"/>
      <c r="D1" s="135"/>
      <c r="E1" s="135"/>
      <c r="F1" s="135"/>
    </row>
    <row r="2" s="286" customFormat="1" ht="21" customHeight="1" spans="1:6">
      <c r="A2" s="288" t="s">
        <v>1</v>
      </c>
      <c r="B2" s="289" t="s">
        <v>94</v>
      </c>
      <c r="C2" s="137" t="s">
        <v>3</v>
      </c>
      <c r="D2" s="138"/>
      <c r="E2" s="137" t="s">
        <v>5</v>
      </c>
      <c r="F2" s="138"/>
    </row>
    <row r="3" s="286" customFormat="1" ht="21" customHeight="1" spans="1:6">
      <c r="A3" s="290"/>
      <c r="B3" s="291"/>
      <c r="C3" s="140" t="s">
        <v>8</v>
      </c>
      <c r="D3" s="141" t="s">
        <v>9</v>
      </c>
      <c r="E3" s="140" t="s">
        <v>8</v>
      </c>
      <c r="F3" s="141" t="s">
        <v>9</v>
      </c>
    </row>
    <row r="4" s="287" customFormat="1" ht="24.95" customHeight="1" spans="1:6">
      <c r="A4" s="234" t="s">
        <v>95</v>
      </c>
      <c r="B4" s="235" t="s">
        <v>11</v>
      </c>
      <c r="C4" s="292">
        <v>1169.25</v>
      </c>
      <c r="D4" s="293">
        <v>3.8</v>
      </c>
      <c r="E4" s="292">
        <v>248.8</v>
      </c>
      <c r="F4" s="293">
        <v>4.2</v>
      </c>
    </row>
    <row r="5" s="287" customFormat="1" ht="24.95" customHeight="1" spans="1:6">
      <c r="A5" s="234" t="s">
        <v>96</v>
      </c>
      <c r="B5" s="235" t="s">
        <v>11</v>
      </c>
      <c r="C5" s="292">
        <v>618.78</v>
      </c>
      <c r="D5" s="293">
        <v>1.8</v>
      </c>
      <c r="E5" s="292">
        <v>113.59</v>
      </c>
      <c r="F5" s="293">
        <v>2.8</v>
      </c>
    </row>
    <row r="6" s="287" customFormat="1" ht="24.95" customHeight="1" spans="1:6">
      <c r="A6" s="234" t="s">
        <v>97</v>
      </c>
      <c r="B6" s="235" t="s">
        <v>11</v>
      </c>
      <c r="C6" s="292">
        <v>23.11</v>
      </c>
      <c r="D6" s="293">
        <v>7.8</v>
      </c>
      <c r="E6" s="292">
        <v>4.21</v>
      </c>
      <c r="F6" s="293">
        <v>5.3</v>
      </c>
    </row>
    <row r="7" s="287" customFormat="1" ht="24.95" customHeight="1" spans="1:6">
      <c r="A7" s="234" t="s">
        <v>98</v>
      </c>
      <c r="B7" s="235" t="s">
        <v>11</v>
      </c>
      <c r="C7" s="292">
        <v>167.88</v>
      </c>
      <c r="D7" s="293">
        <v>5.7</v>
      </c>
      <c r="E7" s="292">
        <v>43.69</v>
      </c>
      <c r="F7" s="293">
        <v>4.8</v>
      </c>
    </row>
    <row r="8" s="287" customFormat="1" ht="24.95" customHeight="1" spans="1:6">
      <c r="A8" s="234" t="s">
        <v>99</v>
      </c>
      <c r="B8" s="235" t="s">
        <v>11</v>
      </c>
      <c r="C8" s="292">
        <v>294.14</v>
      </c>
      <c r="D8" s="293">
        <v>5.1</v>
      </c>
      <c r="E8" s="292">
        <v>74.23</v>
      </c>
      <c r="F8" s="293">
        <v>4.8</v>
      </c>
    </row>
    <row r="9" s="287" customFormat="1" ht="24.95" customHeight="1" spans="1:6">
      <c r="A9" s="234" t="s">
        <v>100</v>
      </c>
      <c r="B9" s="235" t="s">
        <v>11</v>
      </c>
      <c r="C9" s="292">
        <v>65.33</v>
      </c>
      <c r="D9" s="293">
        <v>12</v>
      </c>
      <c r="E9" s="292">
        <v>13.09</v>
      </c>
      <c r="F9" s="293">
        <v>11.5</v>
      </c>
    </row>
    <row r="10" s="287" customFormat="1" ht="24.95" customHeight="1" spans="1:6">
      <c r="A10" s="266" t="s">
        <v>101</v>
      </c>
      <c r="B10" s="235" t="s">
        <v>11</v>
      </c>
      <c r="C10" s="292">
        <v>763.944928652425</v>
      </c>
      <c r="D10" s="293">
        <v>3.82847054009699</v>
      </c>
      <c r="E10" s="292">
        <v>119.753604150238</v>
      </c>
      <c r="F10" s="293">
        <v>4.19924148841164</v>
      </c>
    </row>
    <row r="11" s="287" customFormat="1" ht="24.95" customHeight="1" spans="1:6">
      <c r="A11" s="234" t="s">
        <v>96</v>
      </c>
      <c r="B11" s="235" t="s">
        <v>11</v>
      </c>
      <c r="C11" s="292">
        <v>423.258159582536</v>
      </c>
      <c r="D11" s="293">
        <v>1.82847054009699</v>
      </c>
      <c r="E11" s="292">
        <v>59.1087036852744</v>
      </c>
      <c r="F11" s="293">
        <v>2.79924148841164</v>
      </c>
    </row>
    <row r="12" s="287" customFormat="1" ht="24.95" customHeight="1" spans="1:6">
      <c r="A12" s="234" t="s">
        <v>97</v>
      </c>
      <c r="B12" s="235" t="s">
        <v>11</v>
      </c>
      <c r="C12" s="292">
        <v>18.3267706220264</v>
      </c>
      <c r="D12" s="293">
        <v>7.82847054009699</v>
      </c>
      <c r="E12" s="292">
        <v>2.41010163603826</v>
      </c>
      <c r="F12" s="293">
        <v>5.29924148841164</v>
      </c>
    </row>
    <row r="13" s="287" customFormat="1" ht="24.95" customHeight="1" spans="1:6">
      <c r="A13" s="234" t="s">
        <v>98</v>
      </c>
      <c r="B13" s="235" t="s">
        <v>11</v>
      </c>
      <c r="C13" s="292">
        <v>87.5161373399732</v>
      </c>
      <c r="D13" s="293">
        <v>5.72847054009699</v>
      </c>
      <c r="E13" s="292">
        <v>17.0223551116196</v>
      </c>
      <c r="F13" s="293">
        <v>4.79924148841164</v>
      </c>
    </row>
    <row r="14" s="287" customFormat="1" ht="24.95" customHeight="1" spans="1:6">
      <c r="A14" s="234" t="s">
        <v>99</v>
      </c>
      <c r="B14" s="235" t="s">
        <v>11</v>
      </c>
      <c r="C14" s="292">
        <v>205.516842076877</v>
      </c>
      <c r="D14" s="293">
        <v>5.12847054009699</v>
      </c>
      <c r="E14" s="292">
        <v>36.7721726021644</v>
      </c>
      <c r="F14" s="293">
        <v>5</v>
      </c>
    </row>
    <row r="15" s="287" customFormat="1" ht="24.95" customHeight="1" spans="1:6">
      <c r="A15" s="234" t="s">
        <v>100</v>
      </c>
      <c r="B15" s="235" t="s">
        <v>11</v>
      </c>
      <c r="C15" s="292">
        <v>29.3270190310125</v>
      </c>
      <c r="D15" s="293">
        <v>12.1010592389628</v>
      </c>
      <c r="E15" s="292">
        <v>4.44027111514125</v>
      </c>
      <c r="F15" s="293">
        <v>9.79604175670971</v>
      </c>
    </row>
    <row r="16" s="287" customFormat="1" ht="24.95" customHeight="1" spans="1:6">
      <c r="A16" s="234" t="s">
        <v>102</v>
      </c>
      <c r="B16" s="235"/>
      <c r="C16" s="292"/>
      <c r="D16" s="293"/>
      <c r="E16" s="292"/>
      <c r="F16" s="293"/>
    </row>
    <row r="17" s="287" customFormat="1" ht="24.95" customHeight="1" spans="1:6">
      <c r="A17" s="234" t="s">
        <v>103</v>
      </c>
      <c r="B17" s="235" t="s">
        <v>104</v>
      </c>
      <c r="C17" s="292">
        <v>159.61</v>
      </c>
      <c r="D17" s="293">
        <v>0.02</v>
      </c>
      <c r="E17" s="294" t="s">
        <v>12</v>
      </c>
      <c r="F17" s="295" t="s">
        <v>12</v>
      </c>
    </row>
    <row r="18" s="287" customFormat="1" ht="24.95" customHeight="1" spans="1:6">
      <c r="A18" s="234" t="s">
        <v>105</v>
      </c>
      <c r="B18" s="235" t="s">
        <v>104</v>
      </c>
      <c r="C18" s="292">
        <v>129.13</v>
      </c>
      <c r="D18" s="293">
        <v>-0.47</v>
      </c>
      <c r="E18" s="294" t="s">
        <v>12</v>
      </c>
      <c r="F18" s="295" t="s">
        <v>12</v>
      </c>
    </row>
    <row r="19" s="287" customFormat="1" ht="24.95" customHeight="1" spans="1:6">
      <c r="A19" s="234" t="s">
        <v>106</v>
      </c>
      <c r="B19" s="235" t="s">
        <v>104</v>
      </c>
      <c r="C19" s="292">
        <v>503.5</v>
      </c>
      <c r="D19" s="293">
        <v>3.7</v>
      </c>
      <c r="E19" s="292">
        <v>185.95</v>
      </c>
      <c r="F19" s="293">
        <v>3.3</v>
      </c>
    </row>
    <row r="20" s="287" customFormat="1" ht="24.95" customHeight="1" spans="1:6">
      <c r="A20" s="234" t="s">
        <v>107</v>
      </c>
      <c r="B20" s="235" t="s">
        <v>104</v>
      </c>
      <c r="C20" s="292">
        <v>361.09</v>
      </c>
      <c r="D20" s="293">
        <v>4.5</v>
      </c>
      <c r="E20" s="292">
        <v>70.47</v>
      </c>
      <c r="F20" s="293">
        <v>3.6</v>
      </c>
    </row>
    <row r="21" s="287" customFormat="1" ht="24.95" customHeight="1" spans="1:6">
      <c r="A21" s="259" t="s">
        <v>108</v>
      </c>
      <c r="B21" s="260" t="s">
        <v>104</v>
      </c>
      <c r="C21" s="292">
        <v>118.57</v>
      </c>
      <c r="D21" s="293">
        <v>0.4</v>
      </c>
      <c r="E21" s="292">
        <v>18.89</v>
      </c>
      <c r="F21" s="293">
        <v>1.3</v>
      </c>
    </row>
    <row r="22" s="287" customFormat="1" ht="24.95" customHeight="1" spans="1:6">
      <c r="A22" s="259" t="s">
        <v>109</v>
      </c>
      <c r="B22" s="260" t="s">
        <v>104</v>
      </c>
      <c r="C22" s="292">
        <v>125.07</v>
      </c>
      <c r="D22" s="293">
        <v>4</v>
      </c>
      <c r="E22" s="292">
        <v>37.11</v>
      </c>
      <c r="F22" s="293">
        <v>4</v>
      </c>
    </row>
    <row r="23" s="287" customFormat="1" ht="24.95" customHeight="1" spans="1:6">
      <c r="A23" s="259" t="s">
        <v>110</v>
      </c>
      <c r="B23" s="260" t="s">
        <v>111</v>
      </c>
      <c r="C23" s="292">
        <v>535.76</v>
      </c>
      <c r="D23" s="293">
        <v>12.9</v>
      </c>
      <c r="E23" s="292">
        <v>156.32</v>
      </c>
      <c r="F23" s="293">
        <v>23.7</v>
      </c>
    </row>
    <row r="24" s="287" customFormat="1" ht="24.95" customHeight="1" spans="1:6">
      <c r="A24" s="259" t="s">
        <v>112</v>
      </c>
      <c r="B24" s="260" t="s">
        <v>113</v>
      </c>
      <c r="C24" s="292">
        <v>8200.55</v>
      </c>
      <c r="D24" s="293">
        <v>-4.3</v>
      </c>
      <c r="E24" s="292">
        <v>1862.89</v>
      </c>
      <c r="F24" s="293">
        <v>-21.1</v>
      </c>
    </row>
    <row r="25" s="287" customFormat="1" ht="24.95" customHeight="1" spans="1:6">
      <c r="A25" s="261" t="s">
        <v>114</v>
      </c>
      <c r="B25" s="262" t="s">
        <v>104</v>
      </c>
      <c r="C25" s="296">
        <v>137.42</v>
      </c>
      <c r="D25" s="297">
        <v>4.4</v>
      </c>
      <c r="E25" s="296">
        <v>30.59</v>
      </c>
      <c r="F25" s="297">
        <v>4.4</v>
      </c>
    </row>
    <row r="26" ht="34" customHeight="1" spans="1:6">
      <c r="A26" s="298" t="s">
        <v>115</v>
      </c>
      <c r="B26" s="298"/>
      <c r="C26" s="298"/>
      <c r="D26" s="298"/>
      <c r="E26" s="298"/>
      <c r="F26" s="298"/>
    </row>
  </sheetData>
  <mergeCells count="6">
    <mergeCell ref="A1:F1"/>
    <mergeCell ref="C2:D2"/>
    <mergeCell ref="E2:F2"/>
    <mergeCell ref="A26:F26"/>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K18"/>
  <sheetViews>
    <sheetView zoomScale="80" zoomScaleNormal="80" workbookViewId="0">
      <pane xSplit="1" ySplit="3" topLeftCell="B4" activePane="bottomRight" state="frozen"/>
      <selection/>
      <selection pane="topRight"/>
      <selection pane="bottomLeft"/>
      <selection pane="bottomRight" activeCell="I20" sqref="I20"/>
    </sheetView>
  </sheetViews>
  <sheetFormatPr defaultColWidth="9" defaultRowHeight="14.25"/>
  <cols>
    <col min="1" max="1" width="26.75" style="133" customWidth="1"/>
    <col min="2" max="11" width="10.375" style="133"/>
    <col min="12" max="159" width="9" style="133"/>
    <col min="160" max="16384" width="9" style="134"/>
  </cols>
  <sheetData>
    <row r="1" ht="28.5" customHeight="1" spans="1:11">
      <c r="A1" s="135" t="s">
        <v>75</v>
      </c>
      <c r="B1" s="135"/>
      <c r="C1" s="135"/>
      <c r="D1" s="135"/>
      <c r="E1" s="135"/>
      <c r="F1" s="135"/>
      <c r="G1" s="135"/>
      <c r="H1" s="135"/>
      <c r="I1" s="135"/>
      <c r="J1" s="135"/>
      <c r="K1" s="135"/>
    </row>
    <row r="2" ht="21" customHeight="1" spans="1:11">
      <c r="A2" s="264" t="s">
        <v>1</v>
      </c>
      <c r="B2" s="137" t="s">
        <v>3</v>
      </c>
      <c r="C2" s="138"/>
      <c r="D2" s="137" t="s">
        <v>4</v>
      </c>
      <c r="E2" s="138"/>
      <c r="F2" s="137" t="s">
        <v>5</v>
      </c>
      <c r="G2" s="138"/>
      <c r="H2" s="137" t="s">
        <v>6</v>
      </c>
      <c r="I2" s="138"/>
      <c r="J2" s="137" t="s">
        <v>7</v>
      </c>
      <c r="K2" s="138"/>
    </row>
    <row r="3" ht="21" customHeight="1" spans="1:11">
      <c r="A3" s="265"/>
      <c r="B3" s="140" t="s">
        <v>8</v>
      </c>
      <c r="C3" s="141" t="s">
        <v>9</v>
      </c>
      <c r="D3" s="140" t="s">
        <v>8</v>
      </c>
      <c r="E3" s="141" t="s">
        <v>9</v>
      </c>
      <c r="F3" s="140" t="s">
        <v>8</v>
      </c>
      <c r="G3" s="141" t="s">
        <v>9</v>
      </c>
      <c r="H3" s="140" t="s">
        <v>8</v>
      </c>
      <c r="I3" s="141" t="s">
        <v>9</v>
      </c>
      <c r="J3" s="140" t="s">
        <v>8</v>
      </c>
      <c r="K3" s="141" t="s">
        <v>9</v>
      </c>
    </row>
    <row r="4" ht="41.25" customHeight="1" spans="1:11">
      <c r="A4" s="194" t="s">
        <v>116</v>
      </c>
      <c r="B4" s="208"/>
      <c r="C4" s="187">
        <v>10.7</v>
      </c>
      <c r="D4" s="208"/>
      <c r="E4" s="187">
        <v>12.3</v>
      </c>
      <c r="F4" s="208"/>
      <c r="G4" s="187">
        <v>19.7</v>
      </c>
      <c r="H4" s="208"/>
      <c r="I4" s="187">
        <v>14.6</v>
      </c>
      <c r="J4" s="208"/>
      <c r="K4" s="187">
        <v>10.6</v>
      </c>
    </row>
    <row r="5" ht="41.25" customHeight="1" spans="1:11">
      <c r="A5" s="148" t="s">
        <v>117</v>
      </c>
      <c r="B5" s="146"/>
      <c r="C5" s="147">
        <v>-8.7</v>
      </c>
      <c r="D5" s="146"/>
      <c r="E5" s="147">
        <v>7.8</v>
      </c>
      <c r="F5" s="146"/>
      <c r="G5" s="147">
        <v>5.2</v>
      </c>
      <c r="H5" s="146"/>
      <c r="I5" s="147">
        <v>8.516666704</v>
      </c>
      <c r="J5" s="146"/>
      <c r="K5" s="147">
        <v>7.21896551724138</v>
      </c>
    </row>
    <row r="6" ht="41.25" customHeight="1" spans="1:11">
      <c r="A6" s="148" t="s">
        <v>118</v>
      </c>
      <c r="B6" s="146"/>
      <c r="C6" s="147">
        <v>14.1</v>
      </c>
      <c r="D6" s="146"/>
      <c r="E6" s="147">
        <v>13.1</v>
      </c>
      <c r="F6" s="146"/>
      <c r="G6" s="147">
        <v>21.9</v>
      </c>
      <c r="H6" s="146"/>
      <c r="I6" s="147">
        <v>15.535897504</v>
      </c>
      <c r="J6" s="146"/>
      <c r="K6" s="147">
        <v>11.0568965517241</v>
      </c>
    </row>
    <row r="7" ht="41.25" customHeight="1" spans="1:11">
      <c r="A7" s="148" t="s">
        <v>119</v>
      </c>
      <c r="B7" s="146"/>
      <c r="C7" s="147">
        <v>-1.9</v>
      </c>
      <c r="D7" s="146"/>
      <c r="E7" s="147">
        <v>-4</v>
      </c>
      <c r="F7" s="146"/>
      <c r="G7" s="147">
        <v>-6.6</v>
      </c>
      <c r="H7" s="146"/>
      <c r="I7" s="147">
        <v>-9.5</v>
      </c>
      <c r="J7" s="146"/>
      <c r="K7" s="147">
        <v>-11.7094339622641</v>
      </c>
    </row>
    <row r="8" ht="41.25" customHeight="1" spans="1:11">
      <c r="A8" s="148" t="s">
        <v>120</v>
      </c>
      <c r="B8" s="146"/>
      <c r="C8" s="147">
        <v>-100</v>
      </c>
      <c r="D8" s="146"/>
      <c r="E8" s="147">
        <v>-100</v>
      </c>
      <c r="F8" s="146"/>
      <c r="G8" s="147">
        <v>0</v>
      </c>
      <c r="H8" s="146"/>
      <c r="I8" s="147">
        <v>0</v>
      </c>
      <c r="J8" s="146"/>
      <c r="K8" s="147">
        <v>0</v>
      </c>
    </row>
    <row r="9" ht="41.25" customHeight="1" spans="1:11">
      <c r="A9" s="148" t="s">
        <v>121</v>
      </c>
      <c r="B9" s="146"/>
      <c r="C9" s="147">
        <v>-0.7</v>
      </c>
      <c r="D9" s="146"/>
      <c r="E9" s="147">
        <v>4.8</v>
      </c>
      <c r="F9" s="146"/>
      <c r="G9" s="147">
        <v>5.8</v>
      </c>
      <c r="H9" s="146"/>
      <c r="I9" s="147">
        <v>6.3</v>
      </c>
      <c r="J9" s="146"/>
      <c r="K9" s="147">
        <v>5.02586206896552</v>
      </c>
    </row>
    <row r="10" ht="41.25" customHeight="1" spans="1:11">
      <c r="A10" s="148" t="s">
        <v>122</v>
      </c>
      <c r="B10" s="146"/>
      <c r="C10" s="147">
        <v>19.4</v>
      </c>
      <c r="D10" s="146"/>
      <c r="E10" s="147">
        <v>17.6</v>
      </c>
      <c r="F10" s="146"/>
      <c r="G10" s="147">
        <v>29.3</v>
      </c>
      <c r="H10" s="146"/>
      <c r="I10" s="147">
        <v>20.2</v>
      </c>
      <c r="J10" s="146"/>
      <c r="K10" s="147">
        <v>14.1637931034483</v>
      </c>
    </row>
    <row r="11" ht="41.25" customHeight="1" spans="1:11">
      <c r="A11" s="148" t="s">
        <v>123</v>
      </c>
      <c r="B11" s="146"/>
      <c r="C11" s="147">
        <v>-26.3</v>
      </c>
      <c r="D11" s="146"/>
      <c r="E11" s="147">
        <v>-4.7</v>
      </c>
      <c r="F11" s="146"/>
      <c r="G11" s="147">
        <v>-17.1</v>
      </c>
      <c r="H11" s="146"/>
      <c r="I11" s="147">
        <v>2.4</v>
      </c>
      <c r="J11" s="146"/>
      <c r="K11" s="147">
        <v>5.20862068965517</v>
      </c>
    </row>
    <row r="12" ht="41.25" customHeight="1" spans="1:11">
      <c r="A12" s="148" t="s">
        <v>124</v>
      </c>
      <c r="B12" s="146"/>
      <c r="C12" s="147">
        <v>8.8</v>
      </c>
      <c r="D12" s="146"/>
      <c r="E12" s="147">
        <v>0.5</v>
      </c>
      <c r="F12" s="146"/>
      <c r="G12" s="147">
        <v>6.3</v>
      </c>
      <c r="H12" s="146"/>
      <c r="I12" s="147">
        <v>3.2</v>
      </c>
      <c r="J12" s="146"/>
      <c r="K12" s="147">
        <v>0.456896551724138</v>
      </c>
    </row>
    <row r="13" ht="41.25" customHeight="1" spans="1:11">
      <c r="A13" s="148" t="s">
        <v>125</v>
      </c>
      <c r="B13" s="146"/>
      <c r="C13" s="147">
        <v>12</v>
      </c>
      <c r="D13" s="146"/>
      <c r="E13" s="147">
        <v>14.8539810441575</v>
      </c>
      <c r="F13" s="146"/>
      <c r="G13" s="147">
        <v>24.1463360575116</v>
      </c>
      <c r="H13" s="146"/>
      <c r="I13" s="147">
        <v>16.9</v>
      </c>
      <c r="J13" s="146"/>
      <c r="K13" s="147">
        <v>12.072533264469</v>
      </c>
    </row>
    <row r="14" ht="41.25" customHeight="1" spans="1:11">
      <c r="A14" s="148" t="s">
        <v>126</v>
      </c>
      <c r="B14" s="146"/>
      <c r="C14" s="147">
        <v>-1.5</v>
      </c>
      <c r="D14" s="146"/>
      <c r="E14" s="147">
        <v>5.59378095140515</v>
      </c>
      <c r="F14" s="146"/>
      <c r="G14" s="147">
        <v>5.44478830176287</v>
      </c>
      <c r="H14" s="146"/>
      <c r="I14" s="147">
        <v>9.1</v>
      </c>
      <c r="J14" s="146"/>
      <c r="K14" s="147">
        <v>9.5626266050495</v>
      </c>
    </row>
    <row r="15" ht="41.25" customHeight="1" spans="1:11">
      <c r="A15" s="148" t="s">
        <v>127</v>
      </c>
      <c r="B15" s="146"/>
      <c r="C15" s="147">
        <v>13.2</v>
      </c>
      <c r="D15" s="146"/>
      <c r="E15" s="147">
        <v>5.79078103890932</v>
      </c>
      <c r="F15" s="146"/>
      <c r="G15" s="147">
        <v>6.77604370393485</v>
      </c>
      <c r="H15" s="146"/>
      <c r="I15" s="147">
        <v>8.6</v>
      </c>
      <c r="J15" s="146"/>
      <c r="K15" s="147">
        <v>6.08706957787216</v>
      </c>
    </row>
    <row r="16" ht="41.25" customHeight="1" spans="1:11">
      <c r="A16" s="152" t="s">
        <v>128</v>
      </c>
      <c r="B16" s="153"/>
      <c r="C16" s="154">
        <v>6.9</v>
      </c>
      <c r="D16" s="153"/>
      <c r="E16" s="154">
        <v>-9.12152130650409</v>
      </c>
      <c r="F16" s="153"/>
      <c r="G16" s="154">
        <v>-6.07522858210007</v>
      </c>
      <c r="H16" s="153"/>
      <c r="I16" s="154">
        <v>-5.2</v>
      </c>
      <c r="J16" s="153"/>
      <c r="K16" s="154">
        <v>-8.5357935947776</v>
      </c>
    </row>
    <row r="17" ht="29" customHeight="1" spans="1:11">
      <c r="A17" s="284" t="s">
        <v>129</v>
      </c>
      <c r="B17" s="284"/>
      <c r="C17" s="284"/>
      <c r="D17" s="284"/>
      <c r="E17" s="284"/>
      <c r="F17" s="284"/>
      <c r="G17" s="284"/>
      <c r="H17" s="284"/>
      <c r="I17" s="284"/>
      <c r="J17" s="284"/>
      <c r="K17" s="284"/>
    </row>
    <row r="18" spans="1:11">
      <c r="A18" s="285"/>
    </row>
  </sheetData>
  <mergeCells count="8">
    <mergeCell ref="A1:K1"/>
    <mergeCell ref="B2:C2"/>
    <mergeCell ref="D2:E2"/>
    <mergeCell ref="F2:G2"/>
    <mergeCell ref="H2:I2"/>
    <mergeCell ref="J2:K2"/>
    <mergeCell ref="A17:K1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EY38"/>
  <sheetViews>
    <sheetView zoomScale="80" zoomScaleNormal="80" workbookViewId="0">
      <pane xSplit="1" ySplit="3" topLeftCell="B4" activePane="bottomRight" state="frozen"/>
      <selection/>
      <selection pane="topRight"/>
      <selection pane="bottomLeft"/>
      <selection pane="bottomRight" activeCell="F27" sqref="F27"/>
    </sheetView>
  </sheetViews>
  <sheetFormatPr defaultColWidth="9" defaultRowHeight="14.25"/>
  <cols>
    <col min="1" max="1" width="33.5916666666667" style="133" customWidth="1"/>
    <col min="2" max="11" width="10.375" style="133"/>
    <col min="12" max="155" width="9" style="133"/>
    <col min="156" max="16384" width="9" style="134"/>
  </cols>
  <sheetData>
    <row r="1" ht="28.5" customHeight="1" spans="1:11">
      <c r="A1" s="135" t="s">
        <v>130</v>
      </c>
      <c r="B1" s="135"/>
      <c r="C1" s="135"/>
      <c r="D1" s="135"/>
      <c r="E1" s="135"/>
      <c r="F1" s="135"/>
      <c r="G1" s="135"/>
      <c r="H1" s="135"/>
      <c r="I1" s="135"/>
      <c r="J1" s="135"/>
      <c r="K1" s="135"/>
    </row>
    <row r="2" ht="21" customHeight="1" spans="1:11">
      <c r="A2" s="264" t="s">
        <v>1</v>
      </c>
      <c r="B2" s="137" t="s">
        <v>3</v>
      </c>
      <c r="C2" s="138"/>
      <c r="D2" s="137" t="s">
        <v>4</v>
      </c>
      <c r="E2" s="138"/>
      <c r="F2" s="137" t="s">
        <v>5</v>
      </c>
      <c r="G2" s="138"/>
      <c r="H2" s="137" t="s">
        <v>6</v>
      </c>
      <c r="I2" s="138"/>
      <c r="J2" s="137" t="s">
        <v>7</v>
      </c>
      <c r="K2" s="138"/>
    </row>
    <row r="3" ht="21" customHeight="1" spans="1:11">
      <c r="A3" s="265"/>
      <c r="B3" s="140" t="s">
        <v>8</v>
      </c>
      <c r="C3" s="141" t="s">
        <v>9</v>
      </c>
      <c r="D3" s="140" t="s">
        <v>8</v>
      </c>
      <c r="E3" s="141" t="s">
        <v>9</v>
      </c>
      <c r="F3" s="140" t="s">
        <v>8</v>
      </c>
      <c r="G3" s="141" t="s">
        <v>9</v>
      </c>
      <c r="H3" s="140" t="s">
        <v>8</v>
      </c>
      <c r="I3" s="141" t="s">
        <v>9</v>
      </c>
      <c r="J3" s="140" t="s">
        <v>8</v>
      </c>
      <c r="K3" s="141" t="s">
        <v>9</v>
      </c>
    </row>
    <row r="4" ht="24.75" customHeight="1" spans="1:11">
      <c r="A4" s="194" t="s">
        <v>131</v>
      </c>
      <c r="B4" s="208"/>
      <c r="C4" s="187">
        <v>10.7</v>
      </c>
      <c r="D4" s="208"/>
      <c r="E4" s="187">
        <v>12.3</v>
      </c>
      <c r="F4" s="208"/>
      <c r="G4" s="187">
        <v>19.7</v>
      </c>
      <c r="H4" s="208"/>
      <c r="I4" s="187">
        <v>14.6</v>
      </c>
      <c r="J4" s="208"/>
      <c r="K4" s="187">
        <v>10.6</v>
      </c>
    </row>
    <row r="5" ht="23.25" customHeight="1" spans="1:11">
      <c r="A5" s="149" t="s">
        <v>132</v>
      </c>
      <c r="B5" s="208"/>
      <c r="C5" s="187">
        <v>32.2849706430604</v>
      </c>
      <c r="D5" s="208"/>
      <c r="E5" s="187">
        <v>37.2629718116362</v>
      </c>
      <c r="F5" s="208"/>
      <c r="G5" s="187">
        <v>46.6059515341987</v>
      </c>
      <c r="H5" s="208"/>
      <c r="I5" s="187">
        <v>34.2</v>
      </c>
      <c r="J5" s="208"/>
      <c r="K5" s="187">
        <v>27.1063003087537</v>
      </c>
    </row>
    <row r="6" ht="21.75" customHeight="1" spans="1:11">
      <c r="A6" s="149" t="s">
        <v>133</v>
      </c>
      <c r="B6" s="208"/>
      <c r="C6" s="187">
        <v>3.7307330909812</v>
      </c>
      <c r="D6" s="208"/>
      <c r="E6" s="187">
        <v>3.93183427460283</v>
      </c>
      <c r="F6" s="208"/>
      <c r="G6" s="187">
        <v>10.0098349236027</v>
      </c>
      <c r="H6" s="208"/>
      <c r="I6" s="187">
        <v>6.3</v>
      </c>
      <c r="J6" s="208"/>
      <c r="K6" s="187">
        <v>2.46397556716619</v>
      </c>
    </row>
    <row r="7" ht="18" customHeight="1" spans="1:11">
      <c r="A7" s="148" t="s">
        <v>134</v>
      </c>
      <c r="B7" s="146"/>
      <c r="C7" s="147">
        <v>1</v>
      </c>
      <c r="D7" s="146"/>
      <c r="E7" s="147">
        <v>-1.8</v>
      </c>
      <c r="F7" s="146"/>
      <c r="G7" s="147">
        <v>1.5</v>
      </c>
      <c r="H7" s="146"/>
      <c r="I7" s="147">
        <v>2.43333333333333</v>
      </c>
      <c r="J7" s="146"/>
      <c r="K7" s="147">
        <v>1.46206896551724</v>
      </c>
    </row>
    <row r="8" ht="18" customHeight="1" spans="1:11">
      <c r="A8" s="148" t="s">
        <v>135</v>
      </c>
      <c r="B8" s="146"/>
      <c r="C8" s="147">
        <v>2.6</v>
      </c>
      <c r="D8" s="146"/>
      <c r="E8" s="147">
        <v>10.9</v>
      </c>
      <c r="F8" s="146"/>
      <c r="G8" s="147">
        <v>20.2</v>
      </c>
      <c r="H8" s="146"/>
      <c r="I8" s="147">
        <v>8.61025641025641</v>
      </c>
      <c r="J8" s="146"/>
      <c r="K8" s="147">
        <v>2.83275862068966</v>
      </c>
    </row>
    <row r="9" ht="18" customHeight="1" spans="1:11">
      <c r="A9" s="148" t="s">
        <v>136</v>
      </c>
      <c r="B9" s="146"/>
      <c r="C9" s="147">
        <v>-6.7</v>
      </c>
      <c r="D9" s="146"/>
      <c r="E9" s="147">
        <v>23.1</v>
      </c>
      <c r="F9" s="146"/>
      <c r="G9" s="147">
        <v>8.7</v>
      </c>
      <c r="H9" s="146"/>
      <c r="I9" s="147">
        <v>-3.20547945205479</v>
      </c>
      <c r="J9" s="146"/>
      <c r="K9" s="147">
        <v>-3.72075471698113</v>
      </c>
    </row>
    <row r="10" ht="18" customHeight="1" spans="1:11">
      <c r="A10" s="148" t="s">
        <v>137</v>
      </c>
      <c r="B10" s="146"/>
      <c r="C10" s="147">
        <v>1.2</v>
      </c>
      <c r="D10" s="146"/>
      <c r="E10" s="147">
        <v>5.2</v>
      </c>
      <c r="F10" s="146"/>
      <c r="G10" s="147">
        <v>-2.4</v>
      </c>
      <c r="H10" s="146"/>
      <c r="I10" s="147">
        <v>2.62051282051282</v>
      </c>
      <c r="J10" s="146"/>
      <c r="K10" s="147">
        <v>3.6551724137931</v>
      </c>
    </row>
    <row r="11" ht="18" customHeight="1" spans="1:11">
      <c r="A11" s="148" t="s">
        <v>138</v>
      </c>
      <c r="B11" s="146"/>
      <c r="C11" s="147">
        <v>20.4</v>
      </c>
      <c r="D11" s="146"/>
      <c r="E11" s="147">
        <v>24.1</v>
      </c>
      <c r="F11" s="146"/>
      <c r="G11" s="147">
        <v>14.5</v>
      </c>
      <c r="H11" s="146"/>
      <c r="I11" s="147">
        <v>8.70384615384616</v>
      </c>
      <c r="J11" s="146"/>
      <c r="K11" s="147">
        <v>11.3310344827586</v>
      </c>
    </row>
    <row r="12" ht="18" customHeight="1" spans="1:11">
      <c r="A12" s="148" t="s">
        <v>139</v>
      </c>
      <c r="B12" s="146"/>
      <c r="C12" s="147">
        <v>5.5</v>
      </c>
      <c r="D12" s="146"/>
      <c r="E12" s="147">
        <v>81</v>
      </c>
      <c r="F12" s="146"/>
      <c r="G12" s="147">
        <v>98.3</v>
      </c>
      <c r="H12" s="146"/>
      <c r="I12" s="147">
        <v>87.1320512820513</v>
      </c>
      <c r="J12" s="146"/>
      <c r="K12" s="147">
        <v>111.665517241379</v>
      </c>
    </row>
    <row r="13" ht="18" customHeight="1" spans="1:11">
      <c r="A13" s="148" t="s">
        <v>140</v>
      </c>
      <c r="B13" s="146"/>
      <c r="C13" s="147">
        <v>3.5</v>
      </c>
      <c r="D13" s="146"/>
      <c r="E13" s="147">
        <v>15.7</v>
      </c>
      <c r="F13" s="146"/>
      <c r="G13" s="147">
        <v>-5.6</v>
      </c>
      <c r="H13" s="146"/>
      <c r="I13" s="147">
        <v>3.74358974358974</v>
      </c>
      <c r="J13" s="146"/>
      <c r="K13" s="147">
        <v>4.84310344827586</v>
      </c>
    </row>
    <row r="14" ht="18" customHeight="1" spans="1:11">
      <c r="A14" s="148" t="s">
        <v>141</v>
      </c>
      <c r="B14" s="146"/>
      <c r="C14" s="147">
        <v>-41.1</v>
      </c>
      <c r="D14" s="146"/>
      <c r="E14" s="147">
        <v>7.5</v>
      </c>
      <c r="F14" s="146"/>
      <c r="G14" s="147">
        <v>1.3</v>
      </c>
      <c r="H14" s="146"/>
      <c r="I14" s="147">
        <v>0.561538461538462</v>
      </c>
      <c r="J14" s="146"/>
      <c r="K14" s="147">
        <v>2.92413793103448</v>
      </c>
    </row>
    <row r="15" ht="18" customHeight="1" spans="1:11">
      <c r="A15" s="148" t="s">
        <v>142</v>
      </c>
      <c r="B15" s="146"/>
      <c r="C15" s="147">
        <v>-65.9</v>
      </c>
      <c r="D15" s="146"/>
      <c r="E15" s="147">
        <v>3.5</v>
      </c>
      <c r="F15" s="146"/>
      <c r="G15" s="147">
        <v>-20.5</v>
      </c>
      <c r="H15" s="146"/>
      <c r="I15" s="147">
        <v>-19.7671232876712</v>
      </c>
      <c r="J15" s="146"/>
      <c r="K15" s="147">
        <v>-17.1811320754717</v>
      </c>
    </row>
    <row r="16" ht="18" customHeight="1" spans="1:11">
      <c r="A16" s="148" t="s">
        <v>143</v>
      </c>
      <c r="B16" s="150"/>
      <c r="C16" s="151">
        <v>-61.8</v>
      </c>
      <c r="D16" s="150"/>
      <c r="E16" s="151">
        <v>34.6</v>
      </c>
      <c r="F16" s="150"/>
      <c r="G16" s="151">
        <v>57.8</v>
      </c>
      <c r="H16" s="150"/>
      <c r="I16" s="151">
        <v>57.4641025641026</v>
      </c>
      <c r="J16" s="150"/>
      <c r="K16" s="151">
        <v>60.6758620689655</v>
      </c>
    </row>
    <row r="17" ht="18" customHeight="1" spans="1:11">
      <c r="A17" s="148" t="s">
        <v>144</v>
      </c>
      <c r="B17" s="146"/>
      <c r="C17" s="147">
        <v>46.9</v>
      </c>
      <c r="D17" s="146"/>
      <c r="E17" s="147">
        <v>53.3</v>
      </c>
      <c r="F17" s="146"/>
      <c r="G17" s="147">
        <v>26.8</v>
      </c>
      <c r="H17" s="146"/>
      <c r="I17" s="147">
        <v>19.9346153846154</v>
      </c>
      <c r="J17" s="146"/>
      <c r="K17" s="147">
        <v>17.8189655172414</v>
      </c>
    </row>
    <row r="18" ht="18" customHeight="1" spans="1:11">
      <c r="A18" s="148" t="s">
        <v>145</v>
      </c>
      <c r="B18" s="146"/>
      <c r="C18" s="147">
        <v>-15</v>
      </c>
      <c r="D18" s="146"/>
      <c r="E18" s="147">
        <v>-10.2</v>
      </c>
      <c r="F18" s="146"/>
      <c r="G18" s="147">
        <v>-20.8</v>
      </c>
      <c r="H18" s="146"/>
      <c r="I18" s="147">
        <v>-8.76164383561644</v>
      </c>
      <c r="J18" s="146"/>
      <c r="K18" s="147">
        <v>-4.70566037735849</v>
      </c>
    </row>
    <row r="19" ht="18" customHeight="1" spans="1:11">
      <c r="A19" s="148" t="s">
        <v>146</v>
      </c>
      <c r="B19" s="146"/>
      <c r="C19" s="147">
        <v>10.6</v>
      </c>
      <c r="D19" s="146"/>
      <c r="E19" s="147">
        <v>-2.7</v>
      </c>
      <c r="F19" s="146"/>
      <c r="G19" s="147">
        <v>8.2</v>
      </c>
      <c r="H19" s="146"/>
      <c r="I19" s="147">
        <v>1.59102564102564</v>
      </c>
      <c r="J19" s="146"/>
      <c r="K19" s="147">
        <v>-4.15849056603773</v>
      </c>
    </row>
    <row r="20" ht="18" customHeight="1" spans="1:11">
      <c r="A20" s="148" t="s">
        <v>147</v>
      </c>
      <c r="B20" s="146"/>
      <c r="C20" s="147">
        <v>24.9</v>
      </c>
      <c r="D20" s="146"/>
      <c r="E20" s="147">
        <v>63.9</v>
      </c>
      <c r="F20" s="146"/>
      <c r="G20" s="147">
        <v>87.3</v>
      </c>
      <c r="H20" s="146"/>
      <c r="I20" s="147">
        <v>87.974358974359</v>
      </c>
      <c r="J20" s="146"/>
      <c r="K20" s="147">
        <v>84.6172413793104</v>
      </c>
    </row>
    <row r="21" ht="18" customHeight="1" spans="1:11">
      <c r="A21" s="148" t="s">
        <v>148</v>
      </c>
      <c r="B21" s="146"/>
      <c r="C21" s="147">
        <v>9.1</v>
      </c>
      <c r="D21" s="146"/>
      <c r="E21" s="147">
        <v>18.1</v>
      </c>
      <c r="F21" s="146"/>
      <c r="G21" s="147">
        <v>24.9</v>
      </c>
      <c r="H21" s="146"/>
      <c r="I21" s="147">
        <v>34.2538461538462</v>
      </c>
      <c r="J21" s="146"/>
      <c r="K21" s="147">
        <v>20.1948275862069</v>
      </c>
    </row>
    <row r="22" ht="18" customHeight="1" spans="1:11">
      <c r="A22" s="148" t="s">
        <v>149</v>
      </c>
      <c r="B22" s="146"/>
      <c r="C22" s="147">
        <v>-0.4</v>
      </c>
      <c r="D22" s="146"/>
      <c r="E22" s="147">
        <v>7</v>
      </c>
      <c r="F22" s="146"/>
      <c r="G22" s="147">
        <v>6.8</v>
      </c>
      <c r="H22" s="146"/>
      <c r="I22" s="147">
        <v>5.1474358974359</v>
      </c>
      <c r="J22" s="146"/>
      <c r="K22" s="147">
        <v>6.21379310344828</v>
      </c>
    </row>
    <row r="23" ht="18" customHeight="1" spans="1:11">
      <c r="A23" s="148" t="s">
        <v>150</v>
      </c>
      <c r="B23" s="146"/>
      <c r="C23" s="147">
        <v>-1.9</v>
      </c>
      <c r="D23" s="146"/>
      <c r="E23" s="147">
        <v>-1.2</v>
      </c>
      <c r="F23" s="146"/>
      <c r="G23" s="147">
        <v>-7.9</v>
      </c>
      <c r="H23" s="146"/>
      <c r="I23" s="147">
        <v>-9.93698630136986</v>
      </c>
      <c r="J23" s="146"/>
      <c r="K23" s="147">
        <v>-9.84905660377358</v>
      </c>
    </row>
    <row r="24" ht="18" customHeight="1" spans="1:11">
      <c r="A24" s="148" t="s">
        <v>151</v>
      </c>
      <c r="B24" s="146"/>
      <c r="C24" s="147">
        <v>3.7</v>
      </c>
      <c r="D24" s="146"/>
      <c r="E24" s="147">
        <v>4.1</v>
      </c>
      <c r="F24" s="146"/>
      <c r="G24" s="147">
        <v>5.5</v>
      </c>
      <c r="H24" s="146"/>
      <c r="I24" s="147">
        <v>0.748717948717949</v>
      </c>
      <c r="J24" s="146"/>
      <c r="K24" s="147">
        <v>-2.07924528301887</v>
      </c>
    </row>
    <row r="25" ht="18" customHeight="1" spans="1:11">
      <c r="A25" s="148" t="s">
        <v>152</v>
      </c>
      <c r="B25" s="146"/>
      <c r="C25" s="147">
        <v>4</v>
      </c>
      <c r="D25" s="146"/>
      <c r="E25" s="147">
        <v>55.1</v>
      </c>
      <c r="F25" s="146"/>
      <c r="G25" s="147">
        <v>65.8</v>
      </c>
      <c r="H25" s="146"/>
      <c r="I25" s="147">
        <v>65.325641025641</v>
      </c>
      <c r="J25" s="146"/>
      <c r="K25" s="147">
        <v>87.1758620689655</v>
      </c>
    </row>
    <row r="26" ht="18" customHeight="1" spans="1:11">
      <c r="A26" s="148" t="s">
        <v>153</v>
      </c>
      <c r="B26" s="146"/>
      <c r="C26" s="147">
        <v>-52</v>
      </c>
      <c r="D26" s="146"/>
      <c r="E26" s="147">
        <v>-26.3</v>
      </c>
      <c r="F26" s="146"/>
      <c r="G26" s="147">
        <v>-37.2</v>
      </c>
      <c r="H26" s="146"/>
      <c r="I26" s="147">
        <v>-14.5315068493151</v>
      </c>
      <c r="J26" s="146"/>
      <c r="K26" s="147">
        <v>-15.977358490566</v>
      </c>
    </row>
    <row r="27" ht="18" customHeight="1" spans="1:11">
      <c r="A27" s="148" t="s">
        <v>154</v>
      </c>
      <c r="B27" s="146"/>
      <c r="C27" s="147">
        <v>-12.1</v>
      </c>
      <c r="D27" s="146"/>
      <c r="E27" s="147">
        <v>34.9</v>
      </c>
      <c r="F27" s="146"/>
      <c r="G27" s="147">
        <v>22.8</v>
      </c>
      <c r="H27" s="146"/>
      <c r="I27" s="147">
        <v>25.924358974359</v>
      </c>
      <c r="J27" s="146"/>
      <c r="K27" s="147">
        <v>26.2258620689655</v>
      </c>
    </row>
    <row r="28" ht="18" customHeight="1" spans="1:11">
      <c r="A28" s="148" t="s">
        <v>155</v>
      </c>
      <c r="B28" s="146"/>
      <c r="C28" s="147">
        <v>5.8</v>
      </c>
      <c r="D28" s="146"/>
      <c r="E28" s="147">
        <v>33.1</v>
      </c>
      <c r="F28" s="146"/>
      <c r="G28" s="147">
        <v>30.3</v>
      </c>
      <c r="H28" s="146"/>
      <c r="I28" s="147">
        <v>20.2153846153846</v>
      </c>
      <c r="J28" s="146"/>
      <c r="K28" s="147">
        <v>10.5086206896552</v>
      </c>
    </row>
    <row r="29" ht="18" customHeight="1" spans="1:11">
      <c r="A29" s="148" t="s">
        <v>156</v>
      </c>
      <c r="B29" s="146"/>
      <c r="C29" s="147">
        <v>24.6</v>
      </c>
      <c r="D29" s="146"/>
      <c r="E29" s="147">
        <v>-7.3</v>
      </c>
      <c r="F29" s="146"/>
      <c r="G29" s="147">
        <v>-6.1</v>
      </c>
      <c r="H29" s="146"/>
      <c r="I29" s="147">
        <v>-10.4712328767123</v>
      </c>
      <c r="J29" s="146"/>
      <c r="K29" s="147">
        <v>-8.86415094339622</v>
      </c>
    </row>
    <row r="30" ht="18" customHeight="1" spans="1:11">
      <c r="A30" s="148" t="s">
        <v>157</v>
      </c>
      <c r="B30" s="146"/>
      <c r="C30" s="147">
        <v>25.4</v>
      </c>
      <c r="D30" s="146"/>
      <c r="E30" s="147">
        <v>21.9</v>
      </c>
      <c r="F30" s="146"/>
      <c r="G30" s="147">
        <v>25.7</v>
      </c>
      <c r="H30" s="146"/>
      <c r="I30" s="147">
        <v>21.4320512820513</v>
      </c>
      <c r="J30" s="146"/>
      <c r="K30" s="147">
        <v>19.4637931034483</v>
      </c>
    </row>
    <row r="31" ht="18" customHeight="1" spans="1:11">
      <c r="A31" s="148" t="s">
        <v>158</v>
      </c>
      <c r="B31" s="146"/>
      <c r="C31" s="147">
        <v>-19.9</v>
      </c>
      <c r="D31" s="146"/>
      <c r="E31" s="147">
        <v>7.7</v>
      </c>
      <c r="F31" s="146"/>
      <c r="G31" s="147">
        <v>-0.5</v>
      </c>
      <c r="H31" s="146"/>
      <c r="I31" s="147">
        <v>3.83717948717949</v>
      </c>
      <c r="J31" s="146"/>
      <c r="K31" s="147">
        <v>2.10172413793103</v>
      </c>
    </row>
    <row r="32" ht="18" customHeight="1" spans="1:11">
      <c r="A32" s="148" t="s">
        <v>159</v>
      </c>
      <c r="B32" s="146"/>
      <c r="C32" s="147">
        <v>64.5</v>
      </c>
      <c r="D32" s="146"/>
      <c r="E32" s="147">
        <v>181.3</v>
      </c>
      <c r="F32" s="146"/>
      <c r="G32" s="147">
        <v>198.4</v>
      </c>
      <c r="H32" s="146"/>
      <c r="I32" s="147">
        <v>261.396153846154</v>
      </c>
      <c r="J32" s="146"/>
      <c r="K32" s="147">
        <v>263.172413793103</v>
      </c>
    </row>
    <row r="33" ht="21.75" customHeight="1" spans="1:155">
      <c r="A33" s="149" t="s">
        <v>160</v>
      </c>
      <c r="B33" s="208"/>
      <c r="C33" s="187">
        <v>-3.51669903914342</v>
      </c>
      <c r="D33" s="208"/>
      <c r="E33" s="187">
        <v>5.02229662466054</v>
      </c>
      <c r="F33" s="208"/>
      <c r="G33" s="187">
        <v>9.19443671954497</v>
      </c>
      <c r="H33" s="208"/>
      <c r="I33" s="187">
        <v>12.1987752949311</v>
      </c>
      <c r="J33" s="208"/>
      <c r="K33" s="187">
        <v>12.683968660749</v>
      </c>
    </row>
    <row r="34" ht="18" customHeight="1" spans="1:155">
      <c r="A34" s="148" t="s">
        <v>161</v>
      </c>
      <c r="B34" s="146"/>
      <c r="C34" s="147">
        <v>-4</v>
      </c>
      <c r="D34" s="146"/>
      <c r="E34" s="147">
        <v>3.5</v>
      </c>
      <c r="F34" s="146"/>
      <c r="G34" s="147">
        <v>8.9</v>
      </c>
      <c r="H34" s="146"/>
      <c r="I34" s="147">
        <v>12.6346153846154</v>
      </c>
      <c r="J34" s="146"/>
      <c r="K34" s="147">
        <v>13.0672413793103</v>
      </c>
    </row>
    <row r="35" ht="18" customHeight="1" spans="1:155">
      <c r="A35" s="148" t="s">
        <v>162</v>
      </c>
      <c r="B35" s="146"/>
      <c r="C35" s="147">
        <v>23.8</v>
      </c>
      <c r="D35" s="146"/>
      <c r="E35" s="147">
        <v>65</v>
      </c>
      <c r="F35" s="146"/>
      <c r="G35" s="147">
        <v>43.9</v>
      </c>
      <c r="H35" s="146"/>
      <c r="I35" s="147">
        <v>38.2782051282051</v>
      </c>
      <c r="J35" s="146"/>
      <c r="K35" s="147">
        <v>32.8965517241379</v>
      </c>
    </row>
    <row r="36" ht="18" customHeight="1" spans="1:155">
      <c r="A36" s="152" t="s">
        <v>163</v>
      </c>
      <c r="B36" s="153"/>
      <c r="C36" s="154">
        <v>-2.3</v>
      </c>
      <c r="D36" s="153"/>
      <c r="E36" s="154">
        <v>4.9</v>
      </c>
      <c r="F36" s="153"/>
      <c r="G36" s="154">
        <v>-1.2</v>
      </c>
      <c r="H36" s="153"/>
      <c r="I36" s="154">
        <v>-3.0986301369863</v>
      </c>
      <c r="J36" s="153"/>
      <c r="K36" s="154">
        <v>-4.81509433962264</v>
      </c>
    </row>
    <row r="37" s="134" customFormat="1" ht="44" customHeight="1" spans="1:155">
      <c r="A37" s="155" t="s">
        <v>129</v>
      </c>
      <c r="B37" s="155"/>
      <c r="C37" s="155"/>
      <c r="D37" s="155"/>
      <c r="E37" s="155"/>
      <c r="F37" s="155"/>
      <c r="G37" s="155"/>
      <c r="H37" s="155"/>
      <c r="I37" s="155"/>
      <c r="J37" s="155"/>
      <c r="K37" s="155"/>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c r="BH37" s="133"/>
      <c r="BI37" s="133"/>
      <c r="BJ37" s="133"/>
      <c r="BK37" s="133"/>
      <c r="BL37" s="133"/>
      <c r="BM37" s="133"/>
      <c r="BN37" s="133"/>
      <c r="BO37" s="133"/>
      <c r="BP37" s="133"/>
      <c r="BQ37" s="133"/>
      <c r="BR37" s="133"/>
      <c r="BS37" s="133"/>
      <c r="BT37" s="133"/>
      <c r="BU37" s="133"/>
      <c r="BV37" s="133"/>
      <c r="BW37" s="133"/>
      <c r="BX37" s="133"/>
      <c r="BY37" s="133"/>
      <c r="BZ37" s="133"/>
      <c r="CA37" s="133"/>
      <c r="CB37" s="133"/>
      <c r="CC37" s="133"/>
      <c r="CD37" s="133"/>
      <c r="CE37" s="133"/>
      <c r="CF37" s="133"/>
      <c r="CG37" s="133"/>
      <c r="CH37" s="133"/>
      <c r="CI37" s="133"/>
      <c r="CJ37" s="133"/>
      <c r="CK37" s="133"/>
      <c r="CL37" s="133"/>
      <c r="CM37" s="133"/>
      <c r="CN37" s="133"/>
      <c r="CO37" s="133"/>
      <c r="CP37" s="133"/>
      <c r="CQ37" s="133"/>
      <c r="CR37" s="133"/>
      <c r="CS37" s="133"/>
      <c r="CT37" s="133"/>
      <c r="CU37" s="133"/>
      <c r="CV37" s="133"/>
      <c r="CW37" s="133"/>
      <c r="CX37" s="133"/>
      <c r="CY37" s="133"/>
      <c r="CZ37" s="133"/>
      <c r="DA37" s="133"/>
      <c r="DB37" s="133"/>
      <c r="DC37" s="133"/>
      <c r="DD37" s="133"/>
      <c r="DE37" s="133"/>
      <c r="DF37" s="133"/>
      <c r="DG37" s="133"/>
      <c r="DH37" s="133"/>
      <c r="DI37" s="133"/>
      <c r="DJ37" s="133"/>
      <c r="DK37" s="133"/>
      <c r="DL37" s="133"/>
      <c r="DM37" s="133"/>
      <c r="DN37" s="133"/>
      <c r="DO37" s="133"/>
      <c r="DP37" s="133"/>
      <c r="DQ37" s="133"/>
      <c r="DR37" s="133"/>
      <c r="DS37" s="133"/>
      <c r="DT37" s="133"/>
      <c r="DU37" s="133"/>
      <c r="DV37" s="133"/>
      <c r="DW37" s="133"/>
      <c r="DX37" s="133"/>
      <c r="DY37" s="133"/>
      <c r="DZ37" s="133"/>
      <c r="EA37" s="133"/>
      <c r="EB37" s="133"/>
      <c r="EC37" s="133"/>
      <c r="ED37" s="133"/>
      <c r="EE37" s="133"/>
      <c r="EF37" s="133"/>
      <c r="EG37" s="133"/>
      <c r="EH37" s="133"/>
      <c r="EI37" s="133"/>
      <c r="EJ37" s="133"/>
      <c r="EK37" s="133"/>
      <c r="EL37" s="133"/>
      <c r="EM37" s="133"/>
      <c r="EN37" s="133"/>
      <c r="EO37" s="133"/>
      <c r="EP37" s="133"/>
      <c r="EQ37" s="133"/>
      <c r="ER37" s="133"/>
      <c r="ES37" s="133"/>
      <c r="ET37" s="133"/>
      <c r="EU37" s="133"/>
      <c r="EV37" s="133"/>
      <c r="EW37" s="133"/>
      <c r="EX37" s="133"/>
      <c r="EY37" s="133"/>
    </row>
    <row r="38" ht="41" customHeight="1"/>
  </sheetData>
  <mergeCells count="8">
    <mergeCell ref="A1:K1"/>
    <mergeCell ref="B2:C2"/>
    <mergeCell ref="D2:E2"/>
    <mergeCell ref="F2:G2"/>
    <mergeCell ref="H2:I2"/>
    <mergeCell ref="J2:K2"/>
    <mergeCell ref="A37:K37"/>
    <mergeCell ref="A2:A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J21"/>
  <sheetViews>
    <sheetView zoomScale="80" zoomScaleNormal="80" workbookViewId="0">
      <pane xSplit="2" ySplit="3" topLeftCell="C4" activePane="bottomRight" state="frozen"/>
      <selection/>
      <selection pane="topRight"/>
      <selection pane="bottomLeft"/>
      <selection pane="bottomRight" activeCell="B11" sqref="B11"/>
    </sheetView>
  </sheetViews>
  <sheetFormatPr defaultColWidth="9" defaultRowHeight="14.25"/>
  <cols>
    <col min="1" max="1" width="17.025" style="133" customWidth="1"/>
    <col min="2" max="2" width="7.625" style="133" customWidth="1"/>
    <col min="3" max="4" width="11.3916666666667" style="133" customWidth="1"/>
    <col min="5" max="5" width="11.4" style="133" customWidth="1"/>
    <col min="6" max="6" width="10.775" style="133" customWidth="1"/>
    <col min="7" max="7" width="11.4" style="133" customWidth="1"/>
    <col min="8" max="8" width="10.775" style="133" customWidth="1"/>
    <col min="9" max="9" width="11.4" style="133" customWidth="1"/>
    <col min="10" max="10" width="10.775" style="133" customWidth="1"/>
    <col min="11" max="16384" width="9" style="133"/>
  </cols>
  <sheetData>
    <row r="1" ht="28.5" customHeight="1" spans="1:10">
      <c r="A1" s="135" t="s">
        <v>164</v>
      </c>
      <c r="B1" s="135"/>
      <c r="C1" s="135"/>
      <c r="D1" s="135"/>
      <c r="E1" s="135"/>
      <c r="F1" s="135"/>
      <c r="G1" s="135"/>
      <c r="H1" s="135"/>
      <c r="I1" s="135"/>
      <c r="J1" s="135"/>
    </row>
    <row r="2" ht="21" customHeight="1" spans="1:10">
      <c r="A2" s="272" t="s">
        <v>165</v>
      </c>
      <c r="B2" s="273" t="s">
        <v>2</v>
      </c>
      <c r="C2" s="137" t="s">
        <v>3</v>
      </c>
      <c r="D2" s="138"/>
      <c r="E2" s="137" t="s">
        <v>4</v>
      </c>
      <c r="F2" s="138"/>
      <c r="G2" s="137" t="s">
        <v>5</v>
      </c>
      <c r="H2" s="138"/>
      <c r="I2" s="137" t="s">
        <v>6</v>
      </c>
      <c r="J2" s="138"/>
    </row>
    <row r="3" ht="21" customHeight="1" spans="1:10">
      <c r="A3" s="282"/>
      <c r="B3" s="283"/>
      <c r="C3" s="140" t="s">
        <v>8</v>
      </c>
      <c r="D3" s="141" t="s">
        <v>9</v>
      </c>
      <c r="E3" s="140" t="s">
        <v>8</v>
      </c>
      <c r="F3" s="141" t="s">
        <v>9</v>
      </c>
      <c r="G3" s="140" t="s">
        <v>8</v>
      </c>
      <c r="H3" s="141" t="s">
        <v>9</v>
      </c>
      <c r="I3" s="140" t="s">
        <v>8</v>
      </c>
      <c r="J3" s="141" t="s">
        <v>9</v>
      </c>
    </row>
    <row r="4" ht="34" customHeight="1" spans="1:10">
      <c r="A4" s="274" t="s">
        <v>166</v>
      </c>
      <c r="B4" s="275" t="s">
        <v>167</v>
      </c>
      <c r="C4" s="239">
        <v>795</v>
      </c>
      <c r="D4" s="147">
        <v>-3.04878048780488</v>
      </c>
      <c r="E4" s="239">
        <v>704</v>
      </c>
      <c r="F4" s="147">
        <v>-11.1111111111111</v>
      </c>
      <c r="G4" s="239">
        <v>706</v>
      </c>
      <c r="H4" s="147">
        <v>-10.9</v>
      </c>
      <c r="I4" s="239">
        <v>706</v>
      </c>
      <c r="J4" s="147">
        <v>-10.9</v>
      </c>
    </row>
    <row r="5" ht="34" customHeight="1" spans="1:10">
      <c r="A5" s="148" t="s">
        <v>168</v>
      </c>
      <c r="B5" s="277" t="s">
        <v>167</v>
      </c>
      <c r="C5" s="239">
        <v>255</v>
      </c>
      <c r="D5" s="147">
        <v>13.8</v>
      </c>
      <c r="E5" s="239">
        <v>264</v>
      </c>
      <c r="F5" s="147">
        <v>0.8</v>
      </c>
      <c r="G5" s="239">
        <v>324</v>
      </c>
      <c r="H5" s="147">
        <v>16.5</v>
      </c>
      <c r="I5" s="239">
        <v>277</v>
      </c>
      <c r="J5" s="147">
        <v>13.1</v>
      </c>
    </row>
    <row r="6" ht="34" customHeight="1" spans="1:10">
      <c r="A6" s="148" t="s">
        <v>169</v>
      </c>
      <c r="B6" s="277" t="s">
        <v>11</v>
      </c>
      <c r="C6" s="146">
        <v>84.43</v>
      </c>
      <c r="D6" s="147">
        <v>68.7</v>
      </c>
      <c r="E6" s="146">
        <v>17.01</v>
      </c>
      <c r="F6" s="147">
        <v>54.5</v>
      </c>
      <c r="G6" s="146">
        <v>23.56</v>
      </c>
      <c r="H6" s="147">
        <v>43.7</v>
      </c>
      <c r="I6" s="146">
        <v>31.03</v>
      </c>
      <c r="J6" s="147">
        <v>33.5</v>
      </c>
    </row>
    <row r="7" ht="34" customHeight="1" spans="1:10">
      <c r="A7" s="148" t="s">
        <v>170</v>
      </c>
      <c r="B7" s="277" t="s">
        <v>11</v>
      </c>
      <c r="C7" s="146">
        <v>1306.02</v>
      </c>
      <c r="D7" s="147">
        <v>-1.8</v>
      </c>
      <c r="E7" s="146">
        <v>1345.18</v>
      </c>
      <c r="F7" s="147">
        <v>2.6</v>
      </c>
      <c r="G7" s="146">
        <v>1423.99</v>
      </c>
      <c r="H7" s="147">
        <v>6.4</v>
      </c>
      <c r="I7" s="146">
        <v>1423.38</v>
      </c>
      <c r="J7" s="147">
        <v>6.4</v>
      </c>
    </row>
    <row r="8" ht="34" customHeight="1" spans="1:10">
      <c r="A8" s="148" t="s">
        <v>171</v>
      </c>
      <c r="B8" s="277" t="s">
        <v>11</v>
      </c>
      <c r="C8" s="146">
        <v>296.74</v>
      </c>
      <c r="D8" s="147">
        <v>-8.2</v>
      </c>
      <c r="E8" s="146">
        <v>325.56</v>
      </c>
      <c r="F8" s="147">
        <v>-0.2</v>
      </c>
      <c r="G8" s="146">
        <v>356.5</v>
      </c>
      <c r="H8" s="147">
        <v>4.5</v>
      </c>
      <c r="I8" s="146">
        <v>349.58</v>
      </c>
      <c r="J8" s="147">
        <v>7</v>
      </c>
    </row>
    <row r="9" ht="34" customHeight="1" spans="1:10">
      <c r="A9" s="148" t="s">
        <v>172</v>
      </c>
      <c r="B9" s="277" t="s">
        <v>11</v>
      </c>
      <c r="C9" s="146">
        <v>77.72</v>
      </c>
      <c r="D9" s="147">
        <v>-21.3</v>
      </c>
      <c r="E9" s="146">
        <v>99.13</v>
      </c>
      <c r="F9" s="147">
        <v>2.1</v>
      </c>
      <c r="G9" s="146">
        <v>109.57</v>
      </c>
      <c r="H9" s="147">
        <v>13.5</v>
      </c>
      <c r="I9" s="146">
        <v>104.47</v>
      </c>
      <c r="J9" s="147">
        <v>19.7</v>
      </c>
    </row>
    <row r="10" ht="34" customHeight="1" spans="1:10">
      <c r="A10" s="148" t="s">
        <v>173</v>
      </c>
      <c r="B10" s="277" t="s">
        <v>11</v>
      </c>
      <c r="C10" s="146">
        <v>4643.3</v>
      </c>
      <c r="D10" s="147">
        <v>2.6</v>
      </c>
      <c r="E10" s="146">
        <v>4616.75</v>
      </c>
      <c r="F10" s="147">
        <v>1</v>
      </c>
      <c r="G10" s="146">
        <v>4855.47</v>
      </c>
      <c r="H10" s="147">
        <v>5.8</v>
      </c>
      <c r="I10" s="146">
        <v>4835.87</v>
      </c>
      <c r="J10" s="147">
        <v>5.1</v>
      </c>
    </row>
    <row r="11" ht="34" customHeight="1" spans="1:10">
      <c r="A11" s="148" t="s">
        <v>174</v>
      </c>
      <c r="B11" s="277" t="s">
        <v>11</v>
      </c>
      <c r="C11" s="146">
        <v>3072.29</v>
      </c>
      <c r="D11" s="147">
        <v>3.3</v>
      </c>
      <c r="E11" s="146">
        <v>3190.83</v>
      </c>
      <c r="F11" s="147">
        <v>6.7</v>
      </c>
      <c r="G11" s="146">
        <v>3285.53</v>
      </c>
      <c r="H11" s="147">
        <v>9.3</v>
      </c>
      <c r="I11" s="146">
        <v>3272.56</v>
      </c>
      <c r="J11" s="147">
        <v>9</v>
      </c>
    </row>
    <row r="12" ht="34" customHeight="1" spans="1:10">
      <c r="A12" s="148" t="s">
        <v>175</v>
      </c>
      <c r="B12" s="277" t="s">
        <v>11</v>
      </c>
      <c r="C12" s="146">
        <v>3205.32</v>
      </c>
      <c r="D12" s="147">
        <v>-1.8</v>
      </c>
      <c r="E12" s="146">
        <v>514.77</v>
      </c>
      <c r="F12" s="147">
        <v>2.9</v>
      </c>
      <c r="G12" s="146">
        <v>822.74</v>
      </c>
      <c r="H12" s="147">
        <v>8.4</v>
      </c>
      <c r="I12" s="146">
        <v>1130.69</v>
      </c>
      <c r="J12" s="147">
        <v>10.4</v>
      </c>
    </row>
    <row r="13" ht="34" customHeight="1" spans="1:10">
      <c r="A13" s="148" t="s">
        <v>176</v>
      </c>
      <c r="B13" s="277" t="s">
        <v>11</v>
      </c>
      <c r="C13" s="146">
        <v>2655.73</v>
      </c>
      <c r="D13" s="147">
        <v>-3.4</v>
      </c>
      <c r="E13" s="146">
        <v>427.07</v>
      </c>
      <c r="F13" s="147">
        <v>4.8</v>
      </c>
      <c r="G13" s="146">
        <v>673.02</v>
      </c>
      <c r="H13" s="147">
        <v>7.9</v>
      </c>
      <c r="I13" s="146">
        <v>939.03</v>
      </c>
      <c r="J13" s="147">
        <v>11.6</v>
      </c>
    </row>
    <row r="14" ht="34" customHeight="1" spans="1:10">
      <c r="A14" s="148" t="s">
        <v>177</v>
      </c>
      <c r="B14" s="277" t="s">
        <v>11</v>
      </c>
      <c r="C14" s="146">
        <v>32.4</v>
      </c>
      <c r="D14" s="147">
        <v>-7.4</v>
      </c>
      <c r="E14" s="146">
        <v>5.52</v>
      </c>
      <c r="F14" s="147">
        <v>21.3</v>
      </c>
      <c r="G14" s="146">
        <v>8.86</v>
      </c>
      <c r="H14" s="147">
        <v>30.7</v>
      </c>
      <c r="I14" s="146">
        <v>11.86</v>
      </c>
      <c r="J14" s="147">
        <v>28.8</v>
      </c>
    </row>
    <row r="15" ht="34" customHeight="1" spans="1:10">
      <c r="A15" s="148" t="s">
        <v>178</v>
      </c>
      <c r="B15" s="277" t="s">
        <v>11</v>
      </c>
      <c r="C15" s="146">
        <v>77.62</v>
      </c>
      <c r="D15" s="147">
        <v>-1.5</v>
      </c>
      <c r="E15" s="146">
        <v>9.7</v>
      </c>
      <c r="F15" s="147">
        <v>-25.8</v>
      </c>
      <c r="G15" s="146">
        <v>14.53</v>
      </c>
      <c r="H15" s="147">
        <v>-19.6</v>
      </c>
      <c r="I15" s="146">
        <v>19.56</v>
      </c>
      <c r="J15" s="147">
        <v>-19.2</v>
      </c>
    </row>
    <row r="16" ht="34" customHeight="1" spans="1:10">
      <c r="A16" s="148" t="s">
        <v>179</v>
      </c>
      <c r="B16" s="277" t="s">
        <v>11</v>
      </c>
      <c r="C16" s="146">
        <v>40.47</v>
      </c>
      <c r="D16" s="147">
        <v>9.4</v>
      </c>
      <c r="E16" s="146">
        <v>7.8</v>
      </c>
      <c r="F16" s="147">
        <v>67</v>
      </c>
      <c r="G16" s="146">
        <v>12.21</v>
      </c>
      <c r="H16" s="147">
        <v>24.2</v>
      </c>
      <c r="I16" s="146">
        <v>16.36</v>
      </c>
      <c r="J16" s="147">
        <v>29.4</v>
      </c>
    </row>
    <row r="17" ht="34" customHeight="1" spans="1:10">
      <c r="A17" s="148" t="s">
        <v>180</v>
      </c>
      <c r="B17" s="277" t="s">
        <v>11</v>
      </c>
      <c r="C17" s="146">
        <v>134.3</v>
      </c>
      <c r="D17" s="147">
        <v>7.8</v>
      </c>
      <c r="E17" s="146">
        <v>22.53</v>
      </c>
      <c r="F17" s="147">
        <v>-16.9</v>
      </c>
      <c r="G17" s="146">
        <v>49.59</v>
      </c>
      <c r="H17" s="147">
        <v>22.4</v>
      </c>
      <c r="I17" s="146">
        <v>50.61</v>
      </c>
      <c r="J17" s="147">
        <v>-10.6</v>
      </c>
    </row>
    <row r="18" ht="34" customHeight="1" spans="1:10">
      <c r="A18" s="148" t="s">
        <v>181</v>
      </c>
      <c r="B18" s="277" t="s">
        <v>11</v>
      </c>
      <c r="C18" s="150">
        <v>241.51</v>
      </c>
      <c r="D18" s="151">
        <v>11.1</v>
      </c>
      <c r="E18" s="150">
        <v>40.19</v>
      </c>
      <c r="F18" s="151">
        <v>-3.4</v>
      </c>
      <c r="G18" s="150">
        <v>91.06</v>
      </c>
      <c r="H18" s="151">
        <v>7.5</v>
      </c>
      <c r="I18" s="150">
        <v>82.62</v>
      </c>
      <c r="J18" s="151">
        <v>3.3</v>
      </c>
    </row>
    <row r="19" s="133" customFormat="1" ht="34" customHeight="1" spans="1:10">
      <c r="A19" s="148" t="s">
        <v>182</v>
      </c>
      <c r="B19" s="277" t="s">
        <v>11</v>
      </c>
      <c r="C19" s="146">
        <v>160.32</v>
      </c>
      <c r="D19" s="147">
        <v>8.9</v>
      </c>
      <c r="E19" s="146">
        <v>16.65</v>
      </c>
      <c r="F19" s="147">
        <v>-5.6</v>
      </c>
      <c r="G19" s="146">
        <v>29.26</v>
      </c>
      <c r="H19" s="147">
        <v>13.9</v>
      </c>
      <c r="I19" s="146">
        <v>39.65</v>
      </c>
      <c r="J19" s="147">
        <v>16.8</v>
      </c>
    </row>
    <row r="20" s="133" customFormat="1" ht="34" customHeight="1" spans="1:10">
      <c r="A20" s="152" t="s">
        <v>183</v>
      </c>
      <c r="B20" s="280" t="s">
        <v>184</v>
      </c>
      <c r="C20" s="153">
        <v>9.61</v>
      </c>
      <c r="D20" s="154">
        <v>-6.3</v>
      </c>
      <c r="E20" s="153">
        <v>9.53</v>
      </c>
      <c r="F20" s="154">
        <v>-1.5</v>
      </c>
      <c r="G20" s="153">
        <v>9.63</v>
      </c>
      <c r="H20" s="154">
        <v>-0.7</v>
      </c>
      <c r="I20" s="153">
        <v>9.59</v>
      </c>
      <c r="J20" s="154">
        <v>-0.2</v>
      </c>
    </row>
    <row r="21" ht="36" customHeight="1" spans="1:10">
      <c r="A21" s="155"/>
      <c r="B21" s="155"/>
      <c r="C21" s="155"/>
      <c r="D21" s="155"/>
      <c r="E21" s="155"/>
      <c r="F21" s="155"/>
      <c r="G21" s="155"/>
      <c r="H21" s="155"/>
      <c r="I21" s="155"/>
      <c r="J21" s="155"/>
    </row>
  </sheetData>
  <mergeCells count="8">
    <mergeCell ref="A1:J1"/>
    <mergeCell ref="C2:D2"/>
    <mergeCell ref="E2:F2"/>
    <mergeCell ref="G2:H2"/>
    <mergeCell ref="I2:J2"/>
    <mergeCell ref="A21:J21"/>
    <mergeCell ref="A2:A3"/>
    <mergeCell ref="B2:B3"/>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16"/>
  <sheetViews>
    <sheetView zoomScale="80" zoomScaleNormal="80" workbookViewId="0">
      <pane xSplit="2" ySplit="2" topLeftCell="C3" activePane="bottomRight" state="frozen"/>
      <selection/>
      <selection pane="topRight"/>
      <selection pane="bottomLeft"/>
      <selection pane="bottomRight" activeCell="F3" sqref="F3:F14"/>
    </sheetView>
  </sheetViews>
  <sheetFormatPr defaultColWidth="9" defaultRowHeight="14.25" outlineLevelCol="5"/>
  <cols>
    <col min="1" max="1" width="25.0416666666667" style="133" customWidth="1"/>
    <col min="2" max="2" width="8.975" style="133" customWidth="1"/>
    <col min="3" max="6" width="13.7416666666667" style="133" customWidth="1"/>
    <col min="7" max="16384" width="9" style="133"/>
  </cols>
  <sheetData>
    <row r="1" ht="42" customHeight="1" spans="1:6">
      <c r="A1" s="135" t="s">
        <v>185</v>
      </c>
      <c r="B1" s="135"/>
      <c r="C1" s="135"/>
      <c r="D1" s="135"/>
      <c r="E1" s="135"/>
      <c r="F1" s="135"/>
    </row>
    <row r="2" ht="43.35" customHeight="1" spans="1:6">
      <c r="A2" s="272" t="s">
        <v>165</v>
      </c>
      <c r="B2" s="273" t="s">
        <v>2</v>
      </c>
      <c r="C2" s="138" t="s">
        <v>3</v>
      </c>
      <c r="D2" s="138" t="s">
        <v>4</v>
      </c>
      <c r="E2" s="138" t="s">
        <v>5</v>
      </c>
      <c r="F2" s="138" t="s">
        <v>6</v>
      </c>
    </row>
    <row r="3" ht="35" customHeight="1" spans="1:6">
      <c r="A3" s="274" t="s">
        <v>186</v>
      </c>
      <c r="B3" s="275" t="s">
        <v>24</v>
      </c>
      <c r="C3" s="276">
        <v>2.93</v>
      </c>
      <c r="D3" s="276">
        <v>2.93</v>
      </c>
      <c r="E3" s="276">
        <v>4.19</v>
      </c>
      <c r="F3" s="276">
        <v>3.21</v>
      </c>
    </row>
    <row r="4" ht="35" customHeight="1" spans="1:6">
      <c r="A4" s="148" t="s">
        <v>187</v>
      </c>
      <c r="B4" s="277" t="s">
        <v>188</v>
      </c>
      <c r="C4" s="147">
        <v>0.14</v>
      </c>
      <c r="D4" s="147">
        <v>-0.63</v>
      </c>
      <c r="E4" s="147">
        <v>0.65</v>
      </c>
      <c r="F4" s="147">
        <v>-0.49</v>
      </c>
    </row>
    <row r="5" ht="35" customHeight="1" spans="1:6">
      <c r="A5" s="148" t="s">
        <v>189</v>
      </c>
      <c r="B5" s="277" t="s">
        <v>24</v>
      </c>
      <c r="C5" s="278">
        <v>101.13</v>
      </c>
      <c r="D5" s="278">
        <v>90.37</v>
      </c>
      <c r="E5" s="278">
        <v>99.18</v>
      </c>
      <c r="F5" s="278">
        <v>97.73</v>
      </c>
    </row>
    <row r="6" ht="35" customHeight="1" spans="1:6">
      <c r="A6" s="148" t="s">
        <v>187</v>
      </c>
      <c r="B6" s="277" t="s">
        <v>188</v>
      </c>
      <c r="C6" s="147">
        <v>0.6</v>
      </c>
      <c r="D6" s="147">
        <v>-8.95</v>
      </c>
      <c r="E6" s="147">
        <v>0.08</v>
      </c>
      <c r="F6" s="147">
        <v>-1.99</v>
      </c>
    </row>
    <row r="7" ht="35" customHeight="1" spans="1:6">
      <c r="A7" s="148" t="s">
        <v>190</v>
      </c>
      <c r="B7" s="277" t="s">
        <v>24</v>
      </c>
      <c r="C7" s="278">
        <v>66.17</v>
      </c>
      <c r="D7" s="278">
        <v>69.11</v>
      </c>
      <c r="E7" s="278">
        <v>67.67</v>
      </c>
      <c r="F7" s="278">
        <v>67.67</v>
      </c>
    </row>
    <row r="8" ht="35" customHeight="1" spans="1:6">
      <c r="A8" s="148" t="s">
        <v>187</v>
      </c>
      <c r="B8" s="277" t="s">
        <v>188</v>
      </c>
      <c r="C8" s="147">
        <v>0.48</v>
      </c>
      <c r="D8" s="147">
        <v>3.65</v>
      </c>
      <c r="E8" s="147">
        <v>2.15</v>
      </c>
      <c r="F8" s="147">
        <v>2.44</v>
      </c>
    </row>
    <row r="9" ht="35" customHeight="1" spans="1:6">
      <c r="A9" s="148" t="s">
        <v>191</v>
      </c>
      <c r="B9" s="277" t="s">
        <v>192</v>
      </c>
      <c r="C9" s="278">
        <v>2.44</v>
      </c>
      <c r="D9" s="278">
        <v>2.3</v>
      </c>
      <c r="E9" s="278">
        <v>2.38</v>
      </c>
      <c r="F9" s="278">
        <v>2.45</v>
      </c>
    </row>
    <row r="10" ht="35" customHeight="1" spans="1:6">
      <c r="A10" s="148" t="s">
        <v>187</v>
      </c>
      <c r="B10" s="277" t="s">
        <v>188</v>
      </c>
      <c r="C10" s="147">
        <v>0.05</v>
      </c>
      <c r="D10" s="147">
        <v>0.01</v>
      </c>
      <c r="E10" s="147">
        <v>0.09</v>
      </c>
      <c r="F10" s="147">
        <v>0.13</v>
      </c>
    </row>
    <row r="11" ht="35" customHeight="1" spans="1:6">
      <c r="A11" s="148" t="s">
        <v>193</v>
      </c>
      <c r="B11" s="277" t="s">
        <v>24</v>
      </c>
      <c r="C11" s="278">
        <v>4.75</v>
      </c>
      <c r="D11" s="278">
        <v>4.98</v>
      </c>
      <c r="E11" s="278">
        <v>6.96</v>
      </c>
      <c r="F11" s="278">
        <v>5.1</v>
      </c>
    </row>
    <row r="12" ht="35" customHeight="1" spans="1:6">
      <c r="A12" s="148" t="s">
        <v>187</v>
      </c>
      <c r="B12" s="277" t="s">
        <v>188</v>
      </c>
      <c r="C12" s="147">
        <v>0.49</v>
      </c>
      <c r="D12" s="147">
        <v>-1.29</v>
      </c>
      <c r="E12" s="147">
        <v>0.84</v>
      </c>
      <c r="F12" s="147">
        <v>-1.25</v>
      </c>
    </row>
    <row r="13" ht="35" customHeight="1" spans="1:6">
      <c r="A13" s="148" t="s">
        <v>194</v>
      </c>
      <c r="B13" s="277" t="s">
        <v>24</v>
      </c>
      <c r="C13" s="278">
        <v>99.96</v>
      </c>
      <c r="D13" s="278">
        <v>97.27</v>
      </c>
      <c r="E13" s="278">
        <v>96.56</v>
      </c>
      <c r="F13" s="278">
        <v>97.74</v>
      </c>
    </row>
    <row r="14" ht="35" customHeight="1" spans="1:6">
      <c r="A14" s="148" t="s">
        <v>187</v>
      </c>
      <c r="B14" s="277" t="s">
        <v>188</v>
      </c>
      <c r="C14" s="147">
        <v>0.46</v>
      </c>
      <c r="D14" s="147">
        <v>-1.03</v>
      </c>
      <c r="E14" s="147">
        <v>-1.43</v>
      </c>
      <c r="F14" s="147">
        <v>-1.89</v>
      </c>
    </row>
    <row r="15" ht="35" customHeight="1" spans="1:6">
      <c r="A15" s="148" t="s">
        <v>195</v>
      </c>
      <c r="B15" s="277" t="s">
        <v>196</v>
      </c>
      <c r="C15" s="278">
        <v>84.9</v>
      </c>
      <c r="D15" s="278">
        <v>91.544794</v>
      </c>
      <c r="E15" s="278">
        <v>98.5</v>
      </c>
      <c r="F15" s="279" t="s">
        <v>12</v>
      </c>
    </row>
    <row r="16" ht="35" customHeight="1" spans="1:6">
      <c r="A16" s="152" t="s">
        <v>187</v>
      </c>
      <c r="B16" s="280" t="s">
        <v>188</v>
      </c>
      <c r="C16" s="154">
        <v>10.1</v>
      </c>
      <c r="D16" s="154">
        <v>6.1</v>
      </c>
      <c r="E16" s="154">
        <v>12.1</v>
      </c>
      <c r="F16" s="281" t="s">
        <v>12</v>
      </c>
    </row>
  </sheetData>
  <mergeCells count="1">
    <mergeCell ref="A1:F1"/>
  </mergeCells>
  <printOptions horizontalCentered="1"/>
  <pageMargins left="0.748031496062992" right="0.748031496062992" top="0.551181102362205" bottom="0.748031496062992" header="0.511811023622047" footer="0.511811023622047"/>
  <pageSetup paperSize="9" orientation="portrait" horizontalDpi="6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yz</Company>
  <Application>Microsoft Excel</Application>
  <HeadingPairs>
    <vt:vector size="2" baseType="variant">
      <vt:variant>
        <vt:lpstr>工作表</vt:lpstr>
      </vt:variant>
      <vt:variant>
        <vt:i4>34</vt:i4>
      </vt:variant>
    </vt:vector>
  </HeadingPairs>
  <TitlesOfParts>
    <vt:vector size="34" baseType="lpstr">
      <vt:lpstr>-------</vt:lpstr>
      <vt:lpstr>主要指标（一）</vt:lpstr>
      <vt:lpstr>主要指标（二）</vt:lpstr>
      <vt:lpstr>分县区</vt:lpstr>
      <vt:lpstr>农业</vt:lpstr>
      <vt:lpstr>工业增加值</vt:lpstr>
      <vt:lpstr>分行业工业增加值</vt:lpstr>
      <vt:lpstr>规上工业主要经济指标</vt:lpstr>
      <vt:lpstr>规上工业经济效益指标</vt:lpstr>
      <vt:lpstr>主要工业产品产量</vt:lpstr>
      <vt:lpstr>工业综合能源消费</vt:lpstr>
      <vt:lpstr>交通运输及邮政</vt:lpstr>
      <vt:lpstr>固定资产投资</vt:lpstr>
      <vt:lpstr>社会消费品零售总额</vt:lpstr>
      <vt:lpstr>财政收支</vt:lpstr>
      <vt:lpstr>金融</vt:lpstr>
      <vt:lpstr>进出口总额</vt:lpstr>
      <vt:lpstr>居民收入和消费价格</vt:lpstr>
      <vt:lpstr>分县地区生产总值及第一产业增加值</vt:lpstr>
      <vt:lpstr>分县第二产业增加值及第三产业增加值</vt:lpstr>
      <vt:lpstr>分县农业总产值及规上工业增加值</vt:lpstr>
      <vt:lpstr>分县规上工业利润总额和营业收入</vt:lpstr>
      <vt:lpstr>分县社零和投资</vt:lpstr>
      <vt:lpstr>分县工业投资和房地产投资</vt:lpstr>
      <vt:lpstr>分县工业技术改造和制造业投资</vt:lpstr>
      <vt:lpstr>分县财政收支</vt:lpstr>
      <vt:lpstr>分市5（旧）</vt:lpstr>
      <vt:lpstr>工业序列（原）</vt:lpstr>
      <vt:lpstr>投资序列(原)</vt:lpstr>
      <vt:lpstr>消费序列（原）</vt:lpstr>
      <vt:lpstr>出口序列（原）</vt:lpstr>
      <vt:lpstr>地方预算收入序列（原）</vt:lpstr>
      <vt:lpstr>工业用电量序列 （原）</vt:lpstr>
      <vt:lpstr>价格序列（原）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mmtjj07</dc:creator>
  <cp:lastModifiedBy>筱瑾</cp:lastModifiedBy>
  <cp:revision>1</cp:revision>
  <dcterms:created xsi:type="dcterms:W3CDTF">2006-03-07T17:13:00Z</dcterms:created>
  <cp:lastPrinted>2020-03-23T21:18:00Z</cp:lastPrinted>
  <dcterms:modified xsi:type="dcterms:W3CDTF">2026-06-26T07:24:46Z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KSOReadingLayout">
    <vt:bool>true</vt:bool>
  </property>
  <property fmtid="{D5CDD505-2E9C-101B-9397-08002B2CF9AE}" pid="4" name="ICV">
    <vt:lpwstr>EE766BC111B84087B6E74443992127FA_13</vt:lpwstr>
  </property>
  <property fmtid="{D5CDD505-2E9C-101B-9397-08002B2CF9AE}" pid="5" name="commondata">
    <vt:lpwstr>eyJoZGlkIjoiOGExZmYwZDZlNzUzOTBiYzE1NWNjNTMxZDdiOWUzZmIifQ==</vt:lpwstr>
  </property>
  <property fmtid="{D5CDD505-2E9C-101B-9397-08002B2CF9AE}" pid="6" name="CalculationRule">
    <vt:i4>0</vt:i4>
  </property>
</Properties>
</file>