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6155" windowHeight="12255" tabRatio="776" firstSheet="22" activeTab="25"/>
  </bookViews>
  <sheets>
    <sheet name="-------" sheetId="138" state="hidden" r:id="rId1"/>
    <sheet name="主要指标（一）" sheetId="312" r:id="rId2"/>
    <sheet name="主要指标（二）" sheetId="313" r:id="rId3"/>
    <sheet name="分县区" sheetId="399" r:id="rId4"/>
    <sheet name="农业" sheetId="145" r:id="rId5"/>
    <sheet name="工业增加值" sheetId="277" r:id="rId6"/>
    <sheet name="分行业工业增加值" sheetId="285" r:id="rId7"/>
    <sheet name="规上工业主要经济指标" sheetId="292" r:id="rId8"/>
    <sheet name="规上工业经济效益指标" sheetId="296" r:id="rId9"/>
    <sheet name="主要工业产品产量" sheetId="300" r:id="rId10"/>
    <sheet name="工业综合能源消费" sheetId="306" r:id="rId11"/>
    <sheet name="交通运输及邮政" sheetId="314" r:id="rId12"/>
    <sheet name="固定资产投资" sheetId="322" r:id="rId13"/>
    <sheet name="社会消费品零售总额" sheetId="327" r:id="rId14"/>
    <sheet name="财政收支" sheetId="331" r:id="rId15"/>
    <sheet name="金融" sheetId="335" r:id="rId16"/>
    <sheet name="进出口总额" sheetId="341" r:id="rId17"/>
    <sheet name="居民收入和消费价格" sheetId="345" r:id="rId18"/>
    <sheet name="分县地区生产总值及第一产业增加值" sheetId="349" r:id="rId19"/>
    <sheet name="分县第二产业增加值及第三产业增加值" sheetId="397" r:id="rId20"/>
    <sheet name="分县农业总产值及规上工业增加值" sheetId="398" r:id="rId21"/>
    <sheet name="分县规上工业利润总额和营业收入" sheetId="353" r:id="rId22"/>
    <sheet name="分县社零和投资" sheetId="354" r:id="rId23"/>
    <sheet name="分县工业投资和房地产投资" sheetId="396" r:id="rId24"/>
    <sheet name="分县工业技术改造和制造业投资" sheetId="400" r:id="rId25"/>
    <sheet name="分县财政收支" sheetId="356" r:id="rId26"/>
    <sheet name="分市5（旧）" sheetId="194" state="hidden" r:id="rId27"/>
    <sheet name="工业序列（原）" sheetId="158" state="hidden" r:id="rId28"/>
    <sheet name="投资序列(原)" sheetId="157" state="hidden" r:id="rId29"/>
    <sheet name="消费序列（原）" sheetId="156" state="hidden" r:id="rId30"/>
    <sheet name="出口序列（原）" sheetId="155" state="hidden" r:id="rId31"/>
    <sheet name="地方预算收入序列（原）" sheetId="154" state="hidden" r:id="rId32"/>
    <sheet name="工业用电量序列 （原）" sheetId="198" state="hidden" r:id="rId33"/>
    <sheet name="价格序列（原）" sheetId="153" state="hidden" r:id="rId34"/>
  </sheets>
  <externalReferences>
    <externalReference r:id="rId35"/>
    <externalReference r:id="rId36"/>
    <externalReference r:id="rId37"/>
    <externalReference r:id="rId38"/>
    <externalReference r:id="rId39"/>
  </externalReferences>
  <definedNames>
    <definedName name="_21114" localSheetId="32">#REF!</definedName>
    <definedName name="_Fill" localSheetId="32">[1]eqpmad2!#REF!</definedName>
    <definedName name="A" localSheetId="32">#REF!</definedName>
    <definedName name="aa" localSheetId="32">#REF!</definedName>
    <definedName name="data" localSheetId="32">#REF!</definedName>
    <definedName name="Database" localSheetId="32" hidden="1">#REF!</definedName>
    <definedName name="database2" localSheetId="32">#REF!</definedName>
    <definedName name="database3" localSheetId="32">#REF!</definedName>
    <definedName name="dss" localSheetId="32">#REF!</definedName>
    <definedName name="E206." localSheetId="32">#REF!</definedName>
    <definedName name="eee" localSheetId="32">#REF!</definedName>
    <definedName name="fff" localSheetId="32">#REF!</definedName>
    <definedName name="hhhh" localSheetId="32">#REF!</definedName>
    <definedName name="kkkk" localSheetId="32">#REF!</definedName>
    <definedName name="_xlnm.Print_Area" localSheetId="32">#REF!</definedName>
    <definedName name="Print_Area_MI" localSheetId="32">#REF!</definedName>
    <definedName name="rrrr" localSheetId="32">#REF!</definedName>
    <definedName name="s" localSheetId="32">#REF!</definedName>
    <definedName name="sfeggsafasfas" localSheetId="32">#REF!</definedName>
    <definedName name="Sheet1" localSheetId="32">#REF!</definedName>
    <definedName name="Sheet10" localSheetId="32">#REF!</definedName>
    <definedName name="Sheet11" localSheetId="32">#REF!</definedName>
    <definedName name="Sheet12" localSheetId="32">#REF!</definedName>
    <definedName name="Sheet3" localSheetId="32">#REF!</definedName>
    <definedName name="Sheet4" localSheetId="32">#REF!</definedName>
    <definedName name="Sheet5" localSheetId="32">#REF!</definedName>
    <definedName name="Sheet6" localSheetId="32">#REF!</definedName>
    <definedName name="Sheet7" localSheetId="32">#REF!</definedName>
    <definedName name="Sheet8" localSheetId="32">#REF!</definedName>
    <definedName name="Sheet9" localSheetId="32">#REF!</definedName>
    <definedName name="ss" localSheetId="32">#REF!</definedName>
    <definedName name="ttt" localSheetId="32">#REF!</definedName>
    <definedName name="tttt" localSheetId="32">#REF!</definedName>
    <definedName name="UFPrn20010712083924" localSheetId="32">#REF!</definedName>
    <definedName name="UFPrn20020224093130" localSheetId="32">#REF!</definedName>
    <definedName name="UFPrn20020224094757" localSheetId="32">#REF!</definedName>
    <definedName name="UFPrn20020224101302" localSheetId="32">#REF!</definedName>
    <definedName name="UFPrn20020224101600" localSheetId="32">#REF!</definedName>
    <definedName name="UFPrn20020228143318" localSheetId="32">#REF!</definedName>
    <definedName name="UFPrn20020303094007" localSheetId="32">#REF!</definedName>
    <definedName name="www" localSheetId="32">#REF!</definedName>
    <definedName name="yyyy" localSheetId="32">#REF!</definedName>
    <definedName name="备___注" localSheetId="32">#REF!</definedName>
    <definedName name="拨款汇总_合计" localSheetId="32">SUM([2]汇总!#REF!)</definedName>
    <definedName name="财力" localSheetId="32">#REF!</definedName>
    <definedName name="存货合计" localSheetId="32">#REF!</definedName>
    <definedName name="存货明细" localSheetId="32">#REF!</definedName>
    <definedName name="大幅度" localSheetId="32">#REF!</definedName>
    <definedName name="地区名称" localSheetId="32">[3]封面!#REF!</definedName>
    <definedName name="合___计" localSheetId="32">#REF!</definedName>
    <definedName name="汇率" localSheetId="32">#REF!</definedName>
    <definedName name="全额差额比例" localSheetId="32">'[4]C01-1'!#REF!</definedName>
    <definedName name="生产列1" localSheetId="32">#REF!</definedName>
    <definedName name="生产列11" localSheetId="32">#REF!</definedName>
    <definedName name="生产列15" localSheetId="32">#REF!</definedName>
    <definedName name="生产列16" localSheetId="32">#REF!</definedName>
    <definedName name="生产列17" localSheetId="32">#REF!</definedName>
    <definedName name="生产列19" localSheetId="32">#REF!</definedName>
    <definedName name="生产列2" localSheetId="32">#REF!</definedName>
    <definedName name="生产列20" localSheetId="32">#REF!</definedName>
    <definedName name="生产列3" localSheetId="32">#REF!</definedName>
    <definedName name="生产列4" localSheetId="32">#REF!</definedName>
    <definedName name="生产列5" localSheetId="32">#REF!</definedName>
    <definedName name="生产列6" localSheetId="32">#REF!</definedName>
    <definedName name="生产列7" localSheetId="32">#REF!</definedName>
    <definedName name="生产列8" localSheetId="32">#REF!</definedName>
    <definedName name="生产列9" localSheetId="32">#REF!</definedName>
    <definedName name="生产期" localSheetId="32">#REF!</definedName>
    <definedName name="生产期1" localSheetId="32">#REF!</definedName>
    <definedName name="生产期11" localSheetId="32">#REF!</definedName>
    <definedName name="生产期123" localSheetId="32">#REF!</definedName>
    <definedName name="生产期15" localSheetId="32">#REF!</definedName>
    <definedName name="生产期16" localSheetId="32">#REF!</definedName>
    <definedName name="生产期17" localSheetId="32">#REF!</definedName>
    <definedName name="生产期19" localSheetId="32">#REF!</definedName>
    <definedName name="生产期2" localSheetId="32">#REF!</definedName>
    <definedName name="生产期20" localSheetId="32">#REF!</definedName>
    <definedName name="生产期3" localSheetId="32">#REF!</definedName>
    <definedName name="生产期4" localSheetId="32">#REF!</definedName>
    <definedName name="生产期5" localSheetId="32">#REF!</definedName>
    <definedName name="生产期6" localSheetId="32">#REF!</definedName>
    <definedName name="生产期7" localSheetId="32">#REF!</definedName>
    <definedName name="生产期8" localSheetId="32">#REF!</definedName>
    <definedName name="生产期9" localSheetId="32">#REF!</definedName>
    <definedName name="是" localSheetId="32">#REF!</definedName>
    <definedName name="索引号" localSheetId="32">#REF!</definedName>
    <definedName name="未审合计" localSheetId="32">#REF!</definedName>
    <definedName name="未审数" localSheetId="32">#REF!</definedName>
    <definedName name="位次d" localSheetId="32">[5]四月份月报!#REF!</definedName>
    <definedName name="中国" localSheetId="32">#REF!</definedName>
    <definedName name="전" localSheetId="32">#REF!</definedName>
    <definedName name="주택사업본부" localSheetId="32">#REF!</definedName>
    <definedName name="철구사업본부" localSheetId="32">#REF!</definedName>
    <definedName name="_xlnm._FilterDatabase" localSheetId="32">#REF!</definedName>
    <definedName name="同比下限值">#REF!</definedName>
    <definedName name="同比上限值">#REF!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<sst xmlns="http://schemas.openxmlformats.org/spreadsheetml/2006/main" count="2069" uniqueCount="506">
  <si>
    <t>主要经济指标完成情况（一）</t>
  </si>
  <si>
    <t>指   标</t>
  </si>
  <si>
    <t>单位</t>
  </si>
  <si>
    <t>2024年</t>
  </si>
  <si>
    <t>2025年1-2月</t>
  </si>
  <si>
    <t>2025年1-3月</t>
  </si>
  <si>
    <t>2025年1-4月</t>
  </si>
  <si>
    <t>2025年1-5月</t>
  </si>
  <si>
    <t>2025年1-6月</t>
  </si>
  <si>
    <t>2025年1-7月</t>
  </si>
  <si>
    <t>2025年1-8月</t>
  </si>
  <si>
    <t>2025年1-9月</t>
  </si>
  <si>
    <t>2025年1-10月</t>
  </si>
  <si>
    <t>2025年1-11月</t>
  </si>
  <si>
    <t>绝对值</t>
  </si>
  <si>
    <t>增速(%)</t>
  </si>
  <si>
    <t>一、地区生产总值</t>
  </si>
  <si>
    <t>亿元</t>
  </si>
  <si>
    <t>-</t>
  </si>
  <si>
    <t xml:space="preserve">    其中：第一产业</t>
  </si>
  <si>
    <t xml:space="preserve">          第二产业</t>
  </si>
  <si>
    <t xml:space="preserve">            其中：建筑业</t>
  </si>
  <si>
    <t xml:space="preserve">          第三产业</t>
  </si>
  <si>
    <t xml:space="preserve">            其中：交运仓储邮政业</t>
  </si>
  <si>
    <t xml:space="preserve">                  批发和零售业</t>
  </si>
  <si>
    <t xml:space="preserve">                  住宿和餐饮业</t>
  </si>
  <si>
    <t xml:space="preserve">                  金融业</t>
  </si>
  <si>
    <t xml:space="preserve">                  房地产业</t>
  </si>
  <si>
    <t xml:space="preserve">                  其他服务业</t>
  </si>
  <si>
    <t xml:space="preserve">   三次产业结构</t>
  </si>
  <si>
    <t>%</t>
  </si>
  <si>
    <t>19.1:32.2:48.7</t>
  </si>
  <si>
    <t>13.2:33.2:53.6</t>
  </si>
  <si>
    <t>15.7:34.7:49.6</t>
  </si>
  <si>
    <t>16.6:34.3:49.1</t>
  </si>
  <si>
    <t>二、规模以上工业增加值</t>
  </si>
  <si>
    <t xml:space="preserve"> 其中：轻工业</t>
  </si>
  <si>
    <t xml:space="preserve">       重工业</t>
  </si>
  <si>
    <t xml:space="preserve"> 其中：外商及港澳台投资企业</t>
  </si>
  <si>
    <t xml:space="preserve"> 其中：国有及国有控股企业</t>
  </si>
  <si>
    <t xml:space="preserve"> 其中：石油和天然气开采业</t>
  </si>
  <si>
    <t xml:space="preserve">       石油、煤炭及其燃料加工业</t>
  </si>
  <si>
    <t xml:space="preserve">       黑色金属冶炼和压延加工业</t>
  </si>
  <si>
    <t xml:space="preserve">       造纸和纸制品业      </t>
  </si>
  <si>
    <t>三、规模以上工业出口交货值</t>
  </si>
  <si>
    <t>四、固定资产投资</t>
  </si>
  <si>
    <t xml:space="preserve">    其中：项目投资</t>
  </si>
  <si>
    <t xml:space="preserve">          房地产开发投资</t>
  </si>
  <si>
    <t>注：1..第一产业增加值不包含“ 农林牧渔专业及辅助性活动”，第二产业增加值中的工业增加值不包含“开采辅助活动”和“金属制品、机械和设备修理业”。“农林牧渔服务业”“开采辅助活动”和“金属制品、机械和设备修理业”增加值计入第三产业；
    2.据省要求，不得对外公布规模以上工业增加值、固定资产投资相关数据的绝对量，只公布增速。</t>
  </si>
  <si>
    <t>主要经济指标完成情况（二）</t>
  </si>
  <si>
    <t>五、商品房销售面积</t>
  </si>
  <si>
    <t>万平方米</t>
  </si>
  <si>
    <t>六、商品房销售额</t>
  </si>
  <si>
    <t>七、社会消费品零售总额</t>
  </si>
  <si>
    <t xml:space="preserve">    其中：城镇</t>
  </si>
  <si>
    <t xml:space="preserve">          乡村</t>
  </si>
  <si>
    <t xml:space="preserve">    其中：商品零售</t>
  </si>
  <si>
    <t xml:space="preserve">          餐饮收入</t>
  </si>
  <si>
    <t>八、进出口总额</t>
  </si>
  <si>
    <t xml:space="preserve">    其中：出口总额</t>
  </si>
  <si>
    <t xml:space="preserve">          进口总额</t>
  </si>
  <si>
    <t>九、实际利用外资</t>
  </si>
  <si>
    <t>十、地方一般公共预算收入</t>
  </si>
  <si>
    <t xml:space="preserve">    其中：税收收入</t>
  </si>
  <si>
    <t>十一、地方一般公共预算支出</t>
  </si>
  <si>
    <t>十二、金融机构本外币存款余额</t>
  </si>
  <si>
    <t xml:space="preserve">    其中：住户存款余额</t>
  </si>
  <si>
    <t>十三、金融机构本外币贷款余额</t>
  </si>
  <si>
    <t>十四、居民消费价格指数</t>
  </si>
  <si>
    <t>十五、全社会用电量</t>
  </si>
  <si>
    <t>亿千瓦时</t>
  </si>
  <si>
    <t xml:space="preserve">    其中：工业用电量</t>
  </si>
  <si>
    <t xml:space="preserve">          #制造业用电量</t>
  </si>
  <si>
    <t>十六、公路运输总周转量</t>
  </si>
  <si>
    <t>亿吨公里</t>
  </si>
  <si>
    <t>十七、水路运输总周转量</t>
  </si>
  <si>
    <t>十八、全市港口货物吞吐量</t>
  </si>
  <si>
    <t>亿吨</t>
  </si>
  <si>
    <t>十九、全市港口集装箱吞吐量</t>
  </si>
  <si>
    <t>万TEU</t>
  </si>
  <si>
    <t>注：1.金融机构存、贷款余额为月末数；
    2.自2025年1-9月起一般公共预算收入相关数据增速为剔除省以下财政体制改革调整影响后的可比口径。</t>
  </si>
  <si>
    <t>2025年1-11月全市各县（市、区）主要经济指标完成情况</t>
  </si>
  <si>
    <t>地区生产总值
（1-9月）</t>
  </si>
  <si>
    <t>规模以上工业增加值</t>
  </si>
  <si>
    <t>固定资产投资</t>
  </si>
  <si>
    <t>社会消费品零售总额</t>
  </si>
  <si>
    <t>地方一般公共预算收入</t>
  </si>
  <si>
    <t>绝对值
（亿元)</t>
  </si>
  <si>
    <t>增长
(%)</t>
  </si>
  <si>
    <t xml:space="preserve">  全  市</t>
  </si>
  <si>
    <t xml:space="preserve">     赤坎区</t>
  </si>
  <si>
    <t xml:space="preserve">     霞山区</t>
  </si>
  <si>
    <t xml:space="preserve">     坡头区</t>
  </si>
  <si>
    <t xml:space="preserve">     麻章区</t>
  </si>
  <si>
    <t xml:space="preserve">     吴川市</t>
  </si>
  <si>
    <t xml:space="preserve">     徐闻县</t>
  </si>
  <si>
    <t xml:space="preserve">     雷州市</t>
  </si>
  <si>
    <t xml:space="preserve">     遂溪县</t>
  </si>
  <si>
    <t xml:space="preserve">     廉江市</t>
  </si>
  <si>
    <t xml:space="preserve">     经开区</t>
  </si>
  <si>
    <t>注：1.据省要求，不得对外公布规模以上工业增加值、固定资产投资相关数据的绝对量，只公布增速。
    2.自2025年1-9月起一般公共预算收入增速为剔除省以下财政体制改革调整影响后的可比口径。</t>
  </si>
  <si>
    <t>农业生产情况</t>
  </si>
  <si>
    <t>单 位</t>
  </si>
  <si>
    <t>一、农林牧渔业总产值</t>
  </si>
  <si>
    <t xml:space="preserve">        农  业</t>
  </si>
  <si>
    <t xml:space="preserve">        林  业</t>
  </si>
  <si>
    <t xml:space="preserve">        畜牧业</t>
  </si>
  <si>
    <t xml:space="preserve">        渔  业</t>
  </si>
  <si>
    <t xml:space="preserve">        农林牧渔专业及辅助性活动</t>
  </si>
  <si>
    <t>二、农林牧渔业增加值</t>
  </si>
  <si>
    <t>三、主要农产品产量</t>
  </si>
  <si>
    <t xml:space="preserve">        粮  食 </t>
  </si>
  <si>
    <t>万吨</t>
  </si>
  <si>
    <t xml:space="preserve">          其中：稻谷</t>
  </si>
  <si>
    <t xml:space="preserve">        蔬  菜 </t>
  </si>
  <si>
    <t xml:space="preserve">        园林水果 </t>
  </si>
  <si>
    <t xml:space="preserve">          其中：香蕉</t>
  </si>
  <si>
    <t xml:space="preserve">                菠萝</t>
  </si>
  <si>
    <t xml:space="preserve">        生  猪（出栏量） </t>
  </si>
  <si>
    <t>万头</t>
  </si>
  <si>
    <t xml:space="preserve">        家  禽（出栏量）      </t>
  </si>
  <si>
    <t>万只</t>
  </si>
  <si>
    <t xml:space="preserve">        水产品 </t>
  </si>
  <si>
    <t>注：农业总产值和增加值按季度核算，增长速度按可比价格计算；</t>
  </si>
  <si>
    <t>一、工业增加值（亿元）</t>
  </si>
  <si>
    <t xml:space="preserve">   其中：轻工业</t>
  </si>
  <si>
    <t xml:space="preserve">         重工业</t>
  </si>
  <si>
    <t xml:space="preserve">   其中：国有企业</t>
  </si>
  <si>
    <t xml:space="preserve">         集体企业</t>
  </si>
  <si>
    <t xml:space="preserve">         股份制企业</t>
  </si>
  <si>
    <t xml:space="preserve">         外商及港澳台企业</t>
  </si>
  <si>
    <t xml:space="preserve">         其他经济类型企业</t>
  </si>
  <si>
    <t xml:space="preserve">   其中：国有及国有控股企业</t>
  </si>
  <si>
    <t xml:space="preserve">   其中：大型企业</t>
  </si>
  <si>
    <t xml:space="preserve">         中型企业</t>
  </si>
  <si>
    <t xml:space="preserve">         小型企业</t>
  </si>
  <si>
    <t xml:space="preserve">         微型企业</t>
  </si>
  <si>
    <t>注：据省要求，不得对外公布规模以上工业增加值相关数据的绝对量，只公布增速。</t>
  </si>
  <si>
    <t>规模以上工业主要行业增加值</t>
  </si>
  <si>
    <t>规模以上工业合计（亿元）</t>
  </si>
  <si>
    <t>采矿业</t>
  </si>
  <si>
    <t>制造业</t>
  </si>
  <si>
    <t xml:space="preserve">  农副食品加工业     </t>
  </si>
  <si>
    <t xml:space="preserve">  食品制造业         </t>
  </si>
  <si>
    <t xml:space="preserve">  酒、饮料和精制茶制造业 </t>
  </si>
  <si>
    <t xml:space="preserve">  烟草制品业         </t>
  </si>
  <si>
    <t xml:space="preserve">  纺织业             </t>
  </si>
  <si>
    <t xml:space="preserve">  纺织服装、服饰业</t>
  </si>
  <si>
    <t xml:space="preserve">  皮革毛皮羽毛制品业 </t>
  </si>
  <si>
    <t xml:space="preserve">  木材、竹、藤、棕、草制品业 </t>
  </si>
  <si>
    <t xml:space="preserve">  家具制造业         </t>
  </si>
  <si>
    <t xml:space="preserve">  造纸及纸制品业     </t>
  </si>
  <si>
    <t xml:space="preserve">  印刷、记录媒介复制业</t>
  </si>
  <si>
    <t xml:space="preserve">  文教体育娱乐用品制造业</t>
  </si>
  <si>
    <t xml:space="preserve">  石油、煤炭及其燃料加工业</t>
  </si>
  <si>
    <t xml:space="preserve">  化学原料及化学制造业</t>
  </si>
  <si>
    <t xml:space="preserve">  医药制造业</t>
  </si>
  <si>
    <t xml:space="preserve">  橡胶和塑料制品业</t>
  </si>
  <si>
    <t xml:space="preserve">  非金属矿制品业</t>
  </si>
  <si>
    <t xml:space="preserve">  黑色金属冶炼压延加工业</t>
  </si>
  <si>
    <t xml:space="preserve">  有色金属冶炼压延加工业</t>
  </si>
  <si>
    <t xml:space="preserve">  金属制品业</t>
  </si>
  <si>
    <t xml:space="preserve">  通用机械制造业</t>
  </si>
  <si>
    <t xml:space="preserve">  专用设备制造业</t>
  </si>
  <si>
    <t xml:space="preserve">  汽车制造业</t>
  </si>
  <si>
    <t xml:space="preserve">  铁路船舶和其他运输设备制造业</t>
  </si>
  <si>
    <t xml:space="preserve">  电气机械及器材制造业</t>
  </si>
  <si>
    <t xml:space="preserve">  通信设备、计算机制造业</t>
  </si>
  <si>
    <t>电力、热力、燃气及水生产和供应业</t>
  </si>
  <si>
    <t xml:space="preserve">  电力、热力生产和供应业</t>
  </si>
  <si>
    <t xml:space="preserve">  燃气生产和供应业</t>
  </si>
  <si>
    <t xml:space="preserve">  自来水的生产和供应业</t>
  </si>
  <si>
    <t>规模以上工业企业主要经济指标</t>
  </si>
  <si>
    <t>指  标</t>
  </si>
  <si>
    <t>企业单位数</t>
  </si>
  <si>
    <t>个</t>
  </si>
  <si>
    <t xml:space="preserve">  其中：亏损企业</t>
  </si>
  <si>
    <t>亏损企业亏损额</t>
  </si>
  <si>
    <t>流动资产合计</t>
  </si>
  <si>
    <t xml:space="preserve">  其中：存货</t>
  </si>
  <si>
    <t xml:space="preserve">    其中：产成品</t>
  </si>
  <si>
    <t>资产合计</t>
  </si>
  <si>
    <t>负债合计</t>
  </si>
  <si>
    <t>营业收入</t>
  </si>
  <si>
    <t>营业成本</t>
  </si>
  <si>
    <t>销售费用</t>
  </si>
  <si>
    <t>管理费用</t>
  </si>
  <si>
    <t>财务费用</t>
  </si>
  <si>
    <t>利润总额</t>
  </si>
  <si>
    <t>税金及附加</t>
  </si>
  <si>
    <t>应交增值税</t>
  </si>
  <si>
    <t>平均用工人数</t>
  </si>
  <si>
    <t>万人</t>
  </si>
  <si>
    <t>规模以上工业经济效益指标</t>
  </si>
  <si>
    <t>资产利润率</t>
  </si>
  <si>
    <t xml:space="preserve">  比上年同期增（减）</t>
  </si>
  <si>
    <t>百分点</t>
  </si>
  <si>
    <t>资本保值增值率</t>
  </si>
  <si>
    <t>资产负债率</t>
  </si>
  <si>
    <t>流动资产周转率</t>
  </si>
  <si>
    <t>次</t>
  </si>
  <si>
    <t>成本费用利润率</t>
  </si>
  <si>
    <t>产品销售率</t>
  </si>
  <si>
    <t>全员劳动生产率</t>
  </si>
  <si>
    <t>万元/人</t>
  </si>
  <si>
    <t>主要工业产品产量</t>
  </si>
  <si>
    <t xml:space="preserve">饲料    </t>
  </si>
  <si>
    <t xml:space="preserve">食用植物油    </t>
  </si>
  <si>
    <t xml:space="preserve">成品糖        </t>
  </si>
  <si>
    <t>食品添加剂</t>
  </si>
  <si>
    <t>鲜冷藏冻肉</t>
  </si>
  <si>
    <t xml:space="preserve">饮料酒         </t>
  </si>
  <si>
    <t>千升</t>
  </si>
  <si>
    <t xml:space="preserve">  啤酒   </t>
  </si>
  <si>
    <t>饮料</t>
  </si>
  <si>
    <t xml:space="preserve">冷冻水产品    </t>
  </si>
  <si>
    <t xml:space="preserve">卷烟        </t>
  </si>
  <si>
    <t>亿支</t>
  </si>
  <si>
    <t>鞋</t>
  </si>
  <si>
    <t>万双</t>
  </si>
  <si>
    <t>服装</t>
  </si>
  <si>
    <t>万件</t>
  </si>
  <si>
    <t>纸浆</t>
  </si>
  <si>
    <t xml:space="preserve">人造板        </t>
  </si>
  <si>
    <t>万立方米</t>
  </si>
  <si>
    <t xml:space="preserve">家具          </t>
  </si>
  <si>
    <t xml:space="preserve">机制纸及纸板  </t>
  </si>
  <si>
    <t xml:space="preserve">纸制品        </t>
  </si>
  <si>
    <t xml:space="preserve">原油加工量    </t>
  </si>
  <si>
    <t>汽油</t>
  </si>
  <si>
    <t>柴油</t>
  </si>
  <si>
    <t>燃料油</t>
  </si>
  <si>
    <t>石油沥青</t>
  </si>
  <si>
    <t>液化石油气</t>
  </si>
  <si>
    <t xml:space="preserve">水泥         </t>
  </si>
  <si>
    <t xml:space="preserve">商品混凝土   </t>
  </si>
  <si>
    <t>生铁</t>
  </si>
  <si>
    <t>粗钢</t>
  </si>
  <si>
    <t>钢材</t>
  </si>
  <si>
    <t xml:space="preserve">电饭锅       </t>
  </si>
  <si>
    <t>万个</t>
  </si>
  <si>
    <t xml:space="preserve">灯具照明装置 </t>
  </si>
  <si>
    <t>万台(套)</t>
  </si>
  <si>
    <t xml:space="preserve">发电量       </t>
  </si>
  <si>
    <t>工业综合能源消费量及六大高耗能行业用电量</t>
  </si>
  <si>
    <t>综合能源消费量（万吨标准煤）</t>
  </si>
  <si>
    <t xml:space="preserve">  采矿业</t>
  </si>
  <si>
    <t xml:space="preserve">  制造业</t>
  </si>
  <si>
    <t xml:space="preserve">  电力、热力、燃气及水生产和供应业</t>
  </si>
  <si>
    <t>六大高耗能行业综合能源消费量（万吨标准煤）</t>
  </si>
  <si>
    <t xml:space="preserve">  化学原料和化学制品制造业</t>
  </si>
  <si>
    <t xml:space="preserve">  非金属矿物制品业</t>
  </si>
  <si>
    <t xml:space="preserve">  黑色金属冶炼和压延加工业</t>
  </si>
  <si>
    <t xml:space="preserve">  有色金属冶炼和压延加工业 </t>
  </si>
  <si>
    <t>六大高耗能行业用电量（万千瓦时）</t>
  </si>
  <si>
    <t>六大高耗能行业增加值（亿元）</t>
  </si>
  <si>
    <t>注：1.本表统计口径为规模以上工业，工业综合能源消费量(按当量值计算)为企业在工业生产活动中实际消费的各种能源的总和净值，用电量数据为联网直报企业填报数；
    2.据省要求，不得对外公布规模以上工业增加值相关数据的绝对量，只公布增速。</t>
  </si>
  <si>
    <t>交通运输及邮政</t>
  </si>
  <si>
    <t>港  口</t>
  </si>
  <si>
    <t xml:space="preserve">  全市港口货物吞吐量</t>
  </si>
  <si>
    <t xml:space="preserve">    其中：湛江港(集团)股份有限公司</t>
  </si>
  <si>
    <t xml:space="preserve">  全市港口集装箱吞吐量</t>
  </si>
  <si>
    <t>公 路</t>
  </si>
  <si>
    <t xml:space="preserve"> </t>
  </si>
  <si>
    <t xml:space="preserve">  货运量</t>
  </si>
  <si>
    <t xml:space="preserve">  货物周转量</t>
  </si>
  <si>
    <t xml:space="preserve">  客运量</t>
  </si>
  <si>
    <t xml:space="preserve">  旅客周转量</t>
  </si>
  <si>
    <t>亿人公里</t>
  </si>
  <si>
    <t>水 路</t>
  </si>
  <si>
    <t>邮  政</t>
  </si>
  <si>
    <t xml:space="preserve">  邮政行业业务收入</t>
  </si>
  <si>
    <t xml:space="preserve">    其中：邮政寄递服务</t>
  </si>
  <si>
    <t xml:space="preserve">          快递业务</t>
  </si>
  <si>
    <t xml:space="preserve">  邮政行业业务总量</t>
  </si>
  <si>
    <t xml:space="preserve">  邮政寄递服务业务量</t>
  </si>
  <si>
    <t xml:space="preserve">  快递业务量</t>
  </si>
  <si>
    <t xml:space="preserve">    其中：同城</t>
  </si>
  <si>
    <t xml:space="preserve">          异地</t>
  </si>
  <si>
    <t xml:space="preserve">           #国际、港澳台</t>
  </si>
  <si>
    <t xml:space="preserve">  项目投资</t>
  </si>
  <si>
    <t xml:space="preserve">    基础设施 </t>
  </si>
  <si>
    <t xml:space="preserve">      #城市建设</t>
  </si>
  <si>
    <t xml:space="preserve">      交通运输基础设施投资</t>
  </si>
  <si>
    <t xml:space="preserve">    工业</t>
  </si>
  <si>
    <t xml:space="preserve">      #制造业</t>
  </si>
  <si>
    <t xml:space="preserve">      工业技术改造</t>
  </si>
  <si>
    <t xml:space="preserve">  房地产开发</t>
  </si>
  <si>
    <t xml:space="preserve">  按产业分：第一产业</t>
  </si>
  <si>
    <t xml:space="preserve">            第二产业</t>
  </si>
  <si>
    <t xml:space="preserve">            第三产业</t>
  </si>
  <si>
    <t>投资项目施工个数</t>
  </si>
  <si>
    <t xml:space="preserve">  亿元以上项目个数</t>
  </si>
  <si>
    <t xml:space="preserve">  工业投资项目个数</t>
  </si>
  <si>
    <t xml:space="preserve">  基础设施投资项目个数</t>
  </si>
  <si>
    <t xml:space="preserve">   #交通运输基础设施投资项目个数</t>
  </si>
  <si>
    <t>房地产开发投资项目个数</t>
  </si>
  <si>
    <t>房地产开发投资房屋施工面积</t>
  </si>
  <si>
    <t xml:space="preserve">  #住宅</t>
  </si>
  <si>
    <t>商品房销售面积</t>
  </si>
  <si>
    <t>商品房销售额</t>
  </si>
  <si>
    <t>注：据省要求，不得对外公布固定资产投资相关数据的绝对量，只公布增速。</t>
  </si>
  <si>
    <t>社会消费品零售总额（亿元）</t>
  </si>
  <si>
    <t>按经营地分</t>
  </si>
  <si>
    <t xml:space="preserve">  城镇</t>
  </si>
  <si>
    <t xml:space="preserve">  乡村</t>
  </si>
  <si>
    <t>按消费类型分</t>
  </si>
  <si>
    <t xml:space="preserve">  商品零售</t>
  </si>
  <si>
    <t xml:space="preserve">  餐饮收入</t>
  </si>
  <si>
    <t>限额以上单位商品零售</t>
  </si>
  <si>
    <t xml:space="preserve">  粮油、食品类</t>
  </si>
  <si>
    <t xml:space="preserve">  饮料类</t>
  </si>
  <si>
    <t xml:space="preserve">  烟酒类</t>
  </si>
  <si>
    <t xml:space="preserve">  服装鞋帽针纺织品类</t>
  </si>
  <si>
    <t xml:space="preserve">  化妆品类</t>
  </si>
  <si>
    <t xml:space="preserve">  金银珠宝类</t>
  </si>
  <si>
    <t xml:space="preserve">  日用品类</t>
  </si>
  <si>
    <t xml:space="preserve">  五金电料类</t>
  </si>
  <si>
    <t xml:space="preserve">  体育娱乐用品类</t>
  </si>
  <si>
    <t xml:space="preserve">  书报杂志类</t>
  </si>
  <si>
    <t xml:space="preserve">  家用电器和音像器材类</t>
  </si>
  <si>
    <t xml:space="preserve">  中西药品类</t>
  </si>
  <si>
    <t xml:space="preserve">  文化办公用品类</t>
  </si>
  <si>
    <t xml:space="preserve">  家具类</t>
  </si>
  <si>
    <t xml:space="preserve">  通讯器材类</t>
  </si>
  <si>
    <t xml:space="preserve">  石油及制品类</t>
  </si>
  <si>
    <t xml:space="preserve">  建筑及装潢材料类</t>
  </si>
  <si>
    <t xml:space="preserve">  机电产品及设备类</t>
  </si>
  <si>
    <t xml:space="preserve">  汽车类</t>
  </si>
  <si>
    <t>财政收支情况</t>
  </si>
  <si>
    <t>地方一般公共预算收入（亿元）</t>
  </si>
  <si>
    <t xml:space="preserve">  税收收入</t>
  </si>
  <si>
    <t xml:space="preserve">     ＃增值税</t>
  </si>
  <si>
    <t xml:space="preserve">       企业所得税</t>
  </si>
  <si>
    <t xml:space="preserve">       个人所得税</t>
  </si>
  <si>
    <t xml:space="preserve">       城市维护建设税</t>
  </si>
  <si>
    <t xml:space="preserve">       房产税</t>
  </si>
  <si>
    <t xml:space="preserve">       土地增值税</t>
  </si>
  <si>
    <t xml:space="preserve">       契税</t>
  </si>
  <si>
    <t xml:space="preserve">  非税收入</t>
  </si>
  <si>
    <t>地方一般公共预算支出（亿元）</t>
  </si>
  <si>
    <t xml:space="preserve">  ＃一般公共服务</t>
  </si>
  <si>
    <t xml:space="preserve">    科学技术</t>
  </si>
  <si>
    <t xml:space="preserve">    民生支出合计</t>
  </si>
  <si>
    <t xml:space="preserve">      ＃教育</t>
  </si>
  <si>
    <t xml:space="preserve">        文化旅游体育与传媒</t>
  </si>
  <si>
    <t xml:space="preserve">        社会保障和就业</t>
  </si>
  <si>
    <t xml:space="preserve">        卫生健康</t>
  </si>
  <si>
    <t xml:space="preserve">        节能环保</t>
  </si>
  <si>
    <t xml:space="preserve">        城乡社区事务</t>
  </si>
  <si>
    <t xml:space="preserve">        农林水事务</t>
  </si>
  <si>
    <t xml:space="preserve">        交通运输</t>
  </si>
  <si>
    <t xml:space="preserve">        住房保障支出</t>
  </si>
  <si>
    <t xml:space="preserve">        粮油物资储备事务</t>
  </si>
  <si>
    <t>注：1.本表数据来源市财政局；
    2.自2025年1-9月起一般公共预算收入相关数据增速为剔除省以下财政体制改革调整影响后的可比口径；
    3.部分数据由于小数位取舍不同而产生的计算误差，均未作机械调整。</t>
  </si>
  <si>
    <t>金   融</t>
  </si>
  <si>
    <t>一、金融机构本外币各项存款余额</t>
  </si>
  <si>
    <t>（一）境内存款</t>
  </si>
  <si>
    <t xml:space="preserve">   1.住户存款</t>
  </si>
  <si>
    <t xml:space="preserve">   2.非金融企业存款</t>
  </si>
  <si>
    <t xml:space="preserve">   3.广义政府存款</t>
  </si>
  <si>
    <t xml:space="preserve">   4.非银行业金融机构存款</t>
  </si>
  <si>
    <t>（二）境外存款</t>
  </si>
  <si>
    <t>二、金融机构本外币各项贷款余额</t>
  </si>
  <si>
    <t>（一）境内贷款</t>
  </si>
  <si>
    <t xml:space="preserve">   1.住户贷款</t>
  </si>
  <si>
    <t xml:space="preserve">   2.非金融企业及机关团体贷款</t>
  </si>
  <si>
    <t xml:space="preserve">   3.非银行业金融机构贷款</t>
  </si>
  <si>
    <t>（二）境外贷款</t>
  </si>
  <si>
    <t>三、金融机构人民币各项存款余额</t>
  </si>
  <si>
    <t xml:space="preserve">     其中：活期存款</t>
  </si>
  <si>
    <t xml:space="preserve">     其中：机关团体存款</t>
  </si>
  <si>
    <t>四、金融机构人民币各项贷款余额</t>
  </si>
  <si>
    <t xml:space="preserve">     其中：中长期贷款</t>
  </si>
  <si>
    <t xml:space="preserve">     其中：短期贷款</t>
  </si>
  <si>
    <t xml:space="preserve">          中长期贷款</t>
  </si>
  <si>
    <t>注：本表数据来源中国人民银行湛江市分行。</t>
  </si>
  <si>
    <t>外贸进出口总额和利用外资</t>
  </si>
  <si>
    <t>一、外贸进出口总额（亿元）</t>
  </si>
  <si>
    <t xml:space="preserve">   (一)出口总额</t>
  </si>
  <si>
    <t xml:space="preserve">   1.按主要贸易方式分</t>
  </si>
  <si>
    <t xml:space="preserve">       一般贸易</t>
  </si>
  <si>
    <t xml:space="preserve">       加工贸易</t>
  </si>
  <si>
    <t xml:space="preserve">       保税物流</t>
  </si>
  <si>
    <t xml:space="preserve">   2.按主要经济类型分</t>
  </si>
  <si>
    <t xml:space="preserve">       国有企业</t>
  </si>
  <si>
    <t xml:space="preserve">       民营企业</t>
  </si>
  <si>
    <t xml:space="preserve">       外商投资企业</t>
  </si>
  <si>
    <t xml:space="preserve">   3.按主要国家（地区）分</t>
  </si>
  <si>
    <t xml:space="preserve">      中 国 香 港</t>
  </si>
  <si>
    <t xml:space="preserve">       日     本</t>
  </si>
  <si>
    <t xml:space="preserve">       美     国</t>
  </si>
  <si>
    <t xml:space="preserve">       欧     盟(27国）</t>
  </si>
  <si>
    <t xml:space="preserve">  (二)进口总额</t>
  </si>
  <si>
    <t xml:space="preserve">  按主要贸易方式分</t>
  </si>
  <si>
    <t xml:space="preserve">    一般贸易</t>
  </si>
  <si>
    <t xml:space="preserve">    加工贸易</t>
  </si>
  <si>
    <t xml:space="preserve">    保税物流</t>
  </si>
  <si>
    <t>二、利用外资</t>
  </si>
  <si>
    <t xml:space="preserve">    外商直接投资项目（个）</t>
  </si>
  <si>
    <t xml:space="preserve">    合同利用外商直接投资（亿元）</t>
  </si>
  <si>
    <t xml:space="preserve">    实际利用外商直接投资（亿元）</t>
  </si>
  <si>
    <t>注：本表数据来源湛江海关和市商务局。</t>
  </si>
  <si>
    <t>居民人均可支配收入</t>
  </si>
  <si>
    <t>居民人均可支配收入（元）</t>
  </si>
  <si>
    <t xml:space="preserve">  其中：城镇居民人均可支配收入</t>
  </si>
  <si>
    <t xml:space="preserve">       农村居民人均可支配收入</t>
  </si>
  <si>
    <t>居民消费价格指数</t>
  </si>
  <si>
    <t>上年同月=100</t>
  </si>
  <si>
    <t>上年同期=100</t>
  </si>
  <si>
    <t>一、居民消费价格总指数（%）</t>
  </si>
  <si>
    <t>（一）食品烟酒</t>
  </si>
  <si>
    <t xml:space="preserve">       #粮食</t>
  </si>
  <si>
    <t xml:space="preserve">        鲜菜</t>
  </si>
  <si>
    <t xml:space="preserve">        畜肉类</t>
  </si>
  <si>
    <t xml:space="preserve">        水产品</t>
  </si>
  <si>
    <t xml:space="preserve">        蛋类</t>
  </si>
  <si>
    <t xml:space="preserve">        在外餐饮</t>
  </si>
  <si>
    <t>（二）衣着</t>
  </si>
  <si>
    <t>（三）居住</t>
  </si>
  <si>
    <t xml:space="preserve">（四）生活用品及服务 </t>
  </si>
  <si>
    <t>（五）交通和通信</t>
  </si>
  <si>
    <t>（六）教育文化和娱乐</t>
  </si>
  <si>
    <t xml:space="preserve">      #教育</t>
  </si>
  <si>
    <t>（七）医疗保健</t>
  </si>
  <si>
    <t>（八）其他用品和服务</t>
  </si>
  <si>
    <t>二、服务项目价格指数（%）</t>
  </si>
  <si>
    <t>注:本表数据来源国家统计局湛江调查队。</t>
  </si>
  <si>
    <t>各县（市、区）地区生产总值和第一产业增加值</t>
  </si>
  <si>
    <t>地区生产总值（亿元）</t>
  </si>
  <si>
    <t xml:space="preserve">   全  市</t>
  </si>
  <si>
    <t xml:space="preserve">   全市总计中：经开区</t>
  </si>
  <si>
    <t>第一产业增加值（亿元）</t>
  </si>
  <si>
    <t>注：经开区为全市的其中数，与赤坎区、霞山区数据存在部分重复。经开区数据分为乐山大道以北、乐山大道以南和东海岛三片，乐山大道以北片数据计入赤坎区，乐山大道以南片数据计入霞山区，东海岛片单独由经开区统计。</t>
  </si>
  <si>
    <t>各县（市、区）第二产业增加值和第三产业增加值</t>
  </si>
  <si>
    <t>第二产业增加值（亿元）</t>
  </si>
  <si>
    <t>第三产业增加值（亿元）</t>
  </si>
  <si>
    <t>各县（市、区）农林牧渔业总产值和规上工业增加值</t>
  </si>
  <si>
    <t>农林牧渔业总产值（亿元）</t>
  </si>
  <si>
    <t>规模以上工业增加值（亿元）</t>
  </si>
  <si>
    <t xml:space="preserve">注：1.本表中经开区规上工业增加值经开区为全市的其中数，与赤坎区、霞山区数据存在部分重复。经开区数据分为乐山大道以北、乐山大道以南和东海岛三片，乐山大道以北片数据计入赤坎区，乐山大道以南片数据计入霞山区，东海岛片单独由经开区统计，下表同。
2.据省要求，不得对外公布规模以上工业增加值相关数据的绝对量，只公布增速。
</t>
  </si>
  <si>
    <t>各县（市、区）规上工业企业利润总额和营业收入</t>
  </si>
  <si>
    <t>规模以上工业企业利润总额（亿元）</t>
  </si>
  <si>
    <t>规模以上工业企业营业收入（亿元）</t>
  </si>
  <si>
    <t>各县（市、区）社会消费品零售总额和固定资产投资</t>
  </si>
  <si>
    <t>固定资产投资（亿元）</t>
  </si>
  <si>
    <r>
      <rPr>
        <sz val="11"/>
        <rFont val="宋体"/>
        <charset val="134"/>
        <scheme val="minor"/>
      </rPr>
      <t xml:space="preserve">   </t>
    </r>
    <r>
      <rPr>
        <sz val="11"/>
        <rFont val="宋体"/>
        <charset val="134"/>
      </rPr>
      <t xml:space="preserve">  经开区</t>
    </r>
  </si>
  <si>
    <t>注：1.表中社会消费品零售 总额经开区为全市单列其中数，其他县（市、区）之和等于全市数；
    2.表中固定资产投资赤坎区、霞山区数据含跨区数据；
    3.据省要求，不得对外公布固定资产投资相关数据的绝对量，只公布增速。</t>
  </si>
  <si>
    <t>各县（市、区）工业投资和房地产开发投资</t>
  </si>
  <si>
    <t>工业投资（亿元）</t>
  </si>
  <si>
    <t>房地产开发投资（亿元）</t>
  </si>
  <si>
    <t>注：1.表中固定资产投资赤坎区、霞山区数据含跨区数据；
    2.据省要求，不得对外公布固定资产投资相关数据的绝对量，只公布增速。</t>
  </si>
  <si>
    <t>各县（市、区）工业技术改造投资和制造业投资</t>
  </si>
  <si>
    <t>工业技术改造投资（亿元）</t>
  </si>
  <si>
    <t>制造业投资（亿元）</t>
  </si>
  <si>
    <t>各县（市、区）财政收支</t>
  </si>
  <si>
    <t>注：1.本表数据来源市财政局；
    2.自2025年1-9月起一般公共预算收入增速为剔除省以下财政体制改革调整影响后的可比口径。</t>
  </si>
  <si>
    <t>全国及全省各市主要经济指标完成情况（五）</t>
  </si>
  <si>
    <t>单位：亿元</t>
  </si>
  <si>
    <t xml:space="preserve"> 市    别 </t>
  </si>
  <si>
    <t>地税收入</t>
  </si>
  <si>
    <t>国税收入</t>
  </si>
  <si>
    <t>1-5月</t>
  </si>
  <si>
    <t>增长（%）</t>
  </si>
  <si>
    <t>增速排位</t>
  </si>
  <si>
    <t>全  国</t>
  </si>
  <si>
    <t>全  省</t>
  </si>
  <si>
    <t>广州市</t>
  </si>
  <si>
    <t>深圳市</t>
  </si>
  <si>
    <t>珠海市</t>
  </si>
  <si>
    <t>汕头市</t>
  </si>
  <si>
    <t>佛山市</t>
  </si>
  <si>
    <t>韶关市</t>
  </si>
  <si>
    <t>河源市</t>
  </si>
  <si>
    <t>梅州市</t>
  </si>
  <si>
    <t>惠州市</t>
  </si>
  <si>
    <t>汕尾市</t>
  </si>
  <si>
    <t>东莞市</t>
  </si>
  <si>
    <t>中山市</t>
  </si>
  <si>
    <t>江门市</t>
  </si>
  <si>
    <t>阳江市</t>
  </si>
  <si>
    <t>湛江市</t>
  </si>
  <si>
    <t>茂名市</t>
  </si>
  <si>
    <t>肇庆市</t>
  </si>
  <si>
    <t>清远市</t>
  </si>
  <si>
    <t>潮州市</t>
  </si>
  <si>
    <t>揭阳市</t>
  </si>
  <si>
    <t>云浮市</t>
  </si>
  <si>
    <t>规模以上工业增加值序列</t>
  </si>
  <si>
    <t xml:space="preserve">  单位：万元</t>
  </si>
  <si>
    <t>时间</t>
  </si>
  <si>
    <t xml:space="preserve">  累计</t>
  </si>
  <si>
    <t>累计增长%</t>
  </si>
  <si>
    <t>固定资产投资序列</t>
  </si>
  <si>
    <r>
      <rPr>
        <sz val="12"/>
        <rFont val="宋体"/>
        <charset val="134"/>
      </rPr>
      <t xml:space="preserve"> </t>
    </r>
    <r>
      <rPr>
        <sz val="12"/>
        <rFont val="宋体"/>
        <charset val="134"/>
      </rPr>
      <t xml:space="preserve"> </t>
    </r>
    <r>
      <rPr>
        <sz val="12"/>
        <rFont val="宋体"/>
        <charset val="134"/>
      </rPr>
      <t>单位：万元</t>
    </r>
  </si>
  <si>
    <t>社会消费品零售总额序列</t>
  </si>
  <si>
    <t>出口序列</t>
  </si>
  <si>
    <t xml:space="preserve">    单位：万元</t>
  </si>
  <si>
    <t>外贸出口总额</t>
  </si>
  <si>
    <t>地方一般公共预算收入序列</t>
  </si>
  <si>
    <t>工业用电量序列</t>
  </si>
  <si>
    <t xml:space="preserve">  单位：亿千瓦时</t>
  </si>
  <si>
    <t>工业用电量</t>
  </si>
  <si>
    <t>（上年同期＝100）单位：%</t>
  </si>
  <si>
    <t>当月</t>
  </si>
  <si>
    <t>累计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</si>
</sst>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35">
    <numFmt numFmtId="41" formatCode="_ * #,##0_ ;_ * \-#,##0_ ;_ * &quot;-&quot;_ ;_ @_ "/>
    <numFmt numFmtId="43" formatCode="_ * #,##0.00_ ;_ * \-#,##0.00_ ;_ * &quot;-&quot;??_ ;_ @_ "/>
    <numFmt numFmtId="176" formatCode="_ &quot;￥&quot;* #,##0.00_ ;_ &quot;￥&quot;* \-#,##0.00_ ;_ &quot;￥&quot;* \-??_ ;_ @_ "/>
    <numFmt numFmtId="177" formatCode="_ &quot;￥&quot;* #,##0_ ;_ &quot;￥&quot;* \-#,##0_ ;_ &quot;￥&quot;* \-_ ;_ @_ "/>
    <numFmt numFmtId="178" formatCode="_(&quot;$&quot;* #,##0.00_);_(&quot;$&quot;* \(#,##0.00\);_(&quot;$&quot;* &quot;-&quot;??_);_(@_)"/>
    <numFmt numFmtId="179" formatCode="0.0"/>
    <numFmt numFmtId="180" formatCode="_-&quot;$&quot;* #,##0_-;\-&quot;$&quot;* #,##0_-;_-&quot;$&quot;* &quot;-&quot;_-;_-@_-"/>
    <numFmt numFmtId="181" formatCode="#,##0.0_);\(#,##0.0\)"/>
    <numFmt numFmtId="182" formatCode="&quot;$&quot;\ #,##0_-;[Red]&quot;$&quot;\ #,##0\-"/>
    <numFmt numFmtId="183" formatCode="#,##0;\-#,##0;&quot;-&quot;"/>
    <numFmt numFmtId="184" formatCode="&quot;$&quot;#,##0_);[Red]\(&quot;$&quot;#,##0\)"/>
    <numFmt numFmtId="185" formatCode="_-&quot;$&quot;\ * #,##0_-;_-&quot;$&quot;\ * #,##0\-;_-&quot;$&quot;\ * &quot;-&quot;_-;_-@_-"/>
    <numFmt numFmtId="186" formatCode="#\ ??/??"/>
    <numFmt numFmtId="187" formatCode="0.00_)"/>
    <numFmt numFmtId="188" formatCode="0_);\(0\)"/>
    <numFmt numFmtId="189" formatCode="#,##0;\(#,##0\)"/>
    <numFmt numFmtId="190" formatCode="_(&quot;$&quot;* #,##0_);_(&quot;$&quot;* \(#,##0\);_(&quot;$&quot;* &quot;-&quot;_);_(@_)"/>
    <numFmt numFmtId="191" formatCode="\$#,##0;\(\$#,##0\)"/>
    <numFmt numFmtId="192" formatCode="yy\.mm\.dd"/>
    <numFmt numFmtId="193" formatCode="_-&quot;$&quot;\ * #,##0.00_-;_-&quot;$&quot;\ * #,##0.00\-;_-&quot;$&quot;\ * &quot;-&quot;??_-;_-@_-"/>
    <numFmt numFmtId="194" formatCode="&quot;$&quot;#,##0.00_);[Red]\(&quot;$&quot;#,##0.00\)"/>
    <numFmt numFmtId="195" formatCode="_-* #,##0&quot;$&quot;_-;\-* #,##0&quot;$&quot;_-;_-* &quot;-&quot;&quot;$&quot;_-;_-@_-"/>
    <numFmt numFmtId="196" formatCode="_-* #,##0.00&quot;$&quot;_-;\-* #,##0.00&quot;$&quot;_-;_-* &quot;-&quot;??&quot;$&quot;_-;_-@_-"/>
    <numFmt numFmtId="197" formatCode="_-* #,##0_$_-;\-* #,##0_$_-;_-* &quot;-&quot;_$_-;_-@_-"/>
    <numFmt numFmtId="198" formatCode="_-* #,##0.00_$_-;\-* #,##0.00_$_-;_-* &quot;-&quot;??_$_-;_-@_-"/>
    <numFmt numFmtId="199" formatCode="\$#,##0.00;\(\$#,##0.00\)"/>
    <numFmt numFmtId="200" formatCode="&quot;$&quot;\ #,##0.00_-;[Red]&quot;$&quot;\ #,##0.00\-"/>
    <numFmt numFmtId="201" formatCode="_-* #,##0.00_-;\-* #,##0.00_-;_-* &quot;-&quot;??_-;_-@_-"/>
    <numFmt numFmtId="202" formatCode="0.0_);[Red]\(0.0\)"/>
    <numFmt numFmtId="203" formatCode="0.0_ "/>
    <numFmt numFmtId="204" formatCode="0_);[Red]\(0\)"/>
    <numFmt numFmtId="205" formatCode="0.00_ "/>
    <numFmt numFmtId="206" formatCode="0;_؄"/>
    <numFmt numFmtId="207" formatCode="0_ "/>
    <numFmt numFmtId="208" formatCode="0.00_);[Red]\(0.00\)"/>
  </numFmts>
  <fonts count="100">
    <font>
      <sz val="12"/>
      <name val="宋体"/>
      <charset val="134"/>
    </font>
    <font>
      <sz val="8"/>
      <name val="宋体"/>
      <charset val="134"/>
    </font>
    <font>
      <sz val="10"/>
      <name val="Arial"/>
      <charset val="0"/>
    </font>
    <font>
      <b/>
      <sz val="18"/>
      <name val="方正小标宋简体"/>
      <charset val="134"/>
    </font>
    <font>
      <sz val="10"/>
      <name val="宋体"/>
      <charset val="134"/>
    </font>
    <font>
      <sz val="12"/>
      <color indexed="10"/>
      <name val="宋体"/>
      <charset val="134"/>
    </font>
    <font>
      <b/>
      <sz val="14"/>
      <name val="宋体"/>
      <charset val="134"/>
    </font>
    <font>
      <sz val="14"/>
      <name val="宋体"/>
      <charset val="134"/>
    </font>
    <font>
      <sz val="12"/>
      <color indexed="10"/>
      <name val="黑体"/>
      <charset val="134"/>
    </font>
    <font>
      <b/>
      <sz val="12"/>
      <name val="宋体"/>
      <charset val="134"/>
    </font>
    <font>
      <b/>
      <sz val="9"/>
      <name val="Times New Roman"/>
      <charset val="0"/>
    </font>
    <font>
      <sz val="9"/>
      <name val="Times New Roman"/>
      <charset val="0"/>
    </font>
    <font>
      <sz val="10.5"/>
      <name val="Times New Roman"/>
      <charset val="0"/>
    </font>
    <font>
      <sz val="14"/>
      <name val="仿宋_GB2312"/>
      <charset val="134"/>
    </font>
    <font>
      <sz val="16"/>
      <name val="黑体"/>
      <charset val="134"/>
    </font>
    <font>
      <b/>
      <sz val="11"/>
      <name val="宋体"/>
      <charset val="134"/>
    </font>
    <font>
      <b/>
      <sz val="11"/>
      <name val="宋体"/>
      <charset val="134"/>
      <scheme val="minor"/>
    </font>
    <font>
      <sz val="11"/>
      <name val="宋体"/>
      <charset val="134"/>
      <scheme val="minor"/>
    </font>
    <font>
      <sz val="11"/>
      <name val="宋体"/>
      <charset val="134"/>
    </font>
    <font>
      <b/>
      <sz val="9"/>
      <name val="宋体"/>
      <charset val="134"/>
      <scheme val="minor"/>
    </font>
    <font>
      <b/>
      <sz val="10"/>
      <name val="宋体"/>
      <charset val="134"/>
    </font>
    <font>
      <b/>
      <sz val="10"/>
      <name val="宋体"/>
      <charset val="134"/>
      <scheme val="minor"/>
    </font>
    <font>
      <sz val="10"/>
      <name val="宋体"/>
      <charset val="134"/>
      <scheme val="minor"/>
    </font>
    <font>
      <sz val="12"/>
      <color rgb="FFFF0000"/>
      <name val="宋体"/>
      <charset val="134"/>
    </font>
    <font>
      <b/>
      <sz val="11"/>
      <color theme="1"/>
      <name val="宋体"/>
      <charset val="134"/>
      <scheme val="minor"/>
    </font>
    <font>
      <sz val="11"/>
      <color theme="1"/>
      <name val="宋体"/>
      <charset val="134"/>
      <scheme val="minor"/>
    </font>
    <font>
      <b/>
      <sz val="18"/>
      <name val="仿宋_GB2312"/>
      <charset val="134"/>
    </font>
    <font>
      <u/>
      <sz val="11"/>
      <color indexed="12"/>
      <name val="宋体"/>
      <charset val="134"/>
    </font>
    <font>
      <u/>
      <sz val="12"/>
      <color indexed="3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color indexed="8"/>
      <name val="宋体"/>
      <charset val="134"/>
    </font>
    <font>
      <sz val="12"/>
      <color indexed="9"/>
      <name val="楷体_GB2312"/>
      <charset val="134"/>
    </font>
    <font>
      <sz val="12"/>
      <color indexed="8"/>
      <name val="楷体_GB2312"/>
      <charset val="134"/>
    </font>
    <font>
      <b/>
      <sz val="18"/>
      <color indexed="62"/>
      <name val="宋体"/>
      <charset val="134"/>
    </font>
    <font>
      <sz val="12"/>
      <color indexed="8"/>
      <name val="宋体"/>
      <charset val="134"/>
    </font>
    <font>
      <sz val="12"/>
      <color indexed="17"/>
      <name val="宋体"/>
      <charset val="134"/>
    </font>
    <font>
      <sz val="10.5"/>
      <color indexed="17"/>
      <name val="宋体"/>
      <charset val="134"/>
    </font>
    <font>
      <sz val="10.5"/>
      <color indexed="20"/>
      <name val="宋体"/>
      <charset val="134"/>
    </font>
    <font>
      <sz val="12"/>
      <color indexed="9"/>
      <name val="宋体"/>
      <charset val="134"/>
    </font>
    <font>
      <sz val="12"/>
      <color indexed="20"/>
      <name val="宋体"/>
      <charset val="134"/>
    </font>
    <font>
      <sz val="10"/>
      <name val="MS Sans Serif"/>
      <charset val="0"/>
    </font>
    <font>
      <sz val="12"/>
      <name val="Times New Roman"/>
      <charset val="0"/>
    </font>
    <font>
      <sz val="12"/>
      <name val="Arial"/>
      <charset val="0"/>
    </font>
    <font>
      <sz val="12"/>
      <color indexed="16"/>
      <name val="宋体"/>
      <charset val="134"/>
    </font>
    <font>
      <sz val="10"/>
      <color indexed="17"/>
      <name val="宋体"/>
      <charset val="134"/>
    </font>
    <font>
      <sz val="12"/>
      <color indexed="17"/>
      <name val="楷体_GB2312"/>
      <charset val="134"/>
    </font>
    <font>
      <sz val="10"/>
      <color indexed="20"/>
      <name val="宋体"/>
      <charset val="134"/>
    </font>
    <font>
      <sz val="12"/>
      <name val="Helv"/>
      <charset val="134"/>
    </font>
    <font>
      <sz val="7"/>
      <name val="Small Fonts"/>
      <charset val="0"/>
    </font>
    <font>
      <sz val="12"/>
      <color indexed="62"/>
      <name val="楷体_GB2312"/>
      <charset val="134"/>
    </font>
    <font>
      <sz val="10"/>
      <color indexed="8"/>
      <name val="Arial"/>
      <charset val="0"/>
    </font>
    <font>
      <i/>
      <sz val="12"/>
      <color indexed="23"/>
      <name val="楷体_GB2312"/>
      <charset val="134"/>
    </font>
    <font>
      <sz val="10"/>
      <name val="楷体"/>
      <charset val="134"/>
    </font>
    <font>
      <sz val="12"/>
      <color indexed="20"/>
      <name val="楷体_GB2312"/>
      <charset val="134"/>
    </font>
    <font>
      <b/>
      <sz val="11"/>
      <color indexed="56"/>
      <name val="楷体_GB2312"/>
      <charset val="134"/>
    </font>
    <font>
      <sz val="10"/>
      <name val="Courier"/>
      <charset val="0"/>
    </font>
    <font>
      <sz val="10"/>
      <name val="Times New Roman"/>
      <charset val="0"/>
    </font>
    <font>
      <b/>
      <sz val="12"/>
      <color indexed="9"/>
      <name val="楷体_GB2312"/>
      <charset val="134"/>
    </font>
    <font>
      <b/>
      <sz val="12"/>
      <color indexed="8"/>
      <name val="宋体"/>
      <charset val="134"/>
    </font>
    <font>
      <b/>
      <sz val="13"/>
      <color indexed="56"/>
      <name val="楷体_GB2312"/>
      <charset val="134"/>
    </font>
    <font>
      <b/>
      <sz val="12"/>
      <name val="Arial"/>
      <charset val="0"/>
    </font>
    <font>
      <b/>
      <sz val="12"/>
      <color indexed="63"/>
      <name val="楷体_GB2312"/>
      <charset val="134"/>
    </font>
    <font>
      <sz val="10"/>
      <name val="Helv"/>
      <charset val="134"/>
    </font>
    <font>
      <sz val="12"/>
      <name val="바탕체"/>
      <charset val="134"/>
    </font>
    <font>
      <b/>
      <sz val="10"/>
      <name val="MS Sans Serif"/>
      <charset val="0"/>
    </font>
    <font>
      <sz val="10"/>
      <name val="Arial"/>
      <charset val="134"/>
    </font>
    <font>
      <b/>
      <sz val="10"/>
      <name val="Tms Rmn"/>
      <charset val="0"/>
    </font>
    <font>
      <b/>
      <sz val="15"/>
      <color indexed="56"/>
      <name val="楷体_GB2312"/>
      <charset val="134"/>
    </font>
    <font>
      <sz val="12"/>
      <color indexed="10"/>
      <name val="楷体_GB2312"/>
      <charset val="134"/>
    </font>
    <font>
      <b/>
      <sz val="12"/>
      <color indexed="8"/>
      <name val="楷体_GB2312"/>
      <charset val="134"/>
    </font>
    <font>
      <sz val="8"/>
      <name val="Times New Roman"/>
      <charset val="0"/>
    </font>
    <font>
      <sz val="10"/>
      <name val="Geneva"/>
      <charset val="0"/>
    </font>
    <font>
      <sz val="12"/>
      <color indexed="60"/>
      <name val="楷体_GB2312"/>
      <charset val="134"/>
    </font>
    <font>
      <b/>
      <sz val="18"/>
      <name val="Arial"/>
      <charset val="0"/>
    </font>
    <font>
      <b/>
      <sz val="10"/>
      <name val="Arial"/>
      <charset val="0"/>
    </font>
    <font>
      <sz val="12"/>
      <name val="官帕眉"/>
      <charset val="134"/>
    </font>
    <font>
      <sz val="12"/>
      <color indexed="52"/>
      <name val="楷体_GB2312"/>
      <charset val="134"/>
    </font>
    <font>
      <sz val="12"/>
      <name val="Courier"/>
      <charset val="0"/>
    </font>
    <font>
      <sz val="8"/>
      <name val="Arial"/>
      <charset val="0"/>
    </font>
    <font>
      <b/>
      <sz val="9"/>
      <name val="Arial"/>
      <charset val="0"/>
    </font>
    <font>
      <sz val="12"/>
      <name val="????"/>
      <charset val="0"/>
    </font>
    <font>
      <sz val="10"/>
      <color indexed="8"/>
      <name val="MS Sans Serif"/>
      <charset val="0"/>
    </font>
    <font>
      <b/>
      <sz val="14"/>
      <name val="楷体"/>
      <charset val="134"/>
    </font>
    <font>
      <b/>
      <sz val="12"/>
      <color indexed="52"/>
      <name val="楷体_GB2312"/>
      <charset val="134"/>
    </font>
    <font>
      <sz val="12"/>
      <color indexed="9"/>
      <name val="Helv"/>
      <charset val="134"/>
    </font>
  </fonts>
  <fills count="34">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
      <patternFill patternType="solid">
        <fgColor indexed="54"/>
        <bgColor indexed="64"/>
      </patternFill>
    </fill>
    <fill>
      <patternFill patternType="solid">
        <fgColor indexed="15"/>
        <bgColor indexed="64"/>
      </patternFill>
    </fill>
    <fill>
      <patternFill patternType="mediumGray">
        <fgColor indexed="22"/>
      </patternFill>
    </fill>
    <fill>
      <patternFill patternType="lightUp">
        <fgColor indexed="9"/>
        <bgColor indexed="29"/>
      </patternFill>
    </fill>
    <fill>
      <patternFill patternType="solid">
        <fgColor indexed="25"/>
        <bgColor indexed="64"/>
      </patternFill>
    </fill>
    <fill>
      <patternFill patternType="gray0625"/>
    </fill>
    <fill>
      <patternFill patternType="lightUp">
        <fgColor indexed="9"/>
        <bgColor indexed="22"/>
      </patternFill>
    </fill>
    <fill>
      <patternFill patternType="lightUp">
        <fgColor indexed="9"/>
        <bgColor indexed="55"/>
      </patternFill>
    </fill>
    <fill>
      <patternFill patternType="solid">
        <fgColor indexed="12"/>
        <bgColor indexed="64"/>
      </patternFill>
    </fill>
  </fills>
  <borders count="59">
    <border>
      <left/>
      <right/>
      <top/>
      <bottom/>
      <diagonal/>
    </border>
    <border>
      <left/>
      <right/>
      <top/>
      <bottom style="medium">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right style="thin">
        <color auto="1"/>
      </right>
      <top/>
      <bottom style="thin">
        <color indexed="8"/>
      </bottom>
      <diagonal/>
    </border>
    <border>
      <left/>
      <right/>
      <top/>
      <bottom style="thin">
        <color indexed="8"/>
      </bottom>
      <diagonal/>
    </border>
    <border>
      <left style="thin">
        <color auto="1"/>
      </left>
      <right/>
      <top/>
      <bottom style="thin">
        <color auto="1"/>
      </bottom>
      <diagonal/>
    </border>
    <border>
      <left style="medium">
        <color auto="1"/>
      </left>
      <right/>
      <top style="thin">
        <color auto="1"/>
      </top>
      <bottom style="medium">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medium">
        <color auto="1"/>
      </right>
      <top/>
      <bottom/>
      <diagonal/>
    </border>
    <border>
      <left style="thin">
        <color auto="1"/>
      </left>
      <right style="thin">
        <color auto="1"/>
      </right>
      <top style="thin">
        <color auto="1"/>
      </top>
      <bottom/>
      <diagonal/>
    </border>
    <border>
      <left style="medium">
        <color auto="1"/>
      </left>
      <right/>
      <top/>
      <bottom/>
      <diagonal/>
    </border>
    <border>
      <left style="thin">
        <color auto="1"/>
      </left>
      <right style="medium">
        <color auto="1"/>
      </right>
      <top/>
      <bottom/>
      <diagonal/>
    </border>
    <border>
      <left/>
      <right style="medium">
        <color auto="1"/>
      </right>
      <top/>
      <bottom style="medium">
        <color auto="1"/>
      </bottom>
      <diagonal/>
    </border>
    <border>
      <left style="medium">
        <color auto="1"/>
      </left>
      <right/>
      <top/>
      <bottom style="medium">
        <color auto="1"/>
      </bottom>
      <diagonal/>
    </border>
    <border>
      <left style="thin">
        <color auto="1"/>
      </left>
      <right style="medium">
        <color auto="1"/>
      </right>
      <top/>
      <bottom style="medium">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style="thin">
        <color indexed="8"/>
      </right>
      <top/>
      <bottom/>
      <diagonal/>
    </border>
    <border>
      <left style="thin">
        <color indexed="8"/>
      </left>
      <right/>
      <top/>
      <bottom/>
      <diagonal/>
    </border>
    <border>
      <left style="thin">
        <color indexed="8"/>
      </left>
      <right style="thin">
        <color indexed="8"/>
      </right>
      <top/>
      <bottom style="medium">
        <color auto="1"/>
      </bottom>
      <diagonal/>
    </border>
    <border>
      <left style="thin">
        <color indexed="8"/>
      </left>
      <right/>
      <top/>
      <bottom style="medium">
        <color auto="1"/>
      </bottom>
      <diagonal/>
    </border>
    <border>
      <left/>
      <right/>
      <top style="medium">
        <color auto="1"/>
      </top>
      <bottom/>
      <diagonal/>
    </border>
    <border>
      <left style="thin">
        <color auto="1"/>
      </left>
      <right style="thin">
        <color auto="1"/>
      </right>
      <top style="medium">
        <color auto="1"/>
      </top>
      <bottom/>
      <diagonal/>
    </border>
    <border>
      <left/>
      <right style="thin">
        <color auto="1"/>
      </right>
      <top style="medium">
        <color auto="1"/>
      </top>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bottom style="medium">
        <color auto="1"/>
      </bottom>
      <diagonal/>
    </border>
    <border>
      <left style="thin">
        <color rgb="FF000000"/>
      </left>
      <right/>
      <top/>
      <bottom style="medium">
        <color auto="1"/>
      </bottom>
      <diagonal/>
    </border>
    <border>
      <left style="thin">
        <color auto="1"/>
      </left>
      <right/>
      <top style="medium">
        <color auto="1"/>
      </top>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
      <left/>
      <right/>
      <top style="thin">
        <color auto="1"/>
      </top>
      <bottom style="double">
        <color auto="1"/>
      </bottom>
      <diagonal/>
    </border>
    <border>
      <left/>
      <right/>
      <top style="medium">
        <color auto="1"/>
      </top>
      <bottom style="medium">
        <color auto="1"/>
      </bottom>
      <diagonal/>
    </border>
  </borders>
  <cellStyleXfs count="3191">
    <xf numFmtId="0" fontId="0" fillId="0" borderId="0"/>
    <xf numFmtId="43" fontId="0" fillId="0" borderId="0" applyFont="0" applyFill="0" applyBorder="0" applyAlignment="0" applyProtection="0"/>
    <xf numFmtId="176"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177" fontId="0" fillId="0" borderId="0" applyFont="0" applyFill="0" applyBorder="0" applyAlignment="0" applyProtection="0"/>
    <xf numFmtId="0" fontId="27"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0" fillId="3" borderId="48"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49" applyNumberFormat="0" applyFill="0" applyAlignment="0" applyProtection="0">
      <alignment vertical="center"/>
    </xf>
    <xf numFmtId="0" fontId="33" fillId="0" borderId="50" applyNumberFormat="0" applyFill="0" applyAlignment="0" applyProtection="0">
      <alignment vertical="center"/>
    </xf>
    <xf numFmtId="0" fontId="34" fillId="0" borderId="51" applyNumberFormat="0" applyFill="0" applyAlignment="0" applyProtection="0">
      <alignment vertical="center"/>
    </xf>
    <xf numFmtId="0" fontId="34" fillId="0" borderId="0" applyNumberFormat="0" applyFill="0" applyBorder="0" applyAlignment="0" applyProtection="0">
      <alignment vertical="center"/>
    </xf>
    <xf numFmtId="0" fontId="35" fillId="4" borderId="52" applyNumberFormat="0" applyAlignment="0" applyProtection="0">
      <alignment vertical="center"/>
    </xf>
    <xf numFmtId="0" fontId="36" fillId="5" borderId="53" applyNumberFormat="0" applyAlignment="0" applyProtection="0">
      <alignment vertical="center"/>
    </xf>
    <xf numFmtId="0" fontId="37" fillId="5" borderId="52" applyNumberFormat="0" applyAlignment="0" applyProtection="0">
      <alignment vertical="center"/>
    </xf>
    <xf numFmtId="0" fontId="38" fillId="6" borderId="54" applyNumberFormat="0" applyAlignment="0" applyProtection="0">
      <alignment vertical="center"/>
    </xf>
    <xf numFmtId="0" fontId="39" fillId="0" borderId="55" applyNumberFormat="0" applyFill="0" applyAlignment="0" applyProtection="0">
      <alignment vertical="center"/>
    </xf>
    <xf numFmtId="0" fontId="40" fillId="0" borderId="56"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5" fillId="12"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5" fillId="8" borderId="0" applyNumberFormat="0" applyBorder="0" applyAlignment="0" applyProtection="0">
      <alignment vertical="center"/>
    </xf>
    <xf numFmtId="0" fontId="45" fillId="15"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5" fillId="7" borderId="0" applyNumberFormat="0" applyBorder="0" applyAlignment="0" applyProtection="0">
      <alignment vertical="center"/>
    </xf>
    <xf numFmtId="0" fontId="45" fillId="17"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5" fillId="19" borderId="0" applyNumberFormat="0" applyBorder="0" applyAlignment="0" applyProtection="0">
      <alignment vertical="center"/>
    </xf>
    <xf numFmtId="0" fontId="45" fillId="19" borderId="0" applyNumberFormat="0" applyBorder="0" applyAlignment="0" applyProtection="0">
      <alignment vertical="center"/>
    </xf>
    <xf numFmtId="0" fontId="44" fillId="18" borderId="0" applyNumberFormat="0" applyBorder="0" applyAlignment="0" applyProtection="0">
      <alignment vertical="center"/>
    </xf>
    <xf numFmtId="0" fontId="44" fillId="20" borderId="0" applyNumberFormat="0" applyBorder="0" applyAlignment="0" applyProtection="0">
      <alignment vertical="center"/>
    </xf>
    <xf numFmtId="0" fontId="45" fillId="21" borderId="0" applyNumberFormat="0" applyBorder="0" applyAlignment="0" applyProtection="0">
      <alignment vertical="center"/>
    </xf>
    <xf numFmtId="0" fontId="45" fillId="12" borderId="0" applyNumberFormat="0" applyBorder="0" applyAlignment="0" applyProtection="0">
      <alignment vertical="center"/>
    </xf>
    <xf numFmtId="0" fontId="44" fillId="20" borderId="0" applyNumberFormat="0" applyBorder="0" applyAlignment="0" applyProtection="0">
      <alignment vertical="center"/>
    </xf>
    <xf numFmtId="0" fontId="44" fillId="22" borderId="0" applyNumberFormat="0" applyBorder="0" applyAlignment="0" applyProtection="0">
      <alignment vertical="center"/>
    </xf>
    <xf numFmtId="0" fontId="45" fillId="4" borderId="0" applyNumberFormat="0" applyBorder="0" applyAlignment="0" applyProtection="0">
      <alignment vertical="center"/>
    </xf>
    <xf numFmtId="0" fontId="45" fillId="23" borderId="0" applyNumberFormat="0" applyBorder="0" applyAlignment="0" applyProtection="0">
      <alignment vertical="center"/>
    </xf>
    <xf numFmtId="0" fontId="44" fillId="2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1" fillId="7" borderId="0" applyNumberFormat="0" applyBorder="0" applyAlignment="0" applyProtection="0">
      <alignment vertical="center"/>
    </xf>
    <xf numFmtId="0" fontId="0" fillId="0" borderId="0">
      <alignment vertical="center"/>
    </xf>
    <xf numFmtId="0" fontId="42" fillId="8" borderId="0" applyNumberFormat="0" applyBorder="0" applyAlignment="0" applyProtection="0">
      <alignment vertical="center"/>
    </xf>
    <xf numFmtId="0" fontId="46" fillId="13" borderId="0" applyNumberFormat="0" applyBorder="0" applyAlignment="0" applyProtection="0">
      <alignment vertical="center"/>
    </xf>
    <xf numFmtId="0" fontId="0" fillId="0" borderId="0"/>
    <xf numFmtId="0" fontId="47" fillId="17" borderId="0" applyNumberFormat="0" applyBorder="0" applyAlignment="0" applyProtection="0">
      <alignment vertical="center"/>
    </xf>
    <xf numFmtId="0" fontId="48" fillId="0" borderId="0" applyNumberFormat="0" applyFill="0" applyBorder="0" applyAlignment="0" applyProtection="0"/>
    <xf numFmtId="0" fontId="42" fillId="8" borderId="0" applyNumberFormat="0" applyBorder="0" applyAlignment="0" applyProtection="0">
      <alignment vertical="center"/>
    </xf>
    <xf numFmtId="0" fontId="0" fillId="0" borderId="0"/>
    <xf numFmtId="0" fontId="49" fillId="11" borderId="0" applyNumberFormat="0" applyBorder="0" applyAlignment="0" applyProtection="0"/>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5" fillId="17" borderId="0" applyNumberFormat="0" applyBorder="0" applyAlignment="0" applyProtection="0">
      <alignment vertical="center"/>
    </xf>
    <xf numFmtId="9" fontId="0" fillId="0" borderId="0" applyFont="0" applyFill="0" applyBorder="0" applyAlignment="0" applyProtection="0"/>
    <xf numFmtId="0" fontId="41" fillId="7"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0" fillId="0" borderId="0"/>
    <xf numFmtId="0" fontId="0" fillId="0" borderId="0"/>
    <xf numFmtId="0" fontId="41" fillId="7" borderId="0" applyNumberFormat="0" applyBorder="0" applyAlignment="0" applyProtection="0">
      <alignment vertical="center"/>
    </xf>
    <xf numFmtId="0" fontId="0" fillId="3" borderId="48" applyNumberFormat="0" applyFont="0" applyAlignment="0" applyProtection="0">
      <alignment vertical="center"/>
    </xf>
    <xf numFmtId="0" fontId="32" fillId="0" borderId="49" applyNumberFormat="0" applyFill="0" applyAlignment="0" applyProtection="0">
      <alignment vertical="center"/>
    </xf>
    <xf numFmtId="0" fontId="33" fillId="0" borderId="50" applyNumberFormat="0" applyFill="0" applyAlignment="0" applyProtection="0">
      <alignment vertical="center"/>
    </xf>
    <xf numFmtId="0" fontId="0" fillId="0" borderId="0"/>
    <xf numFmtId="0" fontId="42" fillId="8" borderId="0" applyNumberFormat="0" applyBorder="0" applyAlignment="0" applyProtection="0">
      <alignment vertical="center"/>
    </xf>
    <xf numFmtId="0" fontId="45" fillId="19" borderId="0" applyNumberFormat="0" applyBorder="0" applyAlignment="0" applyProtection="0">
      <alignment vertical="center"/>
    </xf>
    <xf numFmtId="0" fontId="44" fillId="24" borderId="0" applyNumberFormat="0" applyBorder="0" applyAlignment="0" applyProtection="0">
      <alignment vertical="center"/>
    </xf>
    <xf numFmtId="0" fontId="44" fillId="18" borderId="0" applyNumberFormat="0" applyBorder="0" applyAlignment="0" applyProtection="0">
      <alignment vertical="center"/>
    </xf>
    <xf numFmtId="0" fontId="50" fillId="21" borderId="0" applyNumberFormat="0" applyBorder="0" applyAlignment="0" applyProtection="0">
      <alignment vertical="center"/>
    </xf>
    <xf numFmtId="0" fontId="51" fillId="21" borderId="0" applyNumberFormat="0" applyBorder="0" applyAlignment="0" applyProtection="0">
      <alignment vertical="center"/>
    </xf>
    <xf numFmtId="0" fontId="44" fillId="18" borderId="0" applyNumberFormat="0" applyBorder="0" applyAlignment="0" applyProtection="0">
      <alignment vertical="center"/>
    </xf>
    <xf numFmtId="0" fontId="42" fillId="8" borderId="0" applyNumberFormat="0" applyBorder="0" applyAlignment="0" applyProtection="0">
      <alignment vertical="center"/>
    </xf>
    <xf numFmtId="0" fontId="41" fillId="21" borderId="0" applyNumberFormat="0" applyBorder="0" applyAlignment="0" applyProtection="0">
      <alignment vertical="center"/>
    </xf>
    <xf numFmtId="0" fontId="41" fillId="7" borderId="0" applyNumberFormat="0" applyBorder="0" applyAlignment="0" applyProtection="0">
      <alignment vertical="center"/>
    </xf>
    <xf numFmtId="0" fontId="45" fillId="21" borderId="0" applyNumberFormat="0" applyBorder="0" applyAlignment="0" applyProtection="0">
      <alignment vertical="center"/>
    </xf>
    <xf numFmtId="0" fontId="45" fillId="7" borderId="0" applyNumberFormat="0" applyBorder="0" applyAlignment="0" applyProtection="0">
      <alignment vertical="center"/>
    </xf>
    <xf numFmtId="0" fontId="41" fillId="7" borderId="0" applyNumberFormat="0" applyBorder="0" applyAlignment="0" applyProtection="0">
      <alignment vertical="center"/>
    </xf>
    <xf numFmtId="0" fontId="0" fillId="0" borderId="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53" fillId="12" borderId="0" applyNumberFormat="0" applyBorder="0" applyAlignment="0" applyProtection="0"/>
    <xf numFmtId="1" fontId="18" fillId="0" borderId="15">
      <alignment vertical="center"/>
      <protection locked="0"/>
    </xf>
    <xf numFmtId="0" fontId="42" fillId="8"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10" fontId="0" fillId="0" borderId="0" applyFont="0" applyFill="0" applyBorder="0" applyAlignment="0" applyProtection="0"/>
    <xf numFmtId="0" fontId="0" fillId="0" borderId="0">
      <alignment vertical="center"/>
    </xf>
    <xf numFmtId="0" fontId="42" fillId="8" borderId="0" applyNumberFormat="0" applyBorder="0" applyAlignment="0" applyProtection="0">
      <alignment vertical="center"/>
    </xf>
    <xf numFmtId="0" fontId="54" fillId="19" borderId="0" applyNumberFormat="0" applyBorder="0" applyAlignment="0" applyProtection="0">
      <alignment vertical="center"/>
    </xf>
    <xf numFmtId="0" fontId="33" fillId="0" borderId="50" applyNumberFormat="0" applyFill="0" applyAlignment="0" applyProtection="0">
      <alignment vertical="center"/>
    </xf>
    <xf numFmtId="0" fontId="55" fillId="0" borderId="0"/>
    <xf numFmtId="0" fontId="0" fillId="3" borderId="48" applyNumberFormat="0" applyFont="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4" fillId="10" borderId="0" applyNumberFormat="0" applyBorder="0" applyAlignment="0" applyProtection="0">
      <alignment vertical="center"/>
    </xf>
    <xf numFmtId="0" fontId="34" fillId="0" borderId="51" applyNumberFormat="0" applyFill="0" applyAlignment="0" applyProtection="0">
      <alignment vertical="center"/>
    </xf>
    <xf numFmtId="0" fontId="35" fillId="4" borderId="52" applyNumberFormat="0" applyAlignment="0" applyProtection="0">
      <alignment vertical="center"/>
    </xf>
    <xf numFmtId="0" fontId="45" fillId="15" borderId="0" applyNumberFormat="0" applyBorder="0" applyAlignment="0" applyProtection="0">
      <alignment vertical="center"/>
    </xf>
    <xf numFmtId="0" fontId="51" fillId="21" borderId="0" applyNumberFormat="0" applyBorder="0" applyAlignment="0" applyProtection="0">
      <alignment vertical="center"/>
    </xf>
    <xf numFmtId="0" fontId="45" fillId="17" borderId="0" applyNumberFormat="0" applyBorder="0" applyAlignment="0" applyProtection="0">
      <alignment vertical="center"/>
    </xf>
    <xf numFmtId="0" fontId="56" fillId="0" borderId="0"/>
    <xf numFmtId="0" fontId="0" fillId="3" borderId="48" applyNumberFormat="0" applyFont="0" applyAlignment="0" applyProtection="0">
      <alignment vertical="center"/>
    </xf>
    <xf numFmtId="0" fontId="45" fillId="12" borderId="0" applyNumberFormat="0" applyBorder="0" applyAlignment="0" applyProtection="0">
      <alignment vertical="center"/>
    </xf>
    <xf numFmtId="0" fontId="31" fillId="0" borderId="0" applyNumberFormat="0" applyFill="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38" fillId="6" borderId="54" applyNumberFormat="0" applyAlignment="0" applyProtection="0">
      <alignment vertical="center"/>
    </xf>
    <xf numFmtId="0" fontId="44" fillId="14" borderId="0" applyNumberFormat="0" applyBorder="0" applyAlignment="0" applyProtection="0">
      <alignment vertical="center"/>
    </xf>
    <xf numFmtId="0" fontId="41" fillId="7" borderId="0" applyNumberFormat="0" applyBorder="0" applyAlignment="0" applyProtection="0">
      <alignment vertical="center"/>
    </xf>
    <xf numFmtId="0" fontId="30" fillId="0" borderId="0" applyNumberFormat="0" applyFill="0" applyBorder="0" applyAlignment="0" applyProtection="0">
      <alignment vertical="center"/>
    </xf>
    <xf numFmtId="0" fontId="45" fillId="8" borderId="0" applyNumberFormat="0" applyBorder="0" applyAlignment="0" applyProtection="0">
      <alignment vertical="center"/>
    </xf>
    <xf numFmtId="0" fontId="44" fillId="14"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0" fillId="0" borderId="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0" fillId="0" borderId="0"/>
    <xf numFmtId="0" fontId="49" fillId="3" borderId="0" applyNumberFormat="0" applyBorder="0" applyAlignment="0" applyProtection="0"/>
    <xf numFmtId="0" fontId="47" fillId="8" borderId="0" applyNumberFormat="0" applyBorder="0" applyAlignment="0" applyProtection="0">
      <alignment vertical="center"/>
    </xf>
    <xf numFmtId="0" fontId="41" fillId="7" borderId="0" applyNumberFormat="0" applyBorder="0" applyAlignment="0" applyProtection="0">
      <alignment vertical="center"/>
    </xf>
    <xf numFmtId="0" fontId="51" fillId="21" borderId="0" applyNumberFormat="0" applyBorder="0" applyAlignment="0" applyProtection="0">
      <alignment vertical="center"/>
    </xf>
    <xf numFmtId="0" fontId="51" fillId="21"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0" fillId="0" borderId="0">
      <alignment vertical="center"/>
    </xf>
    <xf numFmtId="0" fontId="44" fillId="13" borderId="0" applyNumberFormat="0" applyBorder="0" applyAlignment="0" applyProtection="0">
      <alignment vertical="center"/>
    </xf>
    <xf numFmtId="0" fontId="0" fillId="0" borderId="0"/>
    <xf numFmtId="0" fontId="0" fillId="0" borderId="0" applyFont="0" applyFill="0" applyBorder="0" applyAlignment="0" applyProtection="0"/>
    <xf numFmtId="0" fontId="44" fillId="15" borderId="0" applyNumberFormat="0" applyBorder="0" applyAlignment="0" applyProtection="0">
      <alignment vertical="center"/>
    </xf>
    <xf numFmtId="0" fontId="53" fillId="5" borderId="0" applyNumberFormat="0" applyBorder="0" applyAlignment="0" applyProtection="0"/>
    <xf numFmtId="0" fontId="28" fillId="0" borderId="0" applyNumberFormat="0" applyFill="0" applyBorder="0" applyAlignment="0" applyProtection="0">
      <alignment vertical="top"/>
      <protection locked="0"/>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5" fillId="7" borderId="0" applyNumberFormat="0" applyBorder="0" applyAlignment="0" applyProtection="0">
      <alignment vertical="center"/>
    </xf>
    <xf numFmtId="0" fontId="0" fillId="0" borderId="0"/>
    <xf numFmtId="0" fontId="42" fillId="8" borderId="0" applyNumberFormat="0" applyBorder="0" applyAlignment="0" applyProtection="0">
      <alignment vertical="center"/>
    </xf>
    <xf numFmtId="0" fontId="0" fillId="0" borderId="0"/>
    <xf numFmtId="0" fontId="0" fillId="0" borderId="0"/>
    <xf numFmtId="0" fontId="42" fillId="8" borderId="0" applyNumberFormat="0" applyBorder="0" applyAlignment="0" applyProtection="0">
      <alignment vertical="center"/>
    </xf>
    <xf numFmtId="0" fontId="31" fillId="0" borderId="0" applyNumberFormat="0" applyFill="0" applyBorder="0" applyAlignment="0" applyProtection="0">
      <alignment vertical="center"/>
    </xf>
    <xf numFmtId="0" fontId="39" fillId="0" borderId="55"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39" fillId="0" borderId="55" applyNumberFormat="0" applyFill="0" applyAlignment="0" applyProtection="0">
      <alignment vertical="center"/>
    </xf>
    <xf numFmtId="0" fontId="0" fillId="0" borderId="0">
      <alignment vertical="center"/>
    </xf>
    <xf numFmtId="0" fontId="45" fillId="7" borderId="0" applyNumberFormat="0" applyBorder="0" applyAlignment="0" applyProtection="0">
      <alignment vertical="center"/>
    </xf>
    <xf numFmtId="0" fontId="44" fillId="24" borderId="0" applyNumberFormat="0" applyBorder="0" applyAlignment="0" applyProtection="0">
      <alignment vertical="center"/>
    </xf>
    <xf numFmtId="0" fontId="45" fillId="0" borderId="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54" fillId="19" borderId="0" applyNumberFormat="0" applyBorder="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49" fillId="4" borderId="0" applyNumberFormat="0" applyBorder="0" applyAlignment="0" applyProtection="0"/>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4" fillId="16" borderId="0" applyNumberFormat="0" applyBorder="0" applyAlignment="0" applyProtection="0">
      <alignment vertical="center"/>
    </xf>
    <xf numFmtId="0" fontId="43" fillId="9"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3" fillId="9" borderId="0" applyNumberFormat="0" applyBorder="0" applyAlignment="0" applyProtection="0">
      <alignment vertical="center"/>
    </xf>
    <xf numFmtId="0" fontId="0" fillId="0" borderId="0"/>
    <xf numFmtId="0" fontId="44" fillId="20"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50" fillId="7" borderId="0" applyNumberFormat="0" applyBorder="0" applyAlignment="0" applyProtection="0"/>
    <xf numFmtId="0" fontId="31" fillId="0" borderId="0" applyNumberFormat="0" applyFill="0" applyBorder="0" applyAlignment="0" applyProtection="0">
      <alignment vertical="center"/>
    </xf>
    <xf numFmtId="0" fontId="41" fillId="21" borderId="0" applyNumberFormat="0" applyBorder="0" applyAlignment="0" applyProtection="0">
      <alignment vertical="center"/>
    </xf>
    <xf numFmtId="0" fontId="38" fillId="6" borderId="54" applyNumberFormat="0" applyAlignment="0" applyProtection="0">
      <alignment vertical="center"/>
    </xf>
    <xf numFmtId="0" fontId="30" fillId="0" borderId="0" applyNumberFormat="0" applyFill="0" applyBorder="0" applyAlignment="0" applyProtection="0">
      <alignment vertical="center"/>
    </xf>
    <xf numFmtId="0" fontId="41" fillId="21" borderId="0" applyNumberFormat="0" applyBorder="0" applyAlignment="0" applyProtection="0">
      <alignment vertical="center"/>
    </xf>
    <xf numFmtId="0" fontId="53" fillId="5" borderId="0" applyNumberFormat="0" applyBorder="0" applyAlignment="0" applyProtection="0"/>
    <xf numFmtId="0" fontId="51" fillId="21" borderId="0" applyNumberFormat="0" applyBorder="0" applyAlignment="0" applyProtection="0">
      <alignment vertical="center"/>
    </xf>
    <xf numFmtId="0" fontId="44" fillId="15" borderId="0" applyNumberFormat="0" applyBorder="0" applyAlignment="0" applyProtection="0">
      <alignment vertical="center"/>
    </xf>
    <xf numFmtId="0" fontId="57" fillId="0" borderId="57" applyProtection="0"/>
    <xf numFmtId="0" fontId="0" fillId="0" borderId="0">
      <alignment vertical="center"/>
    </xf>
    <xf numFmtId="0" fontId="43" fillId="9" borderId="0" applyNumberFormat="0" applyBorder="0" applyAlignment="0" applyProtection="0">
      <alignment vertical="center"/>
    </xf>
    <xf numFmtId="0" fontId="41" fillId="7" borderId="0" applyNumberFormat="0" applyBorder="0" applyAlignment="0" applyProtection="0">
      <alignment vertical="center"/>
    </xf>
    <xf numFmtId="0" fontId="45" fillId="12" borderId="0" applyNumberFormat="0" applyBorder="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51" fillId="21" borderId="0" applyNumberFormat="0" applyBorder="0" applyAlignment="0" applyProtection="0">
      <alignment vertical="center"/>
    </xf>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39" fillId="0" borderId="55" applyNumberFormat="0" applyFill="0" applyAlignment="0" applyProtection="0">
      <alignment vertical="center"/>
    </xf>
    <xf numFmtId="0" fontId="49" fillId="11" borderId="0" applyNumberFormat="0" applyBorder="0" applyAlignment="0" applyProtection="0"/>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43" fillId="9" borderId="0" applyNumberFormat="0" applyBorder="0" applyAlignment="0" applyProtection="0">
      <alignment vertical="center"/>
    </xf>
    <xf numFmtId="0" fontId="42" fillId="8" borderId="0" applyNumberFormat="0" applyBorder="0" applyAlignment="0" applyProtection="0">
      <alignment vertical="center"/>
    </xf>
    <xf numFmtId="0" fontId="39" fillId="0" borderId="55" applyNumberFormat="0" applyFill="0" applyAlignment="0" applyProtection="0">
      <alignment vertical="center"/>
    </xf>
    <xf numFmtId="0" fontId="44" fillId="20" borderId="0" applyNumberFormat="0" applyBorder="0" applyAlignment="0" applyProtection="0">
      <alignment vertical="center"/>
    </xf>
    <xf numFmtId="0" fontId="41" fillId="7" borderId="0" applyNumberFormat="0" applyBorder="0" applyAlignment="0" applyProtection="0">
      <alignment vertical="center"/>
    </xf>
    <xf numFmtId="0" fontId="50" fillId="21"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53" fillId="6" borderId="0" applyNumberFormat="0" applyBorder="0" applyAlignment="0" applyProtection="0"/>
    <xf numFmtId="0" fontId="52" fillId="19" borderId="0" applyNumberFormat="0" applyBorder="0" applyAlignment="0" applyProtection="0">
      <alignment vertical="center"/>
    </xf>
    <xf numFmtId="0" fontId="52" fillId="19" borderId="0" applyNumberFormat="0" applyBorder="0" applyAlignment="0" applyProtection="0">
      <alignment vertical="center"/>
    </xf>
    <xf numFmtId="0" fontId="28" fillId="0" borderId="0" applyNumberFormat="0" applyFill="0" applyBorder="0" applyAlignment="0" applyProtection="0">
      <alignment vertical="top"/>
      <protection locked="0"/>
    </xf>
    <xf numFmtId="0" fontId="53" fillId="25" borderId="0" applyNumberFormat="0" applyBorder="0" applyAlignment="0" applyProtection="0"/>
    <xf numFmtId="0" fontId="0" fillId="0" borderId="0">
      <alignment vertical="center"/>
    </xf>
    <xf numFmtId="0" fontId="45" fillId="11" borderId="0" applyNumberFormat="0" applyBorder="0" applyAlignment="0" applyProtection="0">
      <alignment vertical="center"/>
    </xf>
    <xf numFmtId="0" fontId="51" fillId="21" borderId="0" applyNumberFormat="0" applyBorder="0" applyAlignment="0" applyProtection="0">
      <alignment vertical="center"/>
    </xf>
    <xf numFmtId="0" fontId="36" fillId="5" borderId="53" applyNumberFormat="0" applyAlignment="0" applyProtection="0">
      <alignment vertical="center"/>
    </xf>
    <xf numFmtId="0" fontId="40" fillId="0" borderId="56" applyNumberFormat="0" applyFill="0" applyAlignment="0" applyProtection="0">
      <alignment vertical="center"/>
    </xf>
    <xf numFmtId="0" fontId="41" fillId="7" borderId="0" applyNumberFormat="0" applyBorder="0" applyAlignment="0" applyProtection="0">
      <alignment vertical="center"/>
    </xf>
    <xf numFmtId="0" fontId="34" fillId="0" borderId="51" applyNumberFormat="0" applyFill="0" applyAlignment="0" applyProtection="0">
      <alignment vertical="center"/>
    </xf>
    <xf numFmtId="41" fontId="0" fillId="0" borderId="0" applyFont="0" applyFill="0" applyBorder="0" applyAlignment="0" applyProtection="0">
      <alignment vertical="center"/>
    </xf>
    <xf numFmtId="0" fontId="35" fillId="4" borderId="52" applyNumberFormat="0" applyAlignment="0" applyProtection="0">
      <alignment vertical="center"/>
    </xf>
    <xf numFmtId="0" fontId="49" fillId="11" borderId="0" applyNumberFormat="0" applyBorder="0" applyAlignment="0" applyProtection="0"/>
    <xf numFmtId="0" fontId="45" fillId="17" borderId="0" applyNumberFormat="0" applyBorder="0" applyAlignment="0" applyProtection="0">
      <alignment vertical="center"/>
    </xf>
    <xf numFmtId="178" fontId="0" fillId="0" borderId="0" applyFont="0" applyFill="0" applyBorder="0" applyAlignment="0" applyProtection="0"/>
    <xf numFmtId="0" fontId="53" fillId="5" borderId="0" applyNumberFormat="0" applyBorder="0" applyAlignment="0" applyProtection="0"/>
    <xf numFmtId="0" fontId="44" fillId="15" borderId="0" applyNumberFormat="0" applyBorder="0" applyAlignment="0" applyProtection="0">
      <alignment vertical="center"/>
    </xf>
    <xf numFmtId="0" fontId="50" fillId="7" borderId="0" applyNumberFormat="0" applyBorder="0" applyAlignment="0" applyProtection="0"/>
    <xf numFmtId="0" fontId="43" fillId="9" borderId="0" applyNumberFormat="0" applyBorder="0" applyAlignment="0" applyProtection="0">
      <alignment vertical="center"/>
    </xf>
    <xf numFmtId="0" fontId="50" fillId="7" borderId="0" applyNumberFormat="0" applyBorder="0" applyAlignment="0" applyProtection="0"/>
    <xf numFmtId="0" fontId="53" fillId="25" borderId="0" applyNumberFormat="0" applyBorder="0" applyAlignment="0" applyProtection="0"/>
    <xf numFmtId="0" fontId="2" fillId="0" borderId="0"/>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0" fillId="3" borderId="48" applyNumberFormat="0" applyFont="0" applyAlignment="0" applyProtection="0">
      <alignment vertical="center"/>
    </xf>
    <xf numFmtId="0" fontId="48" fillId="0" borderId="0" applyNumberFormat="0" applyFill="0" applyBorder="0" applyAlignment="0" applyProtection="0"/>
    <xf numFmtId="0" fontId="45" fillId="23" borderId="0" applyNumberFormat="0" applyBorder="0" applyAlignment="0" applyProtection="0">
      <alignment vertical="center"/>
    </xf>
    <xf numFmtId="9" fontId="0" fillId="0" borderId="0" applyFont="0" applyFill="0" applyBorder="0" applyAlignment="0" applyProtection="0"/>
    <xf numFmtId="0" fontId="41" fillId="7" borderId="0" applyNumberFormat="0" applyBorder="0" applyAlignment="0" applyProtection="0">
      <alignment vertical="center"/>
    </xf>
    <xf numFmtId="0" fontId="34" fillId="0" borderId="51" applyNumberFormat="0" applyFill="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53" fillId="12" borderId="0" applyNumberFormat="0" applyBorder="0" applyAlignment="0" applyProtection="0"/>
    <xf numFmtId="0" fontId="37" fillId="5" borderId="52" applyNumberFormat="0" applyAlignment="0" applyProtection="0">
      <alignment vertical="center"/>
    </xf>
    <xf numFmtId="1" fontId="18" fillId="0" borderId="15">
      <alignment vertical="center"/>
      <protection locked="0"/>
    </xf>
    <xf numFmtId="0" fontId="51" fillId="21" borderId="0" applyNumberFormat="0" applyBorder="0" applyAlignment="0" applyProtection="0">
      <alignment vertical="center"/>
    </xf>
    <xf numFmtId="0" fontId="45" fillId="17" borderId="0" applyNumberFormat="0" applyBorder="0" applyAlignment="0" applyProtection="0">
      <alignment vertical="center"/>
    </xf>
    <xf numFmtId="0" fontId="38" fillId="6" borderId="54" applyNumberFormat="0" applyAlignment="0" applyProtection="0">
      <alignment vertical="center"/>
    </xf>
    <xf numFmtId="179" fontId="18" fillId="0" borderId="15">
      <alignment vertical="center"/>
      <protection locked="0"/>
    </xf>
    <xf numFmtId="0" fontId="54" fillId="19" borderId="0" applyNumberFormat="0" applyBorder="0" applyAlignment="0" applyProtection="0">
      <alignment vertical="center"/>
    </xf>
    <xf numFmtId="0" fontId="44" fillId="18" borderId="0" applyNumberFormat="0" applyBorder="0" applyAlignment="0" applyProtection="0">
      <alignment vertical="center"/>
    </xf>
    <xf numFmtId="0" fontId="0" fillId="0" borderId="0"/>
    <xf numFmtId="0" fontId="0" fillId="0" borderId="0"/>
    <xf numFmtId="0" fontId="58" fillId="8" borderId="0" applyNumberFormat="0" applyBorder="0" applyAlignment="0" applyProtection="0"/>
    <xf numFmtId="0" fontId="45" fillId="17" borderId="0" applyNumberFormat="0" applyBorder="0" applyAlignment="0" applyProtection="0">
      <alignment vertical="center"/>
    </xf>
    <xf numFmtId="0" fontId="0" fillId="0" borderId="0"/>
    <xf numFmtId="180" fontId="0" fillId="0" borderId="0" applyFont="0" applyFill="0" applyBorder="0" applyAlignment="0" applyProtection="0"/>
    <xf numFmtId="0" fontId="45" fillId="19" borderId="0" applyNumberFormat="0" applyBorder="0" applyAlignment="0" applyProtection="0">
      <alignment vertical="center"/>
    </xf>
    <xf numFmtId="0" fontId="45" fillId="19" borderId="0" applyNumberFormat="0" applyBorder="0" applyAlignment="0" applyProtection="0">
      <alignment vertical="center"/>
    </xf>
    <xf numFmtId="0" fontId="51" fillId="21" borderId="0" applyNumberFormat="0" applyBorder="0" applyAlignment="0" applyProtection="0">
      <alignment vertical="center"/>
    </xf>
    <xf numFmtId="0" fontId="42" fillId="8" borderId="0" applyNumberFormat="0" applyBorder="0" applyAlignment="0" applyProtection="0">
      <alignment vertical="center"/>
    </xf>
    <xf numFmtId="0" fontId="54" fillId="8" borderId="0" applyNumberFormat="0" applyBorder="0" applyAlignment="0" applyProtection="0">
      <alignment vertical="center"/>
    </xf>
    <xf numFmtId="0" fontId="45" fillId="12" borderId="0" applyNumberFormat="0" applyBorder="0" applyAlignment="0" applyProtection="0">
      <alignment vertical="center"/>
    </xf>
    <xf numFmtId="0" fontId="45" fillId="4" borderId="0" applyNumberFormat="0" applyBorder="0" applyAlignment="0" applyProtection="0">
      <alignment vertical="center"/>
    </xf>
    <xf numFmtId="0" fontId="35" fillId="4" borderId="52" applyNumberFormat="0" applyAlignment="0" applyProtection="0">
      <alignment vertical="center"/>
    </xf>
    <xf numFmtId="0" fontId="45" fillId="11"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50" fillId="7" borderId="0" applyNumberFormat="0" applyBorder="0" applyAlignment="0" applyProtection="0"/>
    <xf numFmtId="0" fontId="53" fillId="5" borderId="0" applyNumberFormat="0" applyBorder="0" applyAlignment="0" applyProtection="0"/>
    <xf numFmtId="0" fontId="51" fillId="21" borderId="0" applyNumberFormat="0" applyBorder="0" applyAlignment="0" applyProtection="0">
      <alignment vertical="center"/>
    </xf>
    <xf numFmtId="0" fontId="44" fillId="15" borderId="0" applyNumberFormat="0" applyBorder="0" applyAlignment="0" applyProtection="0">
      <alignment vertical="center"/>
    </xf>
    <xf numFmtId="9" fontId="0" fillId="0" borderId="0" applyFont="0" applyFill="0" applyBorder="0" applyAlignment="0" applyProtection="0">
      <alignment vertical="center"/>
    </xf>
    <xf numFmtId="0" fontId="43" fillId="9" borderId="0" applyNumberFormat="0" applyBorder="0" applyAlignment="0" applyProtection="0">
      <alignment vertical="center"/>
    </xf>
    <xf numFmtId="0" fontId="47" fillId="7" borderId="0" applyNumberFormat="0" applyBorder="0" applyAlignment="0" applyProtection="0">
      <alignment vertical="center"/>
    </xf>
    <xf numFmtId="0" fontId="41" fillId="7" borderId="0" applyNumberFormat="0" applyBorder="0" applyAlignment="0" applyProtection="0">
      <alignment vertical="center"/>
    </xf>
    <xf numFmtId="0" fontId="44" fillId="14" borderId="0" applyNumberFormat="0" applyBorder="0" applyAlignment="0" applyProtection="0">
      <alignment vertical="center"/>
    </xf>
    <xf numFmtId="0" fontId="44" fillId="18" borderId="0" applyNumberFormat="0" applyBorder="0" applyAlignment="0" applyProtection="0">
      <alignment vertical="center"/>
    </xf>
    <xf numFmtId="0" fontId="44" fillId="24"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5" fillId="12" borderId="0" applyNumberFormat="0" applyBorder="0" applyAlignment="0" applyProtection="0">
      <alignment vertical="center"/>
    </xf>
    <xf numFmtId="0" fontId="45" fillId="7" borderId="0" applyNumberFormat="0" applyBorder="0" applyAlignment="0" applyProtection="0">
      <alignment vertical="center"/>
    </xf>
    <xf numFmtId="0" fontId="53" fillId="24" borderId="0" applyNumberFormat="0" applyBorder="0" applyAlignment="0" applyProtection="0"/>
    <xf numFmtId="0" fontId="50" fillId="21" borderId="0" applyNumberFormat="0" applyBorder="0" applyAlignment="0" applyProtection="0">
      <alignment vertical="center"/>
    </xf>
    <xf numFmtId="0" fontId="42" fillId="8" borderId="0" applyNumberFormat="0" applyBorder="0" applyAlignment="0" applyProtection="0">
      <alignment vertical="center"/>
    </xf>
    <xf numFmtId="0" fontId="45" fillId="23" borderId="0" applyNumberFormat="0" applyBorder="0" applyAlignment="0" applyProtection="0">
      <alignment vertical="center"/>
    </xf>
    <xf numFmtId="0" fontId="45" fillId="19" borderId="0" applyNumberFormat="0" applyBorder="0" applyAlignment="0" applyProtection="0">
      <alignment vertical="center"/>
    </xf>
    <xf numFmtId="0" fontId="0" fillId="3" borderId="48" applyNumberFormat="0" applyFont="0" applyAlignment="0" applyProtection="0">
      <alignment vertical="center"/>
    </xf>
    <xf numFmtId="0" fontId="44" fillId="10" borderId="0" applyNumberFormat="0" applyBorder="0" applyAlignment="0" applyProtection="0">
      <alignment vertical="center"/>
    </xf>
    <xf numFmtId="0" fontId="44" fillId="13" borderId="0" applyNumberFormat="0" applyBorder="0" applyAlignment="0" applyProtection="0">
      <alignment vertical="center"/>
    </xf>
    <xf numFmtId="0" fontId="45" fillId="4" borderId="0" applyNumberFormat="0" applyBorder="0" applyAlignment="0" applyProtection="0">
      <alignment vertical="center"/>
    </xf>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0" fillId="3" borderId="48" applyNumberFormat="0" applyFont="0" applyAlignment="0" applyProtection="0">
      <alignment vertical="center"/>
    </xf>
    <xf numFmtId="0" fontId="41" fillId="7" borderId="0" applyNumberFormat="0" applyBorder="0" applyAlignment="0" applyProtection="0">
      <alignment vertical="center"/>
    </xf>
    <xf numFmtId="0" fontId="33" fillId="0" borderId="50" applyNumberFormat="0" applyFill="0" applyAlignment="0" applyProtection="0">
      <alignment vertical="center"/>
    </xf>
    <xf numFmtId="0" fontId="0" fillId="0" borderId="0"/>
    <xf numFmtId="0" fontId="53" fillId="24" borderId="0" applyNumberFormat="0" applyBorder="0" applyAlignment="0" applyProtection="0"/>
    <xf numFmtId="0" fontId="45" fillId="15"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45" fillId="7" borderId="0" applyNumberFormat="0" applyBorder="0" applyAlignment="0" applyProtection="0">
      <alignment vertical="center"/>
    </xf>
    <xf numFmtId="0" fontId="42" fillId="8" borderId="0" applyNumberFormat="0" applyBorder="0" applyAlignment="0" applyProtection="0">
      <alignment vertical="center"/>
    </xf>
    <xf numFmtId="0" fontId="0" fillId="0" borderId="0"/>
    <xf numFmtId="0" fontId="0" fillId="0" borderId="0"/>
    <xf numFmtId="0" fontId="45" fillId="11"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44" fillId="20" borderId="0" applyNumberFormat="0" applyBorder="0" applyAlignment="0" applyProtection="0">
      <alignment vertical="center"/>
    </xf>
    <xf numFmtId="0" fontId="0" fillId="0" borderId="0">
      <alignment vertical="center"/>
    </xf>
    <xf numFmtId="15" fontId="0" fillId="0" borderId="0" applyFont="0" applyFill="0" applyBorder="0" applyAlignment="0" applyProtection="0"/>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39" fillId="0" borderId="55" applyNumberFormat="0" applyFill="0" applyAlignment="0" applyProtection="0">
      <alignment vertical="center"/>
    </xf>
    <xf numFmtId="0" fontId="49" fillId="11" borderId="0" applyNumberFormat="0" applyBorder="0" applyAlignment="0" applyProtection="0"/>
    <xf numFmtId="0" fontId="45" fillId="4" borderId="0" applyNumberFormat="0" applyBorder="0" applyAlignment="0" applyProtection="0">
      <alignment vertical="center"/>
    </xf>
    <xf numFmtId="0" fontId="44" fillId="13" borderId="0" applyNumberFormat="0" applyBorder="0" applyAlignment="0" applyProtection="0">
      <alignment vertical="center"/>
    </xf>
    <xf numFmtId="0" fontId="45" fillId="4" borderId="0" applyNumberFormat="0" applyBorder="0" applyAlignment="0" applyProtection="0">
      <alignment vertical="center"/>
    </xf>
    <xf numFmtId="0" fontId="50" fillId="21" borderId="0" applyNumberFormat="0" applyBorder="0" applyAlignment="0" applyProtection="0">
      <alignment vertical="center"/>
    </xf>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53" fillId="6" borderId="0" applyNumberFormat="0" applyBorder="0" applyAlignment="0" applyProtection="0"/>
    <xf numFmtId="0" fontId="52" fillId="19" borderId="0" applyNumberFormat="0" applyBorder="0" applyAlignment="0" applyProtection="0">
      <alignment vertical="center"/>
    </xf>
    <xf numFmtId="0" fontId="41" fillId="21" borderId="0" applyNumberFormat="0" applyBorder="0" applyAlignment="0" applyProtection="0">
      <alignment vertical="center"/>
    </xf>
    <xf numFmtId="0" fontId="58" fillId="8" borderId="0" applyNumberFormat="0" applyBorder="0" applyAlignment="0" applyProtection="0"/>
    <xf numFmtId="0" fontId="44" fillId="17"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5" fillId="15" borderId="0" applyNumberFormat="0" applyBorder="0" applyAlignment="0" applyProtection="0">
      <alignment vertical="center"/>
    </xf>
    <xf numFmtId="43" fontId="0" fillId="0" borderId="0" applyFont="0" applyFill="0" applyBorder="0" applyAlignment="0" applyProtection="0"/>
    <xf numFmtId="0" fontId="41" fillId="7" borderId="0" applyNumberFormat="0" applyBorder="0" applyAlignment="0" applyProtection="0">
      <alignment vertical="center"/>
    </xf>
    <xf numFmtId="0" fontId="43" fillId="9" borderId="0" applyNumberFormat="0" applyBorder="0" applyAlignment="0" applyProtection="0">
      <alignment vertical="center"/>
    </xf>
    <xf numFmtId="0" fontId="44" fillId="18" borderId="0" applyNumberFormat="0" applyBorder="0" applyAlignment="0" applyProtection="0">
      <alignment vertical="center"/>
    </xf>
    <xf numFmtId="0" fontId="0" fillId="0" borderId="0"/>
    <xf numFmtId="0" fontId="45" fillId="19" borderId="0" applyNumberFormat="0" applyBorder="0" applyAlignment="0" applyProtection="0">
      <alignment vertical="center"/>
    </xf>
    <xf numFmtId="0" fontId="58" fillId="8" borderId="0" applyNumberFormat="0" applyBorder="0" applyAlignment="0" applyProtection="0"/>
    <xf numFmtId="0" fontId="45" fillId="19" borderId="0" applyNumberFormat="0" applyBorder="0" applyAlignment="0" applyProtection="0">
      <alignment vertical="center"/>
    </xf>
    <xf numFmtId="0" fontId="49" fillId="7" borderId="0" applyNumberFormat="0" applyBorder="0" applyAlignment="0" applyProtection="0"/>
    <xf numFmtId="0" fontId="54" fillId="19" borderId="0" applyNumberFormat="0" applyBorder="0" applyAlignment="0" applyProtection="0">
      <alignment vertical="center"/>
    </xf>
    <xf numFmtId="0" fontId="0" fillId="0" borderId="0">
      <alignment vertical="center"/>
    </xf>
    <xf numFmtId="0" fontId="54" fillId="19" borderId="0" applyNumberFormat="0" applyBorder="0" applyAlignment="0" applyProtection="0">
      <alignment vertical="center"/>
    </xf>
    <xf numFmtId="0" fontId="42" fillId="19" borderId="0" applyNumberFormat="0" applyBorder="0" applyAlignment="0" applyProtection="0">
      <alignment vertical="center"/>
    </xf>
    <xf numFmtId="0" fontId="42" fillId="8" borderId="0" applyNumberFormat="0" applyBorder="0" applyAlignment="0" applyProtection="0">
      <alignment vertical="center"/>
    </xf>
    <xf numFmtId="0" fontId="53" fillId="5" borderId="0" applyNumberFormat="0" applyBorder="0" applyAlignment="0" applyProtection="0"/>
    <xf numFmtId="0" fontId="45" fillId="0" borderId="0">
      <alignment vertical="center"/>
    </xf>
    <xf numFmtId="0" fontId="36" fillId="5" borderId="53" applyNumberFormat="0" applyAlignment="0" applyProtection="0">
      <alignment vertical="center"/>
    </xf>
    <xf numFmtId="0" fontId="44" fillId="24" borderId="0" applyNumberFormat="0" applyBorder="0" applyAlignment="0" applyProtection="0">
      <alignment vertical="center"/>
    </xf>
    <xf numFmtId="0" fontId="44" fillId="24" borderId="0" applyNumberFormat="0" applyBorder="0" applyAlignment="0" applyProtection="0">
      <alignment vertical="center"/>
    </xf>
    <xf numFmtId="0" fontId="45" fillId="0" borderId="0">
      <alignment vertical="center"/>
    </xf>
    <xf numFmtId="0" fontId="34" fillId="0" borderId="51" applyNumberFormat="0" applyFill="0" applyAlignment="0" applyProtection="0">
      <alignment vertical="center"/>
    </xf>
    <xf numFmtId="41" fontId="0" fillId="0" borderId="0" applyFont="0" applyFill="0" applyBorder="0" applyAlignment="0" applyProtection="0">
      <alignment vertical="center"/>
    </xf>
    <xf numFmtId="0" fontId="45" fillId="4" borderId="0" applyNumberFormat="0" applyBorder="0" applyAlignment="0" applyProtection="0">
      <alignment vertical="center"/>
    </xf>
    <xf numFmtId="0" fontId="44" fillId="13"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4" fillId="18"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45" fillId="23" borderId="0" applyNumberFormat="0" applyBorder="0" applyAlignment="0" applyProtection="0">
      <alignment vertical="center"/>
    </xf>
    <xf numFmtId="0" fontId="41" fillId="7" borderId="0" applyNumberFormat="0" applyBorder="0" applyAlignment="0" applyProtection="0">
      <alignment vertical="center"/>
    </xf>
    <xf numFmtId="0" fontId="45" fillId="15" borderId="0" applyNumberFormat="0" applyBorder="0" applyAlignment="0" applyProtection="0">
      <alignment vertical="center"/>
    </xf>
    <xf numFmtId="0" fontId="41" fillId="7" borderId="0" applyNumberFormat="0" applyBorder="0" applyAlignment="0" applyProtection="0">
      <alignment vertical="center"/>
    </xf>
    <xf numFmtId="0" fontId="0" fillId="0" borderId="0">
      <alignment vertical="center"/>
    </xf>
    <xf numFmtId="0" fontId="44" fillId="22" borderId="0" applyNumberFormat="0" applyBorder="0" applyAlignment="0" applyProtection="0">
      <alignment vertical="center"/>
    </xf>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44" fillId="14" borderId="0" applyNumberFormat="0" applyBorder="0" applyAlignment="0" applyProtection="0">
      <alignment vertical="center"/>
    </xf>
    <xf numFmtId="0" fontId="59" fillId="21"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53" fillId="5" borderId="0" applyNumberFormat="0" applyBorder="0" applyAlignment="0" applyProtection="0"/>
    <xf numFmtId="0" fontId="42" fillId="19" borderId="0" applyNumberFormat="0" applyBorder="0" applyAlignment="0" applyProtection="0">
      <alignment vertical="center"/>
    </xf>
    <xf numFmtId="0" fontId="0" fillId="0" borderId="0"/>
    <xf numFmtId="0" fontId="44" fillId="20" borderId="0" applyNumberFormat="0" applyBorder="0" applyAlignment="0" applyProtection="0">
      <alignment vertical="center"/>
    </xf>
    <xf numFmtId="0" fontId="0" fillId="0" borderId="0"/>
    <xf numFmtId="0" fontId="45" fillId="7" borderId="0" applyNumberFormat="0" applyBorder="0" applyAlignment="0" applyProtection="0">
      <alignment vertical="center"/>
    </xf>
    <xf numFmtId="0" fontId="53" fillId="24" borderId="0" applyNumberFormat="0" applyBorder="0" applyAlignment="0" applyProtection="0"/>
    <xf numFmtId="0" fontId="50" fillId="21" borderId="0" applyNumberFormat="0" applyBorder="0" applyAlignment="0" applyProtection="0">
      <alignment vertical="center"/>
    </xf>
    <xf numFmtId="0" fontId="0" fillId="0" borderId="0">
      <alignment vertical="center"/>
    </xf>
    <xf numFmtId="0" fontId="45" fillId="7" borderId="0" applyNumberFormat="0" applyBorder="0" applyAlignment="0" applyProtection="0">
      <alignment vertical="center"/>
    </xf>
    <xf numFmtId="0" fontId="47" fillId="23" borderId="0" applyNumberFormat="0" applyBorder="0" applyAlignment="0" applyProtection="0">
      <alignment vertical="center"/>
    </xf>
    <xf numFmtId="0" fontId="45" fillId="19" borderId="0" applyNumberFormat="0" applyBorder="0" applyAlignment="0" applyProtection="0">
      <alignment vertical="center"/>
    </xf>
    <xf numFmtId="0" fontId="49" fillId="11" borderId="0" applyNumberFormat="0" applyBorder="0" applyAlignment="0" applyProtection="0"/>
    <xf numFmtId="0" fontId="60" fillId="7" borderId="0" applyNumberFormat="0" applyBorder="0" applyAlignment="0" applyProtection="0">
      <alignment vertical="center"/>
    </xf>
    <xf numFmtId="41" fontId="0" fillId="0" borderId="0" applyFont="0" applyFill="0" applyBorder="0" applyAlignment="0" applyProtection="0"/>
    <xf numFmtId="0" fontId="29" fillId="0" borderId="0" applyNumberFormat="0" applyFill="0" applyBorder="0" applyAlignment="0" applyProtection="0">
      <alignment vertical="center"/>
    </xf>
    <xf numFmtId="0" fontId="0" fillId="3" borderId="48" applyNumberFormat="0" applyFont="0" applyAlignment="0" applyProtection="0">
      <alignment vertical="center"/>
    </xf>
    <xf numFmtId="0" fontId="45" fillId="11" borderId="0" applyNumberFormat="0" applyBorder="0" applyAlignment="0" applyProtection="0">
      <alignment vertical="center"/>
    </xf>
    <xf numFmtId="0" fontId="32" fillId="0" borderId="49" applyNumberFormat="0" applyFill="0" applyAlignment="0" applyProtection="0">
      <alignment vertical="center"/>
    </xf>
    <xf numFmtId="0" fontId="47" fillId="4" borderId="0" applyNumberFormat="0" applyBorder="0" applyAlignment="0" applyProtection="0">
      <alignment vertical="center"/>
    </xf>
    <xf numFmtId="0" fontId="41" fillId="7" borderId="0" applyNumberFormat="0" applyBorder="0" applyAlignment="0" applyProtection="0">
      <alignment vertical="center"/>
    </xf>
    <xf numFmtId="0" fontId="44" fillId="10" borderId="0" applyNumberFormat="0" applyBorder="0" applyAlignment="0" applyProtection="0">
      <alignment vertical="center"/>
    </xf>
    <xf numFmtId="41" fontId="0" fillId="0" borderId="0" applyFont="0" applyFill="0" applyBorder="0" applyAlignment="0" applyProtection="0">
      <alignment vertical="center"/>
    </xf>
    <xf numFmtId="0" fontId="34" fillId="0" borderId="51" applyNumberFormat="0" applyFill="0" applyAlignment="0" applyProtection="0">
      <alignment vertical="center"/>
    </xf>
    <xf numFmtId="0" fontId="41" fillId="21" borderId="0" applyNumberFormat="0" applyBorder="0" applyAlignment="0" applyProtection="0">
      <alignment vertical="center"/>
    </xf>
    <xf numFmtId="0" fontId="0" fillId="3" borderId="48" applyNumberFormat="0" applyFont="0" applyAlignment="0" applyProtection="0">
      <alignment vertical="center"/>
    </xf>
    <xf numFmtId="0" fontId="45" fillId="12" borderId="0" applyNumberFormat="0" applyBorder="0" applyAlignment="0" applyProtection="0">
      <alignment vertical="center"/>
    </xf>
    <xf numFmtId="0" fontId="54" fillId="8" borderId="0" applyNumberFormat="0" applyBorder="0" applyAlignment="0" applyProtection="0">
      <alignment vertical="center"/>
    </xf>
    <xf numFmtId="0" fontId="53" fillId="12" borderId="0" applyNumberFormat="0" applyBorder="0" applyAlignment="0" applyProtection="0"/>
    <xf numFmtId="0" fontId="42" fillId="8" borderId="0" applyNumberFormat="0" applyBorder="0" applyAlignment="0" applyProtection="0">
      <alignment vertical="center"/>
    </xf>
    <xf numFmtId="0" fontId="61" fillId="19" borderId="0" applyNumberFormat="0" applyBorder="0" applyAlignment="0" applyProtection="0">
      <alignment vertical="center"/>
    </xf>
    <xf numFmtId="0" fontId="37" fillId="5" borderId="52" applyNumberFormat="0" applyAlignment="0" applyProtection="0">
      <alignment vertical="center"/>
    </xf>
    <xf numFmtId="0" fontId="41" fillId="7" borderId="0" applyNumberFormat="0" applyBorder="0" applyAlignment="0" applyProtection="0">
      <alignment vertical="center"/>
    </xf>
    <xf numFmtId="0" fontId="44" fillId="15" borderId="0" applyNumberFormat="0" applyBorder="0" applyAlignment="0" applyProtection="0">
      <alignment vertical="center"/>
    </xf>
    <xf numFmtId="0" fontId="51" fillId="21" borderId="0" applyNumberFormat="0" applyBorder="0" applyAlignment="0" applyProtection="0">
      <alignment vertical="center"/>
    </xf>
    <xf numFmtId="0" fontId="44" fillId="18" borderId="0" applyNumberFormat="0" applyBorder="0" applyAlignment="0" applyProtection="0">
      <alignment vertical="center"/>
    </xf>
    <xf numFmtId="0" fontId="42" fillId="8" borderId="0" applyNumberFormat="0" applyBorder="0" applyAlignment="0" applyProtection="0">
      <alignment vertical="center"/>
    </xf>
    <xf numFmtId="0" fontId="45" fillId="12" borderId="0" applyNumberFormat="0" applyBorder="0" applyAlignment="0" applyProtection="0">
      <alignment vertical="center"/>
    </xf>
    <xf numFmtId="0" fontId="44" fillId="20" borderId="0" applyNumberFormat="0" applyBorder="0" applyAlignment="0" applyProtection="0">
      <alignment vertical="center"/>
    </xf>
    <xf numFmtId="0" fontId="49" fillId="3" borderId="0" applyNumberFormat="0" applyBorder="0" applyAlignment="0" applyProtection="0"/>
    <xf numFmtId="0" fontId="42" fillId="8" borderId="0" applyNumberFormat="0" applyBorder="0" applyAlignment="0" applyProtection="0">
      <alignment vertical="center"/>
    </xf>
    <xf numFmtId="0" fontId="0" fillId="0" borderId="0"/>
    <xf numFmtId="0" fontId="35" fillId="4" borderId="52" applyNumberFormat="0" applyAlignment="0" applyProtection="0">
      <alignment vertical="center"/>
    </xf>
    <xf numFmtId="0" fontId="45" fillId="11" borderId="0" applyNumberFormat="0" applyBorder="0" applyAlignment="0" applyProtection="0">
      <alignment vertical="center"/>
    </xf>
    <xf numFmtId="0" fontId="41" fillId="7" borderId="0" applyNumberFormat="0" applyBorder="0" applyAlignment="0" applyProtection="0">
      <alignment vertical="center"/>
    </xf>
    <xf numFmtId="0" fontId="44" fillId="16" borderId="0" applyNumberFormat="0" applyBorder="0" applyAlignment="0" applyProtection="0">
      <alignment vertical="center"/>
    </xf>
    <xf numFmtId="0" fontId="45" fillId="7" borderId="0" applyNumberFormat="0" applyBorder="0" applyAlignment="0" applyProtection="0">
      <alignment vertical="center"/>
    </xf>
    <xf numFmtId="0" fontId="42" fillId="8" borderId="0" applyNumberFormat="0" applyBorder="0" applyAlignment="0" applyProtection="0">
      <alignment vertical="center"/>
    </xf>
    <xf numFmtId="0" fontId="39" fillId="0" borderId="55" applyNumberFormat="0" applyFill="0" applyAlignment="0" applyProtection="0">
      <alignment vertical="center"/>
    </xf>
    <xf numFmtId="0" fontId="0" fillId="0" borderId="0"/>
    <xf numFmtId="0" fontId="42" fillId="8" borderId="0" applyNumberFormat="0" applyBorder="0" applyAlignment="0" applyProtection="0">
      <alignment vertical="center"/>
    </xf>
    <xf numFmtId="0" fontId="0" fillId="0" borderId="0" applyFont="0" applyFill="0" applyBorder="0" applyAlignment="0" applyProtection="0"/>
    <xf numFmtId="0" fontId="42" fillId="19" borderId="0" applyNumberFormat="0" applyBorder="0" applyAlignment="0" applyProtection="0">
      <alignment vertical="center"/>
    </xf>
    <xf numFmtId="0" fontId="44" fillId="17" borderId="0" applyNumberFormat="0" applyBorder="0" applyAlignment="0" applyProtection="0">
      <alignment vertical="center"/>
    </xf>
    <xf numFmtId="0" fontId="58" fillId="8" borderId="0" applyNumberFormat="0" applyBorder="0" applyAlignment="0" applyProtection="0"/>
    <xf numFmtId="0" fontId="34" fillId="0" borderId="51" applyNumberFormat="0" applyFill="0" applyAlignment="0" applyProtection="0">
      <alignment vertical="center"/>
    </xf>
    <xf numFmtId="0" fontId="42" fillId="8" borderId="0" applyNumberFormat="0" applyBorder="0" applyAlignment="0" applyProtection="0">
      <alignment vertical="center"/>
    </xf>
    <xf numFmtId="0" fontId="49" fillId="11" borderId="0" applyNumberFormat="0" applyBorder="0" applyAlignment="0" applyProtection="0"/>
    <xf numFmtId="0" fontId="42" fillId="8" borderId="0" applyNumberFormat="0" applyBorder="0" applyAlignment="0" applyProtection="0">
      <alignment vertical="center"/>
    </xf>
    <xf numFmtId="0" fontId="50" fillId="21" borderId="0" applyNumberFormat="0" applyBorder="0" applyAlignment="0" applyProtection="0">
      <alignment vertical="center"/>
    </xf>
    <xf numFmtId="0" fontId="45" fillId="12" borderId="0" applyNumberFormat="0" applyBorder="0" applyAlignment="0" applyProtection="0">
      <alignment vertical="center"/>
    </xf>
    <xf numFmtId="0" fontId="42" fillId="8" borderId="0" applyNumberFormat="0" applyBorder="0" applyAlignment="0" applyProtection="0">
      <alignment vertical="center"/>
    </xf>
    <xf numFmtId="0" fontId="34" fillId="0" borderId="0" applyNumberFormat="0" applyFill="0" applyBorder="0" applyAlignment="0" applyProtection="0">
      <alignment vertical="center"/>
    </xf>
    <xf numFmtId="0" fontId="44" fillId="20" borderId="0" applyNumberFormat="0" applyBorder="0" applyAlignment="0" applyProtection="0">
      <alignment vertical="center"/>
    </xf>
    <xf numFmtId="0" fontId="41" fillId="7" borderId="0" applyNumberFormat="0" applyBorder="0" applyAlignment="0" applyProtection="0">
      <alignment vertical="center"/>
    </xf>
    <xf numFmtId="0" fontId="49" fillId="4" borderId="0" applyNumberFormat="0" applyBorder="0" applyAlignment="0" applyProtection="0"/>
    <xf numFmtId="0" fontId="43" fillId="9" borderId="0" applyNumberFormat="0" applyBorder="0" applyAlignment="0" applyProtection="0">
      <alignment vertical="center"/>
    </xf>
    <xf numFmtId="0" fontId="42" fillId="8" borderId="0" applyNumberFormat="0" applyBorder="0" applyAlignment="0" applyProtection="0">
      <alignment vertical="center"/>
    </xf>
    <xf numFmtId="0" fontId="51" fillId="21" borderId="0" applyNumberFormat="0" applyBorder="0" applyAlignment="0" applyProtection="0">
      <alignment vertical="center"/>
    </xf>
    <xf numFmtId="0" fontId="31" fillId="0" borderId="0" applyNumberFormat="0" applyFill="0" applyBorder="0" applyAlignment="0" applyProtection="0">
      <alignment vertical="center"/>
    </xf>
    <xf numFmtId="0" fontId="44" fillId="15" borderId="0" applyNumberFormat="0" applyBorder="0" applyAlignment="0" applyProtection="0">
      <alignment vertical="center"/>
    </xf>
    <xf numFmtId="0" fontId="42" fillId="8" borderId="0" applyNumberFormat="0" applyBorder="0" applyAlignment="0" applyProtection="0">
      <alignment vertical="center"/>
    </xf>
    <xf numFmtId="0" fontId="30" fillId="0" borderId="0" applyNumberFormat="0" applyFill="0" applyBorder="0" applyAlignment="0" applyProtection="0">
      <alignment vertical="center"/>
    </xf>
    <xf numFmtId="0" fontId="45" fillId="19" borderId="0" applyNumberFormat="0" applyBorder="0" applyAlignment="0" applyProtection="0">
      <alignment vertical="center"/>
    </xf>
    <xf numFmtId="0" fontId="41" fillId="7" borderId="0" applyNumberFormat="0" applyBorder="0" applyAlignment="0" applyProtection="0">
      <alignment vertical="center"/>
    </xf>
    <xf numFmtId="0" fontId="49" fillId="3" borderId="0" applyNumberFormat="0" applyBorder="0" applyAlignment="0" applyProtection="0"/>
    <xf numFmtId="0" fontId="44" fillId="15"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0" fillId="3" borderId="48" applyNumberFormat="0" applyFont="0" applyAlignment="0" applyProtection="0">
      <alignment vertical="center"/>
    </xf>
    <xf numFmtId="0" fontId="0" fillId="0" borderId="0"/>
    <xf numFmtId="0" fontId="44" fillId="18" borderId="0" applyNumberFormat="0" applyBorder="0" applyAlignment="0" applyProtection="0">
      <alignment vertical="center"/>
    </xf>
    <xf numFmtId="0" fontId="50" fillId="21" borderId="0" applyNumberFormat="0" applyBorder="0" applyAlignment="0" applyProtection="0">
      <alignment vertical="center"/>
    </xf>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44" fillId="15" borderId="0" applyNumberFormat="0" applyBorder="0" applyAlignment="0" applyProtection="0">
      <alignment vertical="center"/>
    </xf>
    <xf numFmtId="0" fontId="42" fillId="8" borderId="0" applyNumberFormat="0" applyBorder="0" applyAlignment="0" applyProtection="0">
      <alignment vertical="center"/>
    </xf>
    <xf numFmtId="0" fontId="29" fillId="0" borderId="0" applyNumberFormat="0" applyFill="0" applyBorder="0" applyAlignment="0" applyProtection="0">
      <alignment vertical="center"/>
    </xf>
    <xf numFmtId="0" fontId="54" fillId="8" borderId="0" applyNumberFormat="0" applyBorder="0" applyAlignment="0" applyProtection="0">
      <alignment vertical="center"/>
    </xf>
    <xf numFmtId="0" fontId="34" fillId="0" borderId="51" applyNumberFormat="0" applyFill="0" applyAlignment="0" applyProtection="0">
      <alignment vertical="center"/>
    </xf>
    <xf numFmtId="0" fontId="44" fillId="18" borderId="0" applyNumberFormat="0" applyBorder="0" applyAlignment="0" applyProtection="0">
      <alignment vertical="center"/>
    </xf>
    <xf numFmtId="181" fontId="62" fillId="26" borderId="0"/>
    <xf numFmtId="0" fontId="42" fillId="8" borderId="0" applyNumberFormat="0" applyBorder="0" applyAlignment="0" applyProtection="0">
      <alignment vertical="center"/>
    </xf>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43" fillId="9" borderId="0" applyNumberFormat="0" applyBorder="0" applyAlignment="0" applyProtection="0">
      <alignment vertical="center"/>
    </xf>
    <xf numFmtId="0" fontId="41" fillId="7" borderId="0" applyNumberFormat="0" applyBorder="0" applyAlignment="0" applyProtection="0">
      <alignment vertical="center"/>
    </xf>
    <xf numFmtId="0" fontId="35" fillId="4" borderId="52" applyNumberFormat="0" applyAlignment="0" applyProtection="0">
      <alignment vertical="center"/>
    </xf>
    <xf numFmtId="0" fontId="45" fillId="15"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50" fillId="7" borderId="0" applyNumberFormat="0" applyBorder="0" applyAlignment="0" applyProtection="0"/>
    <xf numFmtId="0" fontId="44" fillId="22" borderId="0" applyNumberFormat="0" applyBorder="0" applyAlignment="0" applyProtection="0">
      <alignment vertical="center"/>
    </xf>
    <xf numFmtId="0" fontId="31" fillId="0" borderId="0" applyNumberFormat="0" applyFill="0" applyBorder="0" applyAlignment="0" applyProtection="0">
      <alignment vertical="center"/>
    </xf>
    <xf numFmtId="0" fontId="54" fillId="19" borderId="0" applyNumberFormat="0" applyBorder="0" applyAlignment="0" applyProtection="0">
      <alignment vertical="center"/>
    </xf>
    <xf numFmtId="0" fontId="41" fillId="21" borderId="0" applyNumberFormat="0" applyBorder="0" applyAlignment="0" applyProtection="0">
      <alignment vertical="center"/>
    </xf>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45" fillId="4" borderId="0" applyNumberFormat="0" applyBorder="0" applyAlignment="0" applyProtection="0">
      <alignment vertical="center"/>
    </xf>
    <xf numFmtId="0" fontId="41" fillId="7" borderId="0" applyNumberFormat="0" applyBorder="0" applyAlignment="0" applyProtection="0">
      <alignment vertical="center"/>
    </xf>
    <xf numFmtId="0" fontId="44" fillId="20" borderId="0" applyNumberFormat="0" applyBorder="0" applyAlignment="0" applyProtection="0">
      <alignment vertical="center"/>
    </xf>
    <xf numFmtId="0" fontId="42" fillId="8" borderId="0" applyNumberFormat="0" applyBorder="0" applyAlignment="0" applyProtection="0">
      <alignment vertical="center"/>
    </xf>
    <xf numFmtId="0" fontId="45" fillId="17" borderId="0" applyNumberFormat="0" applyBorder="0" applyAlignment="0" applyProtection="0">
      <alignment vertical="center"/>
    </xf>
    <xf numFmtId="0" fontId="41" fillId="7" borderId="0" applyNumberFormat="0" applyBorder="0" applyAlignment="0" applyProtection="0">
      <alignment vertical="center"/>
    </xf>
    <xf numFmtId="0" fontId="45" fillId="11" borderId="0" applyNumberFormat="0" applyBorder="0" applyAlignment="0" applyProtection="0">
      <alignment vertical="center"/>
    </xf>
    <xf numFmtId="0" fontId="53" fillId="25" borderId="0" applyNumberFormat="0" applyBorder="0" applyAlignment="0" applyProtection="0"/>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5" fillId="4" borderId="0" applyNumberFormat="0" applyBorder="0" applyAlignment="0" applyProtection="0">
      <alignment vertical="center"/>
    </xf>
    <xf numFmtId="0" fontId="45" fillId="12" borderId="0" applyNumberFormat="0" applyBorder="0" applyAlignment="0" applyProtection="0">
      <alignment vertical="center"/>
    </xf>
    <xf numFmtId="0" fontId="0" fillId="0" borderId="0"/>
    <xf numFmtId="0" fontId="45" fillId="12" borderId="0" applyNumberFormat="0" applyBorder="0" applyAlignment="0" applyProtection="0">
      <alignment vertical="center"/>
    </xf>
    <xf numFmtId="0" fontId="45" fillId="11" borderId="0" applyNumberFormat="0" applyBorder="0" applyAlignment="0" applyProtection="0">
      <alignment vertical="center"/>
    </xf>
    <xf numFmtId="0" fontId="41" fillId="7" borderId="0" applyNumberFormat="0" applyBorder="0" applyAlignment="0" applyProtection="0">
      <alignment vertical="center"/>
    </xf>
    <xf numFmtId="37" fontId="63" fillId="0" borderId="0"/>
    <xf numFmtId="182" fontId="2" fillId="0" borderId="0"/>
    <xf numFmtId="0" fontId="44" fillId="24" borderId="0" applyNumberFormat="0" applyBorder="0" applyAlignment="0" applyProtection="0">
      <alignment vertical="center"/>
    </xf>
    <xf numFmtId="0" fontId="0" fillId="0" borderId="0"/>
    <xf numFmtId="0" fontId="0" fillId="0" borderId="0"/>
    <xf numFmtId="0" fontId="50" fillId="21" borderId="0" applyNumberFormat="0" applyBorder="0" applyAlignment="0" applyProtection="0">
      <alignment vertical="center"/>
    </xf>
    <xf numFmtId="0" fontId="45" fillId="7" borderId="0" applyNumberFormat="0" applyBorder="0" applyAlignment="0" applyProtection="0">
      <alignment vertical="center"/>
    </xf>
    <xf numFmtId="0" fontId="42" fillId="8" borderId="0" applyNumberFormat="0" applyBorder="0" applyAlignment="0" applyProtection="0">
      <alignment vertical="center"/>
    </xf>
    <xf numFmtId="0" fontId="45" fillId="19" borderId="0" applyNumberFormat="0" applyBorder="0" applyAlignment="0" applyProtection="0">
      <alignment vertical="center"/>
    </xf>
    <xf numFmtId="0" fontId="42" fillId="8" borderId="0" applyNumberFormat="0" applyBorder="0" applyAlignment="0" applyProtection="0">
      <alignment vertical="center"/>
    </xf>
    <xf numFmtId="0" fontId="45" fillId="11" borderId="0" applyNumberFormat="0" applyBorder="0" applyAlignment="0" applyProtection="0">
      <alignment vertical="center"/>
    </xf>
    <xf numFmtId="0" fontId="35" fillId="4" borderId="52" applyNumberFormat="0" applyAlignment="0" applyProtection="0">
      <alignment vertical="center"/>
    </xf>
    <xf numFmtId="0" fontId="36" fillId="5" borderId="53" applyNumberFormat="0" applyAlignment="0" applyProtection="0">
      <alignment vertical="center"/>
    </xf>
    <xf numFmtId="0" fontId="41" fillId="7" borderId="0" applyNumberFormat="0" applyBorder="0" applyAlignment="0" applyProtection="0">
      <alignment vertical="center"/>
    </xf>
    <xf numFmtId="0" fontId="45" fillId="7" borderId="0" applyNumberFormat="0" applyBorder="0" applyAlignment="0" applyProtection="0">
      <alignment vertical="center"/>
    </xf>
    <xf numFmtId="0" fontId="42" fillId="8" borderId="0" applyNumberFormat="0" applyBorder="0" applyAlignment="0" applyProtection="0">
      <alignment vertical="center"/>
    </xf>
    <xf numFmtId="0" fontId="34" fillId="0" borderId="51"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62" fillId="0" borderId="0"/>
    <xf numFmtId="0" fontId="41" fillId="21" borderId="0" applyNumberFormat="0" applyBorder="0" applyAlignment="0" applyProtection="0">
      <alignment vertical="center"/>
    </xf>
    <xf numFmtId="0" fontId="0" fillId="3" borderId="48" applyNumberFormat="0" applyFont="0" applyAlignment="0" applyProtection="0">
      <alignment vertical="center"/>
    </xf>
    <xf numFmtId="0" fontId="44" fillId="15" borderId="0" applyNumberFormat="0" applyBorder="0" applyAlignment="0" applyProtection="0">
      <alignment vertical="center"/>
    </xf>
    <xf numFmtId="0" fontId="45" fillId="12" borderId="0" applyNumberFormat="0" applyBorder="0" applyAlignment="0" applyProtection="0">
      <alignment vertical="center"/>
    </xf>
    <xf numFmtId="0" fontId="53" fillId="4" borderId="0" applyNumberFormat="0" applyBorder="0" applyAlignment="0" applyProtection="0"/>
    <xf numFmtId="0" fontId="37" fillId="5" borderId="52" applyNumberFormat="0" applyAlignment="0" applyProtection="0">
      <alignment vertical="center"/>
    </xf>
    <xf numFmtId="1" fontId="18" fillId="0" borderId="15">
      <alignment vertical="center"/>
      <protection locked="0"/>
    </xf>
    <xf numFmtId="0" fontId="53" fillId="12" borderId="0" applyNumberFormat="0" applyBorder="0" applyAlignment="0" applyProtection="0"/>
    <xf numFmtId="0" fontId="45" fillId="11" borderId="0" applyNumberFormat="0" applyBorder="0" applyAlignment="0" applyProtection="0">
      <alignment vertical="center"/>
    </xf>
    <xf numFmtId="0" fontId="64" fillId="4" borderId="52" applyNumberFormat="0" applyAlignment="0" applyProtection="0">
      <alignment vertical="center"/>
    </xf>
    <xf numFmtId="0" fontId="0" fillId="3" borderId="48" applyNumberFormat="0" applyFont="0" applyAlignment="0" applyProtection="0">
      <alignment vertical="center"/>
    </xf>
    <xf numFmtId="0" fontId="41" fillId="21" borderId="0" applyNumberFormat="0" applyBorder="0" applyAlignment="0" applyProtection="0">
      <alignment vertical="center"/>
    </xf>
    <xf numFmtId="0" fontId="49" fillId="11" borderId="0" applyNumberFormat="0" applyBorder="0" applyAlignment="0" applyProtection="0"/>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45" fillId="15" borderId="0" applyNumberFormat="0" applyBorder="0" applyAlignment="0" applyProtection="0">
      <alignment vertical="center"/>
    </xf>
    <xf numFmtId="0" fontId="50" fillId="7" borderId="0" applyNumberFormat="0" applyBorder="0" applyAlignment="0" applyProtection="0">
      <alignment vertical="center"/>
    </xf>
    <xf numFmtId="0" fontId="42" fillId="8" borderId="0" applyNumberFormat="0" applyBorder="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42" fillId="8" borderId="0" applyNumberFormat="0" applyBorder="0" applyAlignment="0" applyProtection="0">
      <alignment vertical="center"/>
    </xf>
    <xf numFmtId="0" fontId="61" fillId="19" borderId="0" applyNumberFormat="0" applyBorder="0" applyAlignment="0" applyProtection="0">
      <alignment vertical="center"/>
    </xf>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44" fillId="24" borderId="0" applyNumberFormat="0" applyBorder="0" applyAlignment="0" applyProtection="0">
      <alignment vertical="center"/>
    </xf>
    <xf numFmtId="0" fontId="0" fillId="0" borderId="0"/>
    <xf numFmtId="0" fontId="0" fillId="0" borderId="0"/>
    <xf numFmtId="0" fontId="42" fillId="8" borderId="0" applyNumberFormat="0" applyBorder="0" applyAlignment="0" applyProtection="0">
      <alignment vertical="center"/>
    </xf>
    <xf numFmtId="0" fontId="53" fillId="6" borderId="0" applyNumberFormat="0" applyBorder="0" applyAlignment="0" applyProtection="0"/>
    <xf numFmtId="0" fontId="41" fillId="7" borderId="0" applyNumberFormat="0" applyBorder="0" applyAlignment="0" applyProtection="0">
      <alignment vertical="center"/>
    </xf>
    <xf numFmtId="0" fontId="30" fillId="0" borderId="0" applyNumberFormat="0" applyFill="0" applyBorder="0" applyAlignment="0" applyProtection="0">
      <alignment vertical="center"/>
    </xf>
    <xf numFmtId="0" fontId="42" fillId="8" borderId="0" applyNumberFormat="0" applyBorder="0" applyAlignment="0" applyProtection="0">
      <alignment vertical="center"/>
    </xf>
    <xf numFmtId="0" fontId="50" fillId="7" borderId="0" applyNumberFormat="0" applyBorder="0" applyAlignment="0" applyProtection="0"/>
    <xf numFmtId="0" fontId="45" fillId="23" borderId="0" applyNumberFormat="0" applyBorder="0" applyAlignment="0" applyProtection="0">
      <alignment vertical="center"/>
    </xf>
    <xf numFmtId="0" fontId="45" fillId="23" borderId="0" applyNumberFormat="0" applyBorder="0" applyAlignment="0" applyProtection="0">
      <alignment vertical="center"/>
    </xf>
    <xf numFmtId="0" fontId="52" fillId="19" borderId="0" applyNumberFormat="0" applyBorder="0" applyAlignment="0" applyProtection="0">
      <alignment vertical="center"/>
    </xf>
    <xf numFmtId="0" fontId="54" fillId="19" borderId="0" applyNumberFormat="0" applyBorder="0" applyAlignment="0" applyProtection="0">
      <alignment vertical="center"/>
    </xf>
    <xf numFmtId="0" fontId="43" fillId="9" borderId="0" applyNumberFormat="0" applyBorder="0" applyAlignment="0" applyProtection="0">
      <alignment vertical="center"/>
    </xf>
    <xf numFmtId="0" fontId="45" fillId="7" borderId="0" applyNumberFormat="0" applyBorder="0" applyAlignment="0" applyProtection="0">
      <alignment vertical="center"/>
    </xf>
    <xf numFmtId="0" fontId="41" fillId="7" borderId="0" applyNumberFormat="0" applyBorder="0" applyAlignment="0" applyProtection="0">
      <alignment vertical="center"/>
    </xf>
    <xf numFmtId="0" fontId="45" fillId="7" borderId="0" applyNumberFormat="0" applyBorder="0" applyAlignment="0" applyProtection="0">
      <alignment vertical="center"/>
    </xf>
    <xf numFmtId="0" fontId="53" fillId="24" borderId="0" applyNumberFormat="0" applyBorder="0" applyAlignment="0" applyProtection="0"/>
    <xf numFmtId="0" fontId="50" fillId="21" borderId="0" applyNumberFormat="0" applyBorder="0" applyAlignment="0" applyProtection="0">
      <alignment vertical="center"/>
    </xf>
    <xf numFmtId="0" fontId="0" fillId="0" borderId="0"/>
    <xf numFmtId="0" fontId="44" fillId="17" borderId="0" applyNumberFormat="0" applyBorder="0" applyAlignment="0" applyProtection="0">
      <alignment vertical="center"/>
    </xf>
    <xf numFmtId="0" fontId="34" fillId="0" borderId="0" applyNumberFormat="0" applyFill="0" applyBorder="0" applyAlignment="0" applyProtection="0">
      <alignment vertical="center"/>
    </xf>
    <xf numFmtId="0" fontId="42" fillId="19" borderId="0" applyNumberFormat="0" applyBorder="0" applyAlignment="0" applyProtection="0">
      <alignment vertical="center"/>
    </xf>
    <xf numFmtId="0" fontId="42" fillId="8" borderId="0" applyNumberFormat="0" applyBorder="0" applyAlignment="0" applyProtection="0">
      <alignment vertical="center"/>
    </xf>
    <xf numFmtId="0" fontId="32" fillId="0" borderId="49" applyNumberFormat="0" applyFill="0" applyAlignment="0" applyProtection="0">
      <alignment vertical="center"/>
    </xf>
    <xf numFmtId="0" fontId="41" fillId="21" borderId="0" applyNumberFormat="0" applyBorder="0" applyAlignment="0" applyProtection="0">
      <alignment vertical="center"/>
    </xf>
    <xf numFmtId="0" fontId="53" fillId="5" borderId="0" applyNumberFormat="0" applyBorder="0" applyAlignment="0" applyProtection="0"/>
    <xf numFmtId="0" fontId="42" fillId="19" borderId="0" applyNumberFormat="0" applyBorder="0" applyAlignment="0" applyProtection="0">
      <alignment vertical="center"/>
    </xf>
    <xf numFmtId="0" fontId="41" fillId="7" borderId="0" applyNumberFormat="0" applyBorder="0" applyAlignment="0" applyProtection="0">
      <alignment vertical="center"/>
    </xf>
    <xf numFmtId="0" fontId="45" fillId="17"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0" fillId="0" borderId="0">
      <alignment vertical="center"/>
    </xf>
    <xf numFmtId="0" fontId="34" fillId="0" borderId="51" applyNumberFormat="0" applyFill="0" applyAlignment="0" applyProtection="0">
      <alignment vertical="center"/>
    </xf>
    <xf numFmtId="0" fontId="41" fillId="7" borderId="0" applyNumberFormat="0" applyBorder="0" applyAlignment="0" applyProtection="0">
      <alignment vertical="center"/>
    </xf>
    <xf numFmtId="0" fontId="45" fillId="15" borderId="0" applyNumberFormat="0" applyBorder="0" applyAlignment="0" applyProtection="0">
      <alignment vertical="center"/>
    </xf>
    <xf numFmtId="9" fontId="0" fillId="0" borderId="0" applyFont="0" applyFill="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0" fillId="0" borderId="0"/>
    <xf numFmtId="0" fontId="42" fillId="19" borderId="0" applyNumberFormat="0" applyBorder="0" applyAlignment="0" applyProtection="0">
      <alignment vertical="center"/>
    </xf>
    <xf numFmtId="183" fontId="65" fillId="0" borderId="0" applyFill="0" applyBorder="0" applyAlignment="0"/>
    <xf numFmtId="0" fontId="44" fillId="20" borderId="0" applyNumberFormat="0" applyBorder="0" applyAlignment="0" applyProtection="0">
      <alignment vertical="center"/>
    </xf>
    <xf numFmtId="0" fontId="0" fillId="0" borderId="0"/>
    <xf numFmtId="0" fontId="44" fillId="18" borderId="0" applyNumberFormat="0" applyBorder="0" applyAlignment="0" applyProtection="0">
      <alignment vertical="center"/>
    </xf>
    <xf numFmtId="0" fontId="54" fillId="19" borderId="0" applyNumberFormat="0" applyBorder="0" applyAlignment="0" applyProtection="0">
      <alignment vertical="center"/>
    </xf>
    <xf numFmtId="0" fontId="42" fillId="8" borderId="0" applyNumberFormat="0" applyBorder="0" applyAlignment="0" applyProtection="0">
      <alignment vertical="center"/>
    </xf>
    <xf numFmtId="0" fontId="41" fillId="21" borderId="0" applyNumberFormat="0" applyBorder="0" applyAlignment="0" applyProtection="0">
      <alignment vertical="center"/>
    </xf>
    <xf numFmtId="0" fontId="46" fillId="20" borderId="0" applyNumberFormat="0" applyBorder="0" applyAlignment="0" applyProtection="0">
      <alignment vertical="center"/>
    </xf>
    <xf numFmtId="0" fontId="42" fillId="8" borderId="0" applyNumberFormat="0" applyBorder="0" applyAlignment="0" applyProtection="0">
      <alignment vertical="center"/>
    </xf>
    <xf numFmtId="0" fontId="58" fillId="8" borderId="0" applyNumberFormat="0" applyBorder="0" applyAlignment="0" applyProtection="0"/>
    <xf numFmtId="0" fontId="45" fillId="4" borderId="0" applyNumberFormat="0" applyBorder="0" applyAlignment="0" applyProtection="0">
      <alignment vertical="center"/>
    </xf>
    <xf numFmtId="0" fontId="44" fillId="13" borderId="0" applyNumberFormat="0" applyBorder="0" applyAlignment="0" applyProtection="0">
      <alignment vertical="center"/>
    </xf>
    <xf numFmtId="0" fontId="44" fillId="13" borderId="0" applyNumberFormat="0" applyBorder="0" applyAlignment="0" applyProtection="0">
      <alignment vertical="center"/>
    </xf>
    <xf numFmtId="0" fontId="56" fillId="0" borderId="0"/>
    <xf numFmtId="0" fontId="58" fillId="8" borderId="0" applyNumberFormat="0" applyBorder="0" applyAlignment="0" applyProtection="0"/>
    <xf numFmtId="184" fontId="0" fillId="0" borderId="0" applyFont="0" applyFill="0" applyBorder="0" applyAlignment="0" applyProtection="0"/>
    <xf numFmtId="0" fontId="45" fillId="23"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43" fontId="0" fillId="0" borderId="0" applyFont="0" applyFill="0" applyBorder="0" applyAlignment="0" applyProtection="0"/>
    <xf numFmtId="0" fontId="45" fillId="15" borderId="0" applyNumberFormat="0" applyBorder="0" applyAlignment="0" applyProtection="0">
      <alignment vertical="center"/>
    </xf>
    <xf numFmtId="0" fontId="44" fillId="13" borderId="0" applyNumberFormat="0" applyBorder="0" applyAlignment="0" applyProtection="0">
      <alignment vertical="center"/>
    </xf>
    <xf numFmtId="0" fontId="44" fillId="16" borderId="0" applyNumberFormat="0" applyBorder="0" applyAlignment="0" applyProtection="0">
      <alignment vertical="center"/>
    </xf>
    <xf numFmtId="0" fontId="42" fillId="8" borderId="0" applyNumberFormat="0" applyBorder="0" applyAlignment="0" applyProtection="0">
      <alignment vertical="center"/>
    </xf>
    <xf numFmtId="0" fontId="47" fillId="12" borderId="0" applyNumberFormat="0" applyBorder="0" applyAlignment="0" applyProtection="0">
      <alignment vertical="center"/>
    </xf>
    <xf numFmtId="0" fontId="53" fillId="4" borderId="0" applyNumberFormat="0" applyBorder="0" applyAlignment="0" applyProtection="0"/>
    <xf numFmtId="0" fontId="42" fillId="8" borderId="0" applyNumberFormat="0" applyBorder="0" applyAlignment="0" applyProtection="0">
      <alignment vertical="center"/>
    </xf>
    <xf numFmtId="0" fontId="60" fillId="7" borderId="0" applyNumberFormat="0" applyBorder="0" applyAlignment="0" applyProtection="0">
      <alignment vertical="center"/>
    </xf>
    <xf numFmtId="0" fontId="44" fillId="24" borderId="0" applyNumberFormat="0" applyBorder="0" applyAlignment="0" applyProtection="0">
      <alignment vertical="center"/>
    </xf>
    <xf numFmtId="0" fontId="28" fillId="0" borderId="0" applyNumberFormat="0" applyFill="0" applyBorder="0" applyAlignment="0" applyProtection="0">
      <alignment vertical="top"/>
      <protection locked="0"/>
    </xf>
    <xf numFmtId="0" fontId="61" fillId="19" borderId="0" applyNumberFormat="0" applyBorder="0" applyAlignment="0" applyProtection="0">
      <alignment vertical="center"/>
    </xf>
    <xf numFmtId="0" fontId="44" fillId="22" borderId="0" applyNumberFormat="0" applyBorder="0" applyAlignment="0" applyProtection="0">
      <alignment vertical="center"/>
    </xf>
    <xf numFmtId="0" fontId="41" fillId="7" borderId="0" applyNumberFormat="0" applyBorder="0" applyAlignment="0" applyProtection="0">
      <alignment vertical="center"/>
    </xf>
    <xf numFmtId="0" fontId="0" fillId="0" borderId="0">
      <alignment vertical="center"/>
    </xf>
    <xf numFmtId="0" fontId="41" fillId="7" borderId="0" applyNumberFormat="0" applyBorder="0" applyAlignment="0" applyProtection="0">
      <alignment vertical="center"/>
    </xf>
    <xf numFmtId="0" fontId="54" fillId="19" borderId="0" applyNumberFormat="0" applyBorder="0" applyAlignment="0" applyProtection="0">
      <alignment vertical="center"/>
    </xf>
    <xf numFmtId="0" fontId="42" fillId="19" borderId="0" applyNumberFormat="0" applyBorder="0" applyAlignment="0" applyProtection="0">
      <alignment vertical="center"/>
    </xf>
    <xf numFmtId="0" fontId="53" fillId="5" borderId="0" applyNumberFormat="0" applyBorder="0" applyAlignment="0" applyProtection="0"/>
    <xf numFmtId="0" fontId="29" fillId="0" borderId="0" applyNumberFormat="0" applyFill="0" applyBorder="0" applyAlignment="0" applyProtection="0">
      <alignment vertical="center"/>
    </xf>
    <xf numFmtId="0" fontId="41" fillId="7" borderId="0" applyNumberFormat="0" applyBorder="0" applyAlignment="0" applyProtection="0">
      <alignment vertical="center"/>
    </xf>
    <xf numFmtId="0" fontId="39" fillId="0" borderId="55" applyNumberFormat="0" applyFill="0" applyAlignment="0" applyProtection="0">
      <alignment vertical="center"/>
    </xf>
    <xf numFmtId="0" fontId="42" fillId="8" borderId="0" applyNumberFormat="0" applyBorder="0" applyAlignment="0" applyProtection="0">
      <alignment vertical="center"/>
    </xf>
    <xf numFmtId="0" fontId="32" fillId="0" borderId="49" applyNumberFormat="0" applyFill="0" applyAlignment="0" applyProtection="0">
      <alignment vertical="center"/>
    </xf>
    <xf numFmtId="0" fontId="53" fillId="12" borderId="0" applyNumberFormat="0" applyBorder="0" applyAlignment="0" applyProtection="0"/>
    <xf numFmtId="0" fontId="37" fillId="5" borderId="52" applyNumberFormat="0" applyAlignment="0" applyProtection="0">
      <alignment vertical="center"/>
    </xf>
    <xf numFmtId="1" fontId="18" fillId="0" borderId="15">
      <alignment vertical="center"/>
      <protection locked="0"/>
    </xf>
    <xf numFmtId="0" fontId="42" fillId="8" borderId="0" applyNumberFormat="0" applyBorder="0" applyAlignment="0" applyProtection="0">
      <alignment vertical="center"/>
    </xf>
    <xf numFmtId="9" fontId="0" fillId="0" borderId="0" applyFont="0" applyFill="0" applyBorder="0" applyAlignment="0" applyProtection="0"/>
    <xf numFmtId="0" fontId="45" fillId="15" borderId="0" applyNumberFormat="0" applyBorder="0" applyAlignment="0" applyProtection="0">
      <alignment vertical="center"/>
    </xf>
    <xf numFmtId="0" fontId="42" fillId="8" borderId="0" applyNumberFormat="0" applyBorder="0" applyAlignment="0" applyProtection="0">
      <alignment vertical="center"/>
    </xf>
    <xf numFmtId="0" fontId="45" fillId="15" borderId="0" applyNumberFormat="0" applyBorder="0" applyAlignment="0" applyProtection="0">
      <alignment vertical="center"/>
    </xf>
    <xf numFmtId="0" fontId="44" fillId="17" borderId="0" applyNumberFormat="0" applyBorder="0" applyAlignment="0" applyProtection="0">
      <alignment vertical="center"/>
    </xf>
    <xf numFmtId="0" fontId="35" fillId="4" borderId="52" applyNumberFormat="0" applyAlignment="0" applyProtection="0">
      <alignment vertical="center"/>
    </xf>
    <xf numFmtId="0" fontId="45" fillId="11"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9" fillId="11" borderId="0" applyNumberFormat="0" applyBorder="0" applyAlignment="0" applyProtection="0"/>
    <xf numFmtId="0" fontId="32" fillId="0" borderId="49" applyNumberFormat="0" applyFill="0" applyAlignment="0" applyProtection="0">
      <alignment vertical="center"/>
    </xf>
    <xf numFmtId="0" fontId="42" fillId="8" borderId="0" applyNumberFormat="0" applyBorder="0" applyAlignment="0" applyProtection="0">
      <alignment vertical="center"/>
    </xf>
    <xf numFmtId="0" fontId="50" fillId="7" borderId="0" applyNumberFormat="0" applyBorder="0" applyAlignment="0" applyProtection="0"/>
    <xf numFmtId="0" fontId="45" fillId="21"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4" fillId="17" borderId="0" applyNumberFormat="0" applyBorder="0" applyAlignment="0" applyProtection="0">
      <alignment vertical="center"/>
    </xf>
    <xf numFmtId="0" fontId="56" fillId="0" borderId="0"/>
    <xf numFmtId="0" fontId="54" fillId="19" borderId="0" applyNumberFormat="0" applyBorder="0" applyAlignment="0" applyProtection="0">
      <alignment vertical="center"/>
    </xf>
    <xf numFmtId="0" fontId="45" fillId="21" borderId="0" applyNumberFormat="0" applyBorder="0" applyAlignment="0" applyProtection="0">
      <alignment vertical="center"/>
    </xf>
    <xf numFmtId="9" fontId="0" fillId="0" borderId="0" applyFont="0" applyFill="0" applyBorder="0" applyAlignment="0" applyProtection="0">
      <alignment vertical="center"/>
    </xf>
    <xf numFmtId="0" fontId="45" fillId="17" borderId="0" applyNumberFormat="0" applyBorder="0" applyAlignment="0" applyProtection="0">
      <alignment vertical="center"/>
    </xf>
    <xf numFmtId="0" fontId="56" fillId="0" borderId="0"/>
    <xf numFmtId="0" fontId="54" fillId="19"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0" fillId="3" borderId="48" applyNumberFormat="0" applyFont="0" applyAlignment="0" applyProtection="0">
      <alignment vertical="center"/>
    </xf>
    <xf numFmtId="0" fontId="41" fillId="21" borderId="0" applyNumberFormat="0" applyBorder="0" applyAlignment="0" applyProtection="0">
      <alignment vertical="center"/>
    </xf>
    <xf numFmtId="0" fontId="42" fillId="8" borderId="0" applyNumberFormat="0" applyBorder="0" applyAlignment="0" applyProtection="0">
      <alignment vertical="center"/>
    </xf>
    <xf numFmtId="0" fontId="44" fillId="15" borderId="0" applyNumberFormat="0" applyBorder="0" applyAlignment="0" applyProtection="0">
      <alignment vertical="center"/>
    </xf>
    <xf numFmtId="0" fontId="53" fillId="5" borderId="0" applyNumberFormat="0" applyBorder="0" applyAlignment="0" applyProtection="0"/>
    <xf numFmtId="0" fontId="45" fillId="11" borderId="0" applyNumberFormat="0" applyBorder="0" applyAlignment="0" applyProtection="0">
      <alignment vertical="center"/>
    </xf>
    <xf numFmtId="0" fontId="35" fillId="4" borderId="52" applyNumberFormat="0" applyAlignment="0" applyProtection="0">
      <alignment vertical="center"/>
    </xf>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44" fillId="18" borderId="0" applyNumberFormat="0" applyBorder="0" applyAlignment="0" applyProtection="0">
      <alignment vertical="center"/>
    </xf>
    <xf numFmtId="0" fontId="53" fillId="4" borderId="0" applyNumberFormat="0" applyBorder="0" applyAlignment="0" applyProtection="0"/>
    <xf numFmtId="0" fontId="66" fillId="0" borderId="0" applyNumberFormat="0" applyFill="0" applyBorder="0" applyAlignment="0" applyProtection="0">
      <alignment vertical="center"/>
    </xf>
    <xf numFmtId="0" fontId="44" fillId="22" borderId="0" applyNumberFormat="0" applyBorder="0" applyAlignment="0" applyProtection="0">
      <alignment vertical="center"/>
    </xf>
    <xf numFmtId="0" fontId="45" fillId="4" borderId="0" applyNumberFormat="0" applyBorder="0" applyAlignment="0" applyProtection="0">
      <alignment vertical="center"/>
    </xf>
    <xf numFmtId="0" fontId="45" fillId="21" borderId="0" applyNumberFormat="0" applyBorder="0" applyAlignment="0" applyProtection="0">
      <alignment vertical="center"/>
    </xf>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42" fillId="8" borderId="0" applyNumberFormat="0" applyBorder="0" applyAlignment="0" applyProtection="0">
      <alignment vertical="center"/>
    </xf>
    <xf numFmtId="0" fontId="58" fillId="8" borderId="0" applyNumberFormat="0" applyBorder="0" applyAlignment="0" applyProtection="0"/>
    <xf numFmtId="0" fontId="35" fillId="4" borderId="52" applyNumberFormat="0" applyAlignment="0" applyProtection="0">
      <alignment vertical="center"/>
    </xf>
    <xf numFmtId="185" fontId="0" fillId="0" borderId="0" applyFont="0" applyFill="0" applyBorder="0" applyAlignment="0" applyProtection="0"/>
    <xf numFmtId="0" fontId="44" fillId="24" borderId="0" applyNumberFormat="0" applyBorder="0" applyAlignment="0" applyProtection="0">
      <alignment vertical="center"/>
    </xf>
    <xf numFmtId="0" fontId="40" fillId="0" borderId="56" applyNumberFormat="0" applyFill="0" applyAlignment="0" applyProtection="0">
      <alignment vertical="center"/>
    </xf>
    <xf numFmtId="0" fontId="44" fillId="24" borderId="0" applyNumberFormat="0" applyBorder="0" applyAlignment="0" applyProtection="0">
      <alignment vertical="center"/>
    </xf>
    <xf numFmtId="43" fontId="0" fillId="0" borderId="0" applyFont="0" applyFill="0" applyBorder="0" applyAlignment="0" applyProtection="0"/>
    <xf numFmtId="0" fontId="0" fillId="0" borderId="0">
      <alignment vertical="center"/>
    </xf>
    <xf numFmtId="0" fontId="45" fillId="11" borderId="0" applyNumberFormat="0" applyBorder="0" applyAlignment="0" applyProtection="0">
      <alignment vertical="center"/>
    </xf>
    <xf numFmtId="0" fontId="44" fillId="10" borderId="0" applyNumberFormat="0" applyBorder="0" applyAlignment="0" applyProtection="0">
      <alignment vertical="center"/>
    </xf>
    <xf numFmtId="0" fontId="49" fillId="5" borderId="0" applyNumberFormat="0" applyBorder="0" applyAlignment="0" applyProtection="0"/>
    <xf numFmtId="0" fontId="53" fillId="12" borderId="0" applyNumberFormat="0" applyBorder="0" applyAlignment="0" applyProtection="0"/>
    <xf numFmtId="0" fontId="37" fillId="5" borderId="52" applyNumberFormat="0" applyAlignment="0" applyProtection="0">
      <alignment vertical="center"/>
    </xf>
    <xf numFmtId="1" fontId="18" fillId="0" borderId="15">
      <alignment vertical="center"/>
      <protection locked="0"/>
    </xf>
    <xf numFmtId="0" fontId="53" fillId="24" borderId="0" applyNumberFormat="0" applyBorder="0" applyAlignment="0" applyProtection="0"/>
    <xf numFmtId="0" fontId="45" fillId="15" borderId="0" applyNumberFormat="0" applyBorder="0" applyAlignment="0" applyProtection="0">
      <alignment vertical="center"/>
    </xf>
    <xf numFmtId="0" fontId="38" fillId="6" borderId="54" applyNumberFormat="0" applyAlignment="0" applyProtection="0">
      <alignment vertical="center"/>
    </xf>
    <xf numFmtId="0" fontId="45" fillId="15" borderId="0" applyNumberFormat="0" applyBorder="0" applyAlignment="0" applyProtection="0">
      <alignment vertical="center"/>
    </xf>
    <xf numFmtId="0" fontId="42" fillId="19" borderId="0" applyNumberFormat="0" applyBorder="0" applyAlignment="0" applyProtection="0">
      <alignment vertical="center"/>
    </xf>
    <xf numFmtId="0" fontId="32" fillId="0" borderId="49" applyNumberFormat="0" applyFill="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50" fillId="21" borderId="0" applyNumberFormat="0" applyBorder="0" applyAlignment="0" applyProtection="0">
      <alignment vertical="center"/>
    </xf>
    <xf numFmtId="0" fontId="41" fillId="7" borderId="0" applyNumberFormat="0" applyBorder="0" applyAlignment="0" applyProtection="0">
      <alignment vertical="center"/>
    </xf>
    <xf numFmtId="0" fontId="45" fillId="21" borderId="0" applyNumberFormat="0" applyBorder="0" applyAlignment="0" applyProtection="0">
      <alignment vertical="center"/>
    </xf>
    <xf numFmtId="43" fontId="0" fillId="0" borderId="0" applyFont="0" applyFill="0" applyBorder="0" applyAlignment="0" applyProtection="0"/>
    <xf numFmtId="0" fontId="44" fillId="22"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0" fillId="0" borderId="0"/>
    <xf numFmtId="0" fontId="42" fillId="19" borderId="0" applyNumberFormat="0" applyBorder="0" applyAlignment="0" applyProtection="0">
      <alignment vertical="center"/>
    </xf>
    <xf numFmtId="0" fontId="61" fillId="19" borderId="0" applyNumberFormat="0" applyBorder="0" applyAlignment="0" applyProtection="0">
      <alignment vertical="center"/>
    </xf>
    <xf numFmtId="0" fontId="54" fillId="8" borderId="0" applyNumberFormat="0" applyBorder="0" applyAlignment="0" applyProtection="0">
      <alignment vertical="center"/>
    </xf>
    <xf numFmtId="0" fontId="0" fillId="0" borderId="0"/>
    <xf numFmtId="0" fontId="41" fillId="21" borderId="0" applyNumberFormat="0" applyBorder="0" applyAlignment="0" applyProtection="0">
      <alignment vertical="center"/>
    </xf>
    <xf numFmtId="0" fontId="35" fillId="4" borderId="52" applyNumberFormat="0" applyAlignment="0" applyProtection="0">
      <alignment vertical="center"/>
    </xf>
    <xf numFmtId="186" fontId="0" fillId="0" borderId="0" applyFont="0" applyFill="0" applyProtection="0"/>
    <xf numFmtId="0" fontId="42" fillId="8" borderId="0" applyNumberFormat="0" applyBorder="0" applyAlignment="0" applyProtection="0">
      <alignment vertical="center"/>
    </xf>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49" fillId="3" borderId="0" applyNumberFormat="0" applyBorder="0" applyAlignment="0" applyProtection="0"/>
    <xf numFmtId="0" fontId="0" fillId="0" borderId="0"/>
    <xf numFmtId="0" fontId="42" fillId="8" borderId="0" applyNumberFormat="0" applyBorder="0" applyAlignment="0" applyProtection="0">
      <alignment vertical="center"/>
    </xf>
    <xf numFmtId="0" fontId="45" fillId="4" borderId="0" applyNumberFormat="0" applyBorder="0" applyAlignment="0" applyProtection="0">
      <alignment vertical="center"/>
    </xf>
    <xf numFmtId="0" fontId="44" fillId="13" borderId="0" applyNumberFormat="0" applyBorder="0" applyAlignment="0" applyProtection="0">
      <alignment vertical="center"/>
    </xf>
    <xf numFmtId="0" fontId="34" fillId="0" borderId="0" applyNumberFormat="0" applyFill="0" applyBorder="0" applyAlignment="0" applyProtection="0">
      <alignment vertical="center"/>
    </xf>
    <xf numFmtId="0" fontId="44" fillId="20" borderId="0" applyNumberFormat="0" applyBorder="0" applyAlignment="0" applyProtection="0">
      <alignment vertical="center"/>
    </xf>
    <xf numFmtId="0" fontId="41" fillId="7" borderId="0" applyNumberFormat="0" applyBorder="0" applyAlignment="0" applyProtection="0">
      <alignment vertical="center"/>
    </xf>
    <xf numFmtId="0" fontId="44" fillId="15" borderId="0" applyNumberFormat="0" applyBorder="0" applyAlignment="0" applyProtection="0">
      <alignment vertical="center"/>
    </xf>
    <xf numFmtId="0" fontId="29" fillId="0" borderId="0" applyNumberFormat="0" applyFill="0" applyBorder="0" applyAlignment="0" applyProtection="0">
      <alignment vertical="center"/>
    </xf>
    <xf numFmtId="0" fontId="53" fillId="20" borderId="0" applyNumberFormat="0" applyBorder="0" applyAlignment="0" applyProtection="0"/>
    <xf numFmtId="0" fontId="45" fillId="4"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5" fillId="11" borderId="0" applyNumberFormat="0" applyBorder="0" applyAlignment="0" applyProtection="0">
      <alignment vertical="center"/>
    </xf>
    <xf numFmtId="0" fontId="35" fillId="4" borderId="52" applyNumberFormat="0" applyAlignment="0" applyProtection="0">
      <alignment vertical="center"/>
    </xf>
    <xf numFmtId="0" fontId="67" fillId="0" borderId="2" applyNumberFormat="0" applyFill="0" applyProtection="0">
      <alignment horizontal="left"/>
    </xf>
    <xf numFmtId="0" fontId="0" fillId="0" borderId="0"/>
    <xf numFmtId="0" fontId="41" fillId="7" borderId="0" applyNumberFormat="0" applyBorder="0" applyAlignment="0" applyProtection="0">
      <alignment vertical="center"/>
    </xf>
    <xf numFmtId="0" fontId="44" fillId="15" borderId="0" applyNumberFormat="0" applyBorder="0" applyAlignment="0" applyProtection="0">
      <alignment vertical="center"/>
    </xf>
    <xf numFmtId="0" fontId="37" fillId="5" borderId="52" applyNumberFormat="0" applyAlignment="0" applyProtection="0">
      <alignment vertical="center"/>
    </xf>
    <xf numFmtId="0" fontId="45" fillId="12" borderId="0" applyNumberFormat="0" applyBorder="0" applyAlignment="0" applyProtection="0">
      <alignment vertical="center"/>
    </xf>
    <xf numFmtId="0" fontId="42" fillId="8" borderId="0" applyNumberFormat="0" applyBorder="0" applyAlignment="0" applyProtection="0">
      <alignment vertical="center"/>
    </xf>
    <xf numFmtId="9" fontId="0" fillId="0" borderId="0" applyFont="0" applyFill="0" applyBorder="0" applyAlignment="0" applyProtection="0">
      <alignment vertical="center"/>
    </xf>
    <xf numFmtId="0" fontId="49" fillId="11" borderId="0" applyNumberFormat="0" applyBorder="0" applyAlignment="0" applyProtection="0"/>
    <xf numFmtId="0" fontId="41" fillId="7" borderId="0" applyNumberFormat="0" applyBorder="0" applyAlignment="0" applyProtection="0">
      <alignment vertical="center"/>
    </xf>
    <xf numFmtId="0" fontId="44" fillId="18" borderId="0" applyNumberFormat="0" applyBorder="0" applyAlignment="0" applyProtection="0">
      <alignment vertical="center"/>
    </xf>
    <xf numFmtId="0" fontId="51" fillId="21" borderId="0" applyNumberFormat="0" applyBorder="0" applyAlignment="0" applyProtection="0">
      <alignment vertical="center"/>
    </xf>
    <xf numFmtId="0" fontId="45" fillId="23" borderId="0" applyNumberFormat="0" applyBorder="0" applyAlignment="0" applyProtection="0">
      <alignment vertical="center"/>
    </xf>
    <xf numFmtId="0" fontId="37" fillId="5" borderId="52" applyNumberFormat="0" applyAlignment="0" applyProtection="0">
      <alignment vertical="center"/>
    </xf>
    <xf numFmtId="0" fontId="42" fillId="8" borderId="0" applyNumberFormat="0" applyBorder="0" applyAlignment="0" applyProtection="0">
      <alignment vertical="center"/>
    </xf>
    <xf numFmtId="0" fontId="30" fillId="0" borderId="0" applyNumberFormat="0" applyFill="0" applyBorder="0" applyAlignment="0" applyProtection="0">
      <alignment vertical="center"/>
    </xf>
    <xf numFmtId="0" fontId="49" fillId="7" borderId="0" applyNumberFormat="0" applyBorder="0" applyAlignment="0" applyProtection="0"/>
    <xf numFmtId="0" fontId="0" fillId="0" borderId="0"/>
    <xf numFmtId="0" fontId="0" fillId="0" borderId="0">
      <alignment vertical="center"/>
    </xf>
    <xf numFmtId="0" fontId="0" fillId="3" borderId="48" applyNumberFormat="0" applyFont="0" applyAlignment="0" applyProtection="0">
      <alignment vertical="center"/>
    </xf>
    <xf numFmtId="0" fontId="41" fillId="21"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33" fillId="0" borderId="50" applyNumberFormat="0" applyFill="0" applyAlignment="0" applyProtection="0">
      <alignment vertical="center"/>
    </xf>
    <xf numFmtId="0" fontId="0" fillId="0" borderId="0">
      <alignment vertical="center"/>
    </xf>
    <xf numFmtId="0" fontId="29" fillId="0" borderId="0" applyNumberFormat="0" applyFill="0" applyBorder="0" applyAlignment="0" applyProtection="0">
      <alignment vertical="center"/>
    </xf>
    <xf numFmtId="0" fontId="42" fillId="19" borderId="0" applyNumberFormat="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38" fillId="6" borderId="54" applyNumberFormat="0" applyAlignment="0" applyProtection="0">
      <alignment vertical="center"/>
    </xf>
    <xf numFmtId="0" fontId="49" fillId="21" borderId="0" applyNumberFormat="0" applyBorder="0" applyAlignment="0" applyProtection="0"/>
    <xf numFmtId="0" fontId="45" fillId="12" borderId="0" applyNumberFormat="0" applyBorder="0" applyAlignment="0" applyProtection="0">
      <alignment vertical="center"/>
    </xf>
    <xf numFmtId="0" fontId="45" fillId="23" borderId="0" applyNumberFormat="0" applyBorder="0" applyAlignment="0" applyProtection="0">
      <alignment vertical="center"/>
    </xf>
    <xf numFmtId="0" fontId="0" fillId="0" borderId="0"/>
    <xf numFmtId="0" fontId="44" fillId="20" borderId="0" applyNumberFormat="0" applyBorder="0" applyAlignment="0" applyProtection="0">
      <alignment vertical="center"/>
    </xf>
    <xf numFmtId="0" fontId="51" fillId="21" borderId="0" applyNumberFormat="0" applyBorder="0" applyAlignment="0" applyProtection="0">
      <alignment vertical="center"/>
    </xf>
    <xf numFmtId="0" fontId="45" fillId="19" borderId="0" applyNumberFormat="0" applyBorder="0" applyAlignment="0" applyProtection="0">
      <alignment vertical="center"/>
    </xf>
    <xf numFmtId="0" fontId="51" fillId="7" borderId="0" applyNumberFormat="0" applyBorder="0" applyAlignment="0" applyProtection="0">
      <alignment vertical="center"/>
    </xf>
    <xf numFmtId="0" fontId="37" fillId="5" borderId="52" applyNumberFormat="0" applyAlignment="0" applyProtection="0">
      <alignment vertical="center"/>
    </xf>
    <xf numFmtId="0" fontId="45" fillId="23" borderId="0" applyNumberFormat="0" applyBorder="0" applyAlignment="0" applyProtection="0">
      <alignment vertical="center"/>
    </xf>
    <xf numFmtId="0" fontId="46" fillId="16" borderId="0" applyNumberFormat="0" applyBorder="0" applyAlignment="0" applyProtection="0">
      <alignment vertical="center"/>
    </xf>
    <xf numFmtId="0" fontId="51" fillId="21" borderId="0" applyNumberFormat="0" applyBorder="0" applyAlignment="0" applyProtection="0">
      <alignment vertical="center"/>
    </xf>
    <xf numFmtId="0" fontId="49" fillId="5" borderId="0" applyNumberFormat="0" applyBorder="0" applyAlignment="0" applyProtection="0"/>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68" fillId="8" borderId="0" applyNumberFormat="0" applyBorder="0" applyAlignment="0" applyProtection="0">
      <alignment vertical="center"/>
    </xf>
    <xf numFmtId="0" fontId="42" fillId="8" borderId="0" applyNumberFormat="0" applyBorder="0" applyAlignment="0" applyProtection="0">
      <alignment vertical="center"/>
    </xf>
    <xf numFmtId="0" fontId="44" fillId="10" borderId="0" applyNumberFormat="0" applyBorder="0" applyAlignment="0" applyProtection="0">
      <alignment vertical="center"/>
    </xf>
    <xf numFmtId="0" fontId="69" fillId="0" borderId="51" applyNumberFormat="0" applyFill="0" applyAlignment="0" applyProtection="0">
      <alignment vertical="center"/>
    </xf>
    <xf numFmtId="0" fontId="45" fillId="19" borderId="0" applyNumberFormat="0" applyBorder="0" applyAlignment="0" applyProtection="0">
      <alignment vertical="center"/>
    </xf>
    <xf numFmtId="0" fontId="41" fillId="7" borderId="0" applyNumberFormat="0" applyBorder="0" applyAlignment="0" applyProtection="0">
      <alignment vertical="center"/>
    </xf>
    <xf numFmtId="0" fontId="49" fillId="7" borderId="0" applyNumberFormat="0" applyBorder="0" applyAlignment="0" applyProtection="0"/>
    <xf numFmtId="0" fontId="0" fillId="0" borderId="0"/>
    <xf numFmtId="0" fontId="0" fillId="0" borderId="0"/>
    <xf numFmtId="0" fontId="41" fillId="7" borderId="0" applyNumberFormat="0" applyBorder="0" applyAlignment="0" applyProtection="0">
      <alignment vertical="center"/>
    </xf>
    <xf numFmtId="0" fontId="51" fillId="21" borderId="0" applyNumberFormat="0" applyBorder="0" applyAlignment="0" applyProtection="0">
      <alignment vertical="center"/>
    </xf>
    <xf numFmtId="0" fontId="41" fillId="21" borderId="0" applyNumberFormat="0" applyBorder="0" applyAlignment="0" applyProtection="0">
      <alignment vertical="center"/>
    </xf>
    <xf numFmtId="0" fontId="0" fillId="0" borderId="0"/>
    <xf numFmtId="0" fontId="68" fillId="8" borderId="0" applyNumberFormat="0" applyBorder="0" applyAlignment="0" applyProtection="0">
      <alignment vertical="center"/>
    </xf>
    <xf numFmtId="0" fontId="44" fillId="24" borderId="0" applyNumberFormat="0" applyBorder="0" applyAlignment="0" applyProtection="0">
      <alignment vertical="center"/>
    </xf>
    <xf numFmtId="0" fontId="53" fillId="6" borderId="0" applyNumberFormat="0" applyBorder="0" applyAlignment="0" applyProtection="0"/>
    <xf numFmtId="0" fontId="35" fillId="4" borderId="52" applyNumberFormat="0" applyAlignment="0" applyProtection="0">
      <alignment vertical="center"/>
    </xf>
    <xf numFmtId="0" fontId="0" fillId="3" borderId="48" applyNumberFormat="0" applyFont="0" applyAlignment="0" applyProtection="0">
      <alignment vertical="center"/>
    </xf>
    <xf numFmtId="187" fontId="70" fillId="0" borderId="0"/>
    <xf numFmtId="0" fontId="45" fillId="21" borderId="0" applyNumberFormat="0" applyBorder="0" applyAlignment="0" applyProtection="0">
      <alignment vertical="center"/>
    </xf>
    <xf numFmtId="0" fontId="44" fillId="13" borderId="0" applyNumberFormat="0" applyBorder="0" applyAlignment="0" applyProtection="0">
      <alignment vertical="center"/>
    </xf>
    <xf numFmtId="0" fontId="51" fillId="21" borderId="0" applyNumberFormat="0" applyBorder="0" applyAlignment="0" applyProtection="0">
      <alignment vertical="center"/>
    </xf>
    <xf numFmtId="0" fontId="29" fillId="0" borderId="0" applyNumberFormat="0" applyFill="0" applyBorder="0" applyAlignment="0" applyProtection="0">
      <alignment vertical="center"/>
    </xf>
    <xf numFmtId="0" fontId="45" fillId="19"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4" fillId="14" borderId="0" applyNumberFormat="0" applyBorder="0" applyAlignment="0" applyProtection="0">
      <alignment vertical="center"/>
    </xf>
    <xf numFmtId="0" fontId="44" fillId="18" borderId="0" applyNumberFormat="0" applyBorder="0" applyAlignment="0" applyProtection="0">
      <alignment vertical="center"/>
    </xf>
    <xf numFmtId="0" fontId="45" fillId="23" borderId="0" applyNumberFormat="0" applyBorder="0" applyAlignment="0" applyProtection="0">
      <alignment vertical="center"/>
    </xf>
    <xf numFmtId="0" fontId="42" fillId="8" borderId="0" applyNumberFormat="0" applyBorder="0" applyAlignment="0" applyProtection="0">
      <alignment vertical="center"/>
    </xf>
    <xf numFmtId="0" fontId="30" fillId="0" borderId="0" applyNumberFormat="0" applyFill="0" applyBorder="0" applyAlignment="0" applyProtection="0">
      <alignment vertical="center"/>
    </xf>
    <xf numFmtId="0" fontId="51" fillId="21" borderId="0" applyNumberFormat="0" applyBorder="0" applyAlignment="0" applyProtection="0">
      <alignment vertical="center"/>
    </xf>
    <xf numFmtId="0" fontId="0" fillId="0" borderId="0">
      <alignment vertical="center"/>
    </xf>
    <xf numFmtId="0" fontId="49" fillId="21" borderId="0" applyNumberFormat="0" applyBorder="0" applyAlignment="0" applyProtection="0"/>
    <xf numFmtId="188" fontId="0" fillId="0" borderId="0" applyFont="0" applyFill="0" applyBorder="0" applyAlignment="0" applyProtection="0">
      <alignment vertical="center"/>
    </xf>
    <xf numFmtId="0" fontId="45" fillId="15" borderId="0" applyNumberFormat="0" applyBorder="0" applyAlignment="0" applyProtection="0">
      <alignment vertical="center"/>
    </xf>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41" fillId="21" borderId="0" applyNumberFormat="0" applyBorder="0" applyAlignment="0" applyProtection="0">
      <alignment vertical="center"/>
    </xf>
    <xf numFmtId="0" fontId="33" fillId="0" borderId="50" applyNumberFormat="0" applyFill="0" applyAlignment="0" applyProtection="0">
      <alignment vertical="center"/>
    </xf>
    <xf numFmtId="0" fontId="49" fillId="5" borderId="0" applyNumberFormat="0" applyBorder="0" applyAlignment="0" applyProtection="0"/>
    <xf numFmtId="0" fontId="50" fillId="21" borderId="0" applyNumberFormat="0" applyBorder="0" applyAlignment="0" applyProtection="0">
      <alignment vertical="center"/>
    </xf>
    <xf numFmtId="0" fontId="42" fillId="8" borderId="0" applyNumberFormat="0" applyBorder="0" applyAlignment="0" applyProtection="0">
      <alignment vertical="center"/>
    </xf>
    <xf numFmtId="0" fontId="34" fillId="0" borderId="0" applyNumberFormat="0" applyFill="0" applyBorder="0" applyAlignment="0" applyProtection="0">
      <alignment vertical="center"/>
    </xf>
    <xf numFmtId="0" fontId="0" fillId="0" borderId="0"/>
    <xf numFmtId="0" fontId="42" fillId="19" borderId="0" applyNumberFormat="0" applyBorder="0" applyAlignment="0" applyProtection="0">
      <alignment vertical="center"/>
    </xf>
    <xf numFmtId="0" fontId="45" fillId="8" borderId="0" applyNumberFormat="0" applyBorder="0" applyAlignment="0" applyProtection="0">
      <alignment vertical="center"/>
    </xf>
    <xf numFmtId="0" fontId="42" fillId="8" borderId="0" applyNumberFormat="0" applyBorder="0" applyAlignment="0" applyProtection="0">
      <alignment vertical="center"/>
    </xf>
    <xf numFmtId="0" fontId="57" fillId="0" borderId="0" applyProtection="0"/>
    <xf numFmtId="0" fontId="0" fillId="0" borderId="0"/>
    <xf numFmtId="0" fontId="0" fillId="0" borderId="0"/>
    <xf numFmtId="0" fontId="49" fillId="5" borderId="0" applyNumberFormat="0" applyBorder="0" applyAlignment="0" applyProtection="0"/>
    <xf numFmtId="0" fontId="54" fillId="19" borderId="0" applyNumberFormat="0" applyBorder="0" applyAlignment="0" applyProtection="0">
      <alignment vertical="center"/>
    </xf>
    <xf numFmtId="0" fontId="54" fillId="19" borderId="0" applyNumberFormat="0" applyBorder="0" applyAlignment="0" applyProtection="0">
      <alignment vertical="center"/>
    </xf>
    <xf numFmtId="0" fontId="42" fillId="8" borderId="0" applyNumberFormat="0" applyBorder="0" applyAlignment="0" applyProtection="0">
      <alignment vertical="center"/>
    </xf>
    <xf numFmtId="0" fontId="45" fillId="17" borderId="0" applyNumberFormat="0" applyBorder="0" applyAlignment="0" applyProtection="0">
      <alignment vertical="center"/>
    </xf>
    <xf numFmtId="0" fontId="41" fillId="7" borderId="0" applyNumberFormat="0" applyBorder="0" applyAlignment="0" applyProtection="0">
      <alignment vertical="center"/>
    </xf>
    <xf numFmtId="0" fontId="50" fillId="21" borderId="0" applyNumberFormat="0" applyBorder="0" applyAlignment="0" applyProtection="0">
      <alignment vertical="center"/>
    </xf>
    <xf numFmtId="0" fontId="49" fillId="7" borderId="0" applyNumberFormat="0" applyBorder="0" applyAlignment="0" applyProtection="0"/>
    <xf numFmtId="0" fontId="30" fillId="0" borderId="0" applyNumberFormat="0" applyFill="0" applyBorder="0" applyAlignment="0" applyProtection="0">
      <alignment vertical="center"/>
    </xf>
    <xf numFmtId="0" fontId="45" fillId="21" borderId="0" applyNumberFormat="0" applyBorder="0" applyAlignment="0" applyProtection="0">
      <alignment vertical="center"/>
    </xf>
    <xf numFmtId="0" fontId="45" fillId="12" borderId="0" applyNumberFormat="0" applyBorder="0" applyAlignment="0" applyProtection="0">
      <alignment vertical="center"/>
    </xf>
    <xf numFmtId="0" fontId="44" fillId="13" borderId="0" applyNumberFormat="0" applyBorder="0" applyAlignment="0" applyProtection="0">
      <alignment vertical="center"/>
    </xf>
    <xf numFmtId="0" fontId="0" fillId="0" borderId="0"/>
    <xf numFmtId="0" fontId="30" fillId="0" borderId="0" applyNumberFormat="0" applyFill="0" applyBorder="0" applyAlignment="0" applyProtection="0">
      <alignment vertical="center"/>
    </xf>
    <xf numFmtId="0" fontId="45" fillId="11" borderId="0" applyNumberFormat="0" applyBorder="0" applyAlignment="0" applyProtection="0">
      <alignment vertical="center"/>
    </xf>
    <xf numFmtId="0" fontId="44" fillId="13" borderId="0" applyNumberFormat="0" applyBorder="0" applyAlignment="0" applyProtection="0">
      <alignment vertical="center"/>
    </xf>
    <xf numFmtId="0" fontId="41" fillId="21" borderId="0" applyNumberFormat="0" applyBorder="0" applyAlignment="0" applyProtection="0">
      <alignment vertical="center"/>
    </xf>
    <xf numFmtId="0" fontId="2" fillId="0" borderId="7" applyNumberFormat="0" applyFill="0" applyProtection="0">
      <alignment horizontal="left"/>
    </xf>
    <xf numFmtId="0" fontId="31" fillId="0" borderId="0" applyNumberFormat="0" applyFill="0" applyBorder="0" applyAlignment="0" applyProtection="0">
      <alignment vertical="center"/>
    </xf>
    <xf numFmtId="0" fontId="45" fillId="12" borderId="0" applyNumberFormat="0" applyBorder="0" applyAlignment="0" applyProtection="0">
      <alignment vertical="center"/>
    </xf>
    <xf numFmtId="0" fontId="49" fillId="5" borderId="0" applyNumberFormat="0" applyBorder="0" applyAlignment="0" applyProtection="0"/>
    <xf numFmtId="0" fontId="52" fillId="19" borderId="0" applyNumberFormat="0" applyBorder="0" applyAlignment="0" applyProtection="0">
      <alignment vertical="center"/>
    </xf>
    <xf numFmtId="0" fontId="51" fillId="21" borderId="0" applyNumberFormat="0" applyBorder="0" applyAlignment="0" applyProtection="0">
      <alignment vertical="center"/>
    </xf>
    <xf numFmtId="0" fontId="44" fillId="18" borderId="0" applyNumberFormat="0" applyBorder="0" applyAlignment="0" applyProtection="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5" fillId="4" borderId="0" applyNumberFormat="0" applyBorder="0" applyAlignment="0" applyProtection="0">
      <alignment vertical="center"/>
    </xf>
    <xf numFmtId="0" fontId="0" fillId="3" borderId="48" applyNumberFormat="0" applyFont="0" applyAlignment="0" applyProtection="0">
      <alignment vertical="center"/>
    </xf>
    <xf numFmtId="0" fontId="52" fillId="19" borderId="0" applyNumberFormat="0" applyBorder="0" applyAlignment="0" applyProtection="0">
      <alignment vertical="center"/>
    </xf>
    <xf numFmtId="0" fontId="45" fillId="15" borderId="0" applyNumberFormat="0" applyBorder="0" applyAlignment="0" applyProtection="0">
      <alignment vertical="center"/>
    </xf>
    <xf numFmtId="0" fontId="30" fillId="0" borderId="0" applyNumberFormat="0" applyFill="0" applyBorder="0" applyAlignment="0" applyProtection="0">
      <alignment vertical="center"/>
    </xf>
    <xf numFmtId="0" fontId="49" fillId="5" borderId="0" applyNumberFormat="0" applyBorder="0" applyAlignment="0" applyProtection="0"/>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45" fillId="8" borderId="0" applyNumberFormat="0" applyBorder="0" applyAlignment="0" applyProtection="0">
      <alignment vertical="center"/>
    </xf>
    <xf numFmtId="0" fontId="52" fillId="8" borderId="0" applyNumberFormat="0" applyBorder="0" applyAlignment="0" applyProtection="0">
      <alignment vertical="center"/>
    </xf>
    <xf numFmtId="0" fontId="45" fillId="21" borderId="0" applyNumberFormat="0" applyBorder="0" applyAlignment="0" applyProtection="0">
      <alignment vertical="center"/>
    </xf>
    <xf numFmtId="0" fontId="49" fillId="3" borderId="0" applyNumberFormat="0" applyBorder="0" applyAlignment="0" applyProtection="0"/>
    <xf numFmtId="0" fontId="45" fillId="7" borderId="0" applyNumberFormat="0" applyBorder="0" applyAlignment="0" applyProtection="0">
      <alignment vertical="center"/>
    </xf>
    <xf numFmtId="0" fontId="49" fillId="11" borderId="0" applyNumberFormat="0" applyBorder="0" applyAlignment="0" applyProtection="0"/>
    <xf numFmtId="0" fontId="44" fillId="15" borderId="0" applyNumberFormat="0" applyBorder="0" applyAlignment="0" applyProtection="0">
      <alignment vertical="center"/>
    </xf>
    <xf numFmtId="0" fontId="53" fillId="5" borderId="0" applyNumberFormat="0" applyBorder="0" applyAlignment="0" applyProtection="0"/>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50" fillId="21" borderId="0" applyNumberFormat="0" applyBorder="0" applyAlignment="0" applyProtection="0">
      <alignment vertical="center"/>
    </xf>
    <xf numFmtId="189" fontId="71" fillId="0" borderId="0"/>
    <xf numFmtId="0" fontId="41" fillId="7" borderId="0" applyNumberFormat="0" applyBorder="0" applyAlignment="0" applyProtection="0">
      <alignment vertical="center"/>
    </xf>
    <xf numFmtId="0" fontId="0" fillId="0" borderId="0">
      <alignment vertical="center"/>
    </xf>
    <xf numFmtId="188" fontId="0" fillId="0" borderId="0" applyFont="0" applyFill="0" applyBorder="0" applyAlignment="0" applyProtection="0">
      <alignment vertical="center"/>
    </xf>
    <xf numFmtId="0" fontId="0" fillId="27" borderId="0" applyNumberFormat="0" applyFont="0" applyBorder="0" applyAlignment="0" applyProtection="0"/>
    <xf numFmtId="0" fontId="41" fillId="7" borderId="0" applyNumberFormat="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49" fillId="21" borderId="0" applyNumberFormat="0" applyBorder="0" applyAlignment="0" applyProtection="0"/>
    <xf numFmtId="0" fontId="29" fillId="0" borderId="0" applyNumberFormat="0" applyFill="0" applyBorder="0" applyAlignment="0" applyProtection="0">
      <alignment vertical="center"/>
    </xf>
    <xf numFmtId="0" fontId="32" fillId="0" borderId="49" applyNumberFormat="0" applyFill="0" applyAlignment="0" applyProtection="0">
      <alignment vertical="center"/>
    </xf>
    <xf numFmtId="0" fontId="45" fillId="19" borderId="0" applyNumberFormat="0" applyBorder="0" applyAlignment="0" applyProtection="0">
      <alignment vertical="center"/>
    </xf>
    <xf numFmtId="0" fontId="45" fillId="12" borderId="0" applyNumberFormat="0" applyBorder="0" applyAlignment="0" applyProtection="0">
      <alignment vertical="center"/>
    </xf>
    <xf numFmtId="0" fontId="45" fillId="19" borderId="0" applyNumberFormat="0" applyBorder="0" applyAlignment="0" applyProtection="0">
      <alignment vertical="center"/>
    </xf>
    <xf numFmtId="0" fontId="49" fillId="7" borderId="0" applyNumberFormat="0" applyBorder="0" applyAlignment="0" applyProtection="0"/>
    <xf numFmtId="0" fontId="44" fillId="20" borderId="0" applyNumberFormat="0" applyBorder="0" applyAlignment="0" applyProtection="0">
      <alignment vertical="center"/>
    </xf>
    <xf numFmtId="0" fontId="50" fillId="7" borderId="0" applyNumberFormat="0" applyBorder="0" applyAlignment="0" applyProtection="0"/>
    <xf numFmtId="0" fontId="44" fillId="20" borderId="0" applyNumberFormat="0" applyBorder="0" applyAlignment="0" applyProtection="0">
      <alignment vertical="center"/>
    </xf>
    <xf numFmtId="0" fontId="35" fillId="4" borderId="52" applyNumberFormat="0" applyAlignment="0" applyProtection="0">
      <alignment vertical="center"/>
    </xf>
    <xf numFmtId="0" fontId="45" fillId="15" borderId="0" applyNumberFormat="0" applyBorder="0" applyAlignment="0" applyProtection="0">
      <alignment vertical="center"/>
    </xf>
    <xf numFmtId="0" fontId="53" fillId="4" borderId="0" applyNumberFormat="0" applyBorder="0" applyAlignment="0" applyProtection="0"/>
    <xf numFmtId="0" fontId="72" fillId="6" borderId="54" applyNumberFormat="0" applyAlignment="0" applyProtection="0">
      <alignment vertical="center"/>
    </xf>
    <xf numFmtId="0" fontId="42" fillId="8" borderId="0" applyNumberFormat="0" applyBorder="0" applyAlignment="0" applyProtection="0">
      <alignment vertical="center"/>
    </xf>
    <xf numFmtId="0" fontId="33" fillId="0" borderId="50" applyNumberFormat="0" applyFill="0" applyAlignment="0" applyProtection="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0" fillId="0" borderId="0">
      <alignment vertical="center"/>
    </xf>
    <xf numFmtId="0" fontId="30" fillId="0" borderId="0" applyNumberFormat="0" applyFill="0" applyBorder="0" applyAlignment="0" applyProtection="0">
      <alignment vertical="center"/>
    </xf>
    <xf numFmtId="0" fontId="51" fillId="21" borderId="0" applyNumberFormat="0" applyBorder="0" applyAlignment="0" applyProtection="0">
      <alignment vertical="center"/>
    </xf>
    <xf numFmtId="0" fontId="45" fillId="8" borderId="0" applyNumberFormat="0" applyBorder="0" applyAlignment="0" applyProtection="0">
      <alignment vertical="center"/>
    </xf>
    <xf numFmtId="0" fontId="50" fillId="7" borderId="0" applyNumberFormat="0" applyBorder="0" applyAlignment="0" applyProtection="0"/>
    <xf numFmtId="0" fontId="45" fillId="0" borderId="0">
      <alignment vertical="center"/>
    </xf>
    <xf numFmtId="0" fontId="42" fillId="8" borderId="0" applyNumberFormat="0" applyBorder="0" applyAlignment="0" applyProtection="0">
      <alignment vertical="center"/>
    </xf>
    <xf numFmtId="0" fontId="34" fillId="0" borderId="0" applyNumberFormat="0" applyFill="0" applyBorder="0" applyAlignment="0" applyProtection="0">
      <alignment vertical="center"/>
    </xf>
    <xf numFmtId="0" fontId="52" fillId="19" borderId="0" applyNumberFormat="0" applyBorder="0" applyAlignment="0" applyProtection="0">
      <alignment vertical="center"/>
    </xf>
    <xf numFmtId="0" fontId="34"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44" fillId="20" borderId="0" applyNumberFormat="0" applyBorder="0" applyAlignment="0" applyProtection="0">
      <alignment vertical="center"/>
    </xf>
    <xf numFmtId="0" fontId="44" fillId="24" borderId="0" applyNumberFormat="0" applyBorder="0" applyAlignment="0" applyProtection="0">
      <alignment vertical="center"/>
    </xf>
    <xf numFmtId="0" fontId="42" fillId="8" borderId="0" applyNumberFormat="0" applyBorder="0" applyAlignment="0" applyProtection="0">
      <alignment vertical="center"/>
    </xf>
    <xf numFmtId="0" fontId="52" fillId="19"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4" fillId="20" borderId="0" applyNumberFormat="0" applyBorder="0" applyAlignment="0" applyProtection="0">
      <alignment vertical="center"/>
    </xf>
    <xf numFmtId="0" fontId="34" fillId="0" borderId="0" applyNumberFormat="0" applyFill="0" applyBorder="0" applyAlignment="0" applyProtection="0">
      <alignment vertical="center"/>
    </xf>
    <xf numFmtId="0" fontId="37" fillId="5" borderId="52" applyNumberFormat="0" applyAlignment="0" applyProtection="0">
      <alignment vertical="center"/>
    </xf>
    <xf numFmtId="0" fontId="34" fillId="0" borderId="0" applyNumberFormat="0" applyFill="0" applyBorder="0" applyAlignment="0" applyProtection="0">
      <alignment vertical="center"/>
    </xf>
    <xf numFmtId="0" fontId="50" fillId="21" borderId="0" applyNumberFormat="0" applyBorder="0" applyAlignment="0" applyProtection="0">
      <alignment vertical="center"/>
    </xf>
    <xf numFmtId="0" fontId="42" fillId="8" borderId="0" applyNumberFormat="0" applyBorder="0" applyAlignment="0" applyProtection="0">
      <alignment vertical="center"/>
    </xf>
    <xf numFmtId="0" fontId="73" fillId="28" borderId="0" applyNumberFormat="0" applyBorder="0" applyAlignment="0" applyProtection="0"/>
    <xf numFmtId="0" fontId="45" fillId="4" borderId="0" applyNumberFormat="0" applyBorder="0" applyAlignment="0" applyProtection="0">
      <alignment vertical="center"/>
    </xf>
    <xf numFmtId="0" fontId="44" fillId="17" borderId="0" applyNumberFormat="0" applyBorder="0" applyAlignment="0" applyProtection="0">
      <alignment vertical="center"/>
    </xf>
    <xf numFmtId="0" fontId="58" fillId="8" borderId="0" applyNumberFormat="0" applyBorder="0" applyAlignment="0" applyProtection="0"/>
    <xf numFmtId="0" fontId="53" fillId="4" borderId="0" applyNumberFormat="0" applyBorder="0" applyAlignment="0" applyProtection="0"/>
    <xf numFmtId="0" fontId="51" fillId="21" borderId="0" applyNumberFormat="0" applyBorder="0" applyAlignment="0" applyProtection="0">
      <alignment vertical="center"/>
    </xf>
    <xf numFmtId="0" fontId="53" fillId="12" borderId="0" applyNumberFormat="0" applyBorder="0" applyAlignment="0" applyProtection="0"/>
    <xf numFmtId="0" fontId="61" fillId="19" borderId="0" applyNumberFormat="0" applyBorder="0" applyAlignment="0" applyProtection="0">
      <alignment vertical="center"/>
    </xf>
    <xf numFmtId="0" fontId="41" fillId="7" borderId="0" applyNumberFormat="0" applyBorder="0" applyAlignment="0" applyProtection="0">
      <alignment vertical="center"/>
    </xf>
    <xf numFmtId="0" fontId="59" fillId="21" borderId="0" applyNumberFormat="0" applyBorder="0" applyAlignment="0" applyProtection="0">
      <alignment vertical="center"/>
    </xf>
    <xf numFmtId="0" fontId="46" fillId="14" borderId="0" applyNumberFormat="0" applyBorder="0" applyAlignment="0" applyProtection="0">
      <alignment vertical="center"/>
    </xf>
    <xf numFmtId="0" fontId="39" fillId="0" borderId="55" applyNumberFormat="0" applyFill="0" applyAlignment="0" applyProtection="0">
      <alignment vertical="center"/>
    </xf>
    <xf numFmtId="0" fontId="41" fillId="7" borderId="0" applyNumberFormat="0" applyBorder="0" applyAlignment="0" applyProtection="0">
      <alignment vertical="center"/>
    </xf>
    <xf numFmtId="0" fontId="32" fillId="0" borderId="49" applyNumberFormat="0" applyFill="0" applyAlignment="0" applyProtection="0">
      <alignment vertical="center"/>
    </xf>
    <xf numFmtId="0" fontId="39" fillId="0" borderId="55" applyNumberFormat="0" applyFill="0" applyAlignment="0" applyProtection="0">
      <alignment vertical="center"/>
    </xf>
    <xf numFmtId="0" fontId="0" fillId="0" borderId="0"/>
    <xf numFmtId="0" fontId="44" fillId="13" borderId="0" applyNumberFormat="0" applyBorder="0" applyAlignment="0" applyProtection="0">
      <alignment vertical="center"/>
    </xf>
    <xf numFmtId="0" fontId="53" fillId="6" borderId="0" applyNumberFormat="0" applyBorder="0" applyAlignment="0" applyProtection="0"/>
    <xf numFmtId="0" fontId="50" fillId="7" borderId="0" applyNumberFormat="0" applyBorder="0" applyAlignment="0" applyProtection="0">
      <alignment vertical="center"/>
    </xf>
    <xf numFmtId="0" fontId="58" fillId="8" borderId="0" applyNumberFormat="0" applyBorder="0" applyAlignment="0" applyProtection="0"/>
    <xf numFmtId="0" fontId="44" fillId="13" borderId="0" applyNumberFormat="0" applyBorder="0" applyAlignment="0" applyProtection="0">
      <alignment vertical="center"/>
    </xf>
    <xf numFmtId="179" fontId="18" fillId="0" borderId="15">
      <alignment vertical="center"/>
      <protection locked="0"/>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43" fontId="0" fillId="0" borderId="0" applyFont="0" applyFill="0" applyBorder="0" applyAlignment="0" applyProtection="0"/>
    <xf numFmtId="0" fontId="41" fillId="7" borderId="0" applyNumberFormat="0" applyBorder="0" applyAlignment="0" applyProtection="0">
      <alignment vertical="center"/>
    </xf>
    <xf numFmtId="0" fontId="31" fillId="0" borderId="0" applyNumberFormat="0" applyFill="0" applyBorder="0" applyAlignment="0" applyProtection="0">
      <alignment vertical="center"/>
    </xf>
    <xf numFmtId="0" fontId="40" fillId="0" borderId="56" applyNumberFormat="0" applyFill="0" applyAlignment="0" applyProtection="0">
      <alignment vertical="center"/>
    </xf>
    <xf numFmtId="0" fontId="50" fillId="7" borderId="0" applyNumberFormat="0" applyBorder="0" applyAlignment="0" applyProtection="0"/>
    <xf numFmtId="0" fontId="30"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53" fillId="6" borderId="0" applyNumberFormat="0" applyBorder="0" applyAlignment="0" applyProtection="0"/>
    <xf numFmtId="0" fontId="45" fillId="21" borderId="0" applyNumberFormat="0" applyBorder="0" applyAlignment="0" applyProtection="0">
      <alignment vertical="center"/>
    </xf>
    <xf numFmtId="190" fontId="0" fillId="0" borderId="0" applyFont="0" applyFill="0" applyBorder="0" applyAlignment="0" applyProtection="0"/>
    <xf numFmtId="0" fontId="54" fillId="8" borderId="0" applyNumberFormat="0" applyBorder="0" applyAlignment="0" applyProtection="0">
      <alignment vertical="center"/>
    </xf>
    <xf numFmtId="0" fontId="0" fillId="0" borderId="0"/>
    <xf numFmtId="0" fontId="42" fillId="8" borderId="0" applyNumberFormat="0" applyBorder="0" applyAlignment="0" applyProtection="0">
      <alignment vertical="center"/>
    </xf>
    <xf numFmtId="0" fontId="30" fillId="0" borderId="0" applyNumberFormat="0" applyFill="0" applyBorder="0" applyAlignment="0" applyProtection="0">
      <alignment vertical="center"/>
    </xf>
    <xf numFmtId="0" fontId="45" fillId="15" borderId="0" applyNumberFormat="0" applyBorder="0" applyAlignment="0" applyProtection="0">
      <alignment vertical="center"/>
    </xf>
    <xf numFmtId="0" fontId="52" fillId="19" borderId="0" applyNumberFormat="0" applyBorder="0" applyAlignment="0" applyProtection="0">
      <alignment vertical="center"/>
    </xf>
    <xf numFmtId="0" fontId="44" fillId="16" borderId="0" applyNumberFormat="0" applyBorder="0" applyAlignment="0" applyProtection="0">
      <alignment vertical="center"/>
    </xf>
    <xf numFmtId="0" fontId="51" fillId="21" borderId="0" applyNumberFormat="0" applyBorder="0" applyAlignment="0" applyProtection="0">
      <alignment vertical="center"/>
    </xf>
    <xf numFmtId="0" fontId="43" fillId="9" borderId="0" applyNumberFormat="0" applyBorder="0" applyAlignment="0" applyProtection="0">
      <alignment vertical="center"/>
    </xf>
    <xf numFmtId="0" fontId="58" fillId="8" borderId="0" applyNumberFormat="0" applyBorder="0" applyAlignment="0" applyProtection="0"/>
    <xf numFmtId="0" fontId="42" fillId="8" borderId="0" applyNumberFormat="0" applyBorder="0" applyAlignment="0" applyProtection="0">
      <alignment vertical="center"/>
    </xf>
    <xf numFmtId="0" fontId="0" fillId="0" borderId="0">
      <alignment vertical="center"/>
    </xf>
    <xf numFmtId="0" fontId="42" fillId="19" borderId="0" applyNumberFormat="0" applyBorder="0" applyAlignment="0" applyProtection="0">
      <alignment vertical="center"/>
    </xf>
    <xf numFmtId="0" fontId="44" fillId="22" borderId="0" applyNumberFormat="0" applyBorder="0" applyAlignment="0" applyProtection="0">
      <alignment vertical="center"/>
    </xf>
    <xf numFmtId="0" fontId="0" fillId="0" borderId="0"/>
    <xf numFmtId="0" fontId="45" fillId="23" borderId="0" applyNumberFormat="0" applyBorder="0" applyAlignment="0" applyProtection="0">
      <alignment vertical="center"/>
    </xf>
    <xf numFmtId="0" fontId="74" fillId="0" borderId="50" applyNumberFormat="0" applyFill="0" applyAlignment="0" applyProtection="0">
      <alignment vertical="center"/>
    </xf>
    <xf numFmtId="0" fontId="42" fillId="19" borderId="0" applyNumberFormat="0" applyBorder="0" applyAlignment="0" applyProtection="0">
      <alignment vertical="center"/>
    </xf>
    <xf numFmtId="0" fontId="0" fillId="0" borderId="0">
      <alignment vertical="center"/>
    </xf>
    <xf numFmtId="0" fontId="29" fillId="0" borderId="0" applyNumberFormat="0" applyFill="0" applyBorder="0" applyAlignment="0" applyProtection="0">
      <alignment vertical="center"/>
    </xf>
    <xf numFmtId="0" fontId="49" fillId="3" borderId="0" applyNumberFormat="0" applyBorder="0" applyAlignment="0" applyProtection="0"/>
    <xf numFmtId="0" fontId="45" fillId="12" borderId="0" applyNumberFormat="0" applyBorder="0" applyAlignment="0" applyProtection="0">
      <alignment vertical="center"/>
    </xf>
    <xf numFmtId="0" fontId="50" fillId="21" borderId="0" applyNumberFormat="0" applyBorder="0" applyAlignment="0" applyProtection="0">
      <alignment vertical="center"/>
    </xf>
    <xf numFmtId="0" fontId="45" fillId="12" borderId="0" applyNumberFormat="0" applyBorder="0" applyAlignment="0" applyProtection="0">
      <alignment vertical="center"/>
    </xf>
    <xf numFmtId="0" fontId="45" fillId="23" borderId="0" applyNumberFormat="0" applyBorder="0" applyAlignment="0" applyProtection="0">
      <alignment vertical="center"/>
    </xf>
    <xf numFmtId="0" fontId="42" fillId="8" borderId="0" applyNumberFormat="0" applyBorder="0" applyAlignment="0" applyProtection="0">
      <alignment vertical="center"/>
    </xf>
    <xf numFmtId="0" fontId="37" fillId="5" borderId="52" applyNumberFormat="0" applyAlignment="0" applyProtection="0">
      <alignment vertical="center"/>
    </xf>
    <xf numFmtId="0" fontId="41" fillId="7" borderId="0" applyNumberFormat="0" applyBorder="0" applyAlignment="0" applyProtection="0">
      <alignment vertical="center"/>
    </xf>
    <xf numFmtId="0" fontId="45" fillId="23" borderId="0" applyNumberFormat="0" applyBorder="0" applyAlignment="0" applyProtection="0">
      <alignment vertical="center"/>
    </xf>
    <xf numFmtId="0" fontId="41" fillId="7" borderId="0" applyNumberFormat="0" applyBorder="0" applyAlignment="0" applyProtection="0">
      <alignment vertical="center"/>
    </xf>
    <xf numFmtId="0" fontId="50" fillId="21" borderId="0" applyNumberFormat="0" applyBorder="0" applyAlignment="0" applyProtection="0">
      <alignment vertical="center"/>
    </xf>
    <xf numFmtId="0" fontId="44" fillId="20" borderId="0" applyNumberFormat="0" applyBorder="0" applyAlignment="0" applyProtection="0">
      <alignment vertical="center"/>
    </xf>
    <xf numFmtId="0" fontId="34" fillId="0" borderId="0" applyNumberFormat="0" applyFill="0" applyBorder="0" applyAlignment="0" applyProtection="0">
      <alignment vertical="center"/>
    </xf>
    <xf numFmtId="0" fontId="44" fillId="24" borderId="0" applyNumberFormat="0" applyBorder="0" applyAlignment="0" applyProtection="0">
      <alignment vertical="center"/>
    </xf>
    <xf numFmtId="0" fontId="54" fillId="19" borderId="0" applyNumberFormat="0" applyBorder="0" applyAlignment="0" applyProtection="0">
      <alignment vertical="center"/>
    </xf>
    <xf numFmtId="0" fontId="42" fillId="8" borderId="0" applyNumberFormat="0" applyBorder="0" applyAlignment="0" applyProtection="0">
      <alignment vertical="center"/>
    </xf>
    <xf numFmtId="191" fontId="71" fillId="0" borderId="0"/>
    <xf numFmtId="0" fontId="0" fillId="3" borderId="48" applyNumberFormat="0" applyFont="0" applyAlignment="0" applyProtection="0">
      <alignment vertical="center"/>
    </xf>
    <xf numFmtId="0" fontId="45" fillId="4" borderId="0" applyNumberFormat="0" applyBorder="0" applyAlignment="0" applyProtection="0">
      <alignment vertical="center"/>
    </xf>
    <xf numFmtId="0" fontId="44" fillId="18" borderId="0" applyNumberFormat="0" applyBorder="0" applyAlignment="0" applyProtection="0">
      <alignment vertical="center"/>
    </xf>
    <xf numFmtId="0" fontId="41" fillId="21" borderId="0" applyNumberFormat="0" applyBorder="0" applyAlignment="0" applyProtection="0">
      <alignment vertical="center"/>
    </xf>
    <xf numFmtId="0" fontId="41" fillId="7" borderId="0" applyNumberFormat="0" applyBorder="0" applyAlignment="0" applyProtection="0">
      <alignment vertical="center"/>
    </xf>
    <xf numFmtId="0" fontId="45" fillId="21" borderId="0" applyNumberFormat="0" applyBorder="0" applyAlignment="0" applyProtection="0">
      <alignment vertical="center"/>
    </xf>
    <xf numFmtId="0" fontId="51" fillId="21" borderId="0" applyNumberFormat="0" applyBorder="0" applyAlignment="0" applyProtection="0">
      <alignment vertical="center"/>
    </xf>
    <xf numFmtId="0" fontId="53" fillId="25" borderId="0" applyNumberFormat="0" applyBorder="0" applyAlignment="0" applyProtection="0"/>
    <xf numFmtId="0" fontId="0" fillId="3" borderId="48" applyNumberFormat="0" applyFont="0" applyAlignment="0" applyProtection="0">
      <alignment vertical="center"/>
    </xf>
    <xf numFmtId="0" fontId="41" fillId="21" borderId="0" applyNumberFormat="0" applyBorder="0" applyAlignment="0" applyProtection="0">
      <alignment vertical="center"/>
    </xf>
    <xf numFmtId="0" fontId="0" fillId="0" borderId="0"/>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33" fillId="0" borderId="50" applyNumberFormat="0" applyFill="0" applyAlignment="0" applyProtection="0">
      <alignment vertical="center"/>
    </xf>
    <xf numFmtId="0" fontId="45" fillId="19" borderId="0" applyNumberFormat="0" applyBorder="0" applyAlignment="0" applyProtection="0">
      <alignment vertical="center"/>
    </xf>
    <xf numFmtId="0" fontId="41" fillId="21" borderId="0" applyNumberFormat="0" applyBorder="0" applyAlignment="0" applyProtection="0">
      <alignment vertical="center"/>
    </xf>
    <xf numFmtId="0" fontId="44" fillId="18" borderId="0" applyNumberFormat="0" applyBorder="0" applyAlignment="0" applyProtection="0">
      <alignment vertical="center"/>
    </xf>
    <xf numFmtId="0" fontId="45" fillId="8" borderId="0" applyNumberFormat="0" applyBorder="0" applyAlignment="0" applyProtection="0">
      <alignment vertical="center"/>
    </xf>
    <xf numFmtId="2" fontId="57" fillId="0" borderId="0" applyProtection="0"/>
    <xf numFmtId="0" fontId="45" fillId="4" borderId="0" applyNumberFormat="0" applyBorder="0" applyAlignment="0" applyProtection="0">
      <alignment vertical="center"/>
    </xf>
    <xf numFmtId="0" fontId="49" fillId="7" borderId="0" applyNumberFormat="0" applyBorder="0" applyAlignment="0" applyProtection="0"/>
    <xf numFmtId="0" fontId="44" fillId="10" borderId="0" applyNumberFormat="0" applyBorder="0" applyAlignment="0" applyProtection="0">
      <alignment vertical="center"/>
    </xf>
    <xf numFmtId="0" fontId="0" fillId="0" borderId="0"/>
    <xf numFmtId="0" fontId="0" fillId="0" borderId="0">
      <alignment vertical="center"/>
    </xf>
    <xf numFmtId="0" fontId="44" fillId="16" borderId="0" applyNumberFormat="0" applyBorder="0" applyAlignment="0" applyProtection="0">
      <alignment vertical="center"/>
    </xf>
    <xf numFmtId="0" fontId="41" fillId="7" borderId="0" applyNumberFormat="0" applyBorder="0" applyAlignment="0" applyProtection="0">
      <alignment vertical="center"/>
    </xf>
    <xf numFmtId="0" fontId="0" fillId="0" borderId="0">
      <alignment vertical="center"/>
    </xf>
    <xf numFmtId="0" fontId="49" fillId="3" borderId="0" applyNumberFormat="0" applyBorder="0" applyAlignment="0" applyProtection="0"/>
    <xf numFmtId="0" fontId="45" fillId="12" borderId="0" applyNumberFormat="0" applyBorder="0" applyAlignment="0" applyProtection="0">
      <alignment vertical="center"/>
    </xf>
    <xf numFmtId="0" fontId="75" fillId="0" borderId="0" applyProtection="0"/>
    <xf numFmtId="0" fontId="41" fillId="7" borderId="0" applyNumberFormat="0" applyBorder="0" applyAlignment="0" applyProtection="0">
      <alignment vertical="center"/>
    </xf>
    <xf numFmtId="0" fontId="44" fillId="22" borderId="0" applyNumberFormat="0" applyBorder="0" applyAlignment="0" applyProtection="0">
      <alignment vertical="center"/>
    </xf>
    <xf numFmtId="0" fontId="0" fillId="0" borderId="0"/>
    <xf numFmtId="0" fontId="45" fillId="12" borderId="0" applyNumberFormat="0" applyBorder="0" applyAlignment="0" applyProtection="0">
      <alignment vertical="center"/>
    </xf>
    <xf numFmtId="0" fontId="45" fillId="4" borderId="0" applyNumberFormat="0" applyBorder="0" applyAlignment="0" applyProtection="0">
      <alignment vertical="center"/>
    </xf>
    <xf numFmtId="0" fontId="29" fillId="0" borderId="0" applyNumberFormat="0" applyFill="0" applyBorder="0" applyAlignment="0" applyProtection="0">
      <alignment vertical="center"/>
    </xf>
    <xf numFmtId="0" fontId="0" fillId="3" borderId="48" applyNumberFormat="0" applyFont="0" applyAlignment="0" applyProtection="0">
      <alignment vertical="center"/>
    </xf>
    <xf numFmtId="0" fontId="39" fillId="0" borderId="55" applyNumberFormat="0" applyFill="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5" fillId="8" borderId="0" applyNumberFormat="0" applyBorder="0" applyAlignment="0" applyProtection="0">
      <alignment vertical="center"/>
    </xf>
    <xf numFmtId="0" fontId="0" fillId="3" borderId="48" applyNumberFormat="0" applyFont="0" applyAlignment="0" applyProtection="0">
      <alignment vertical="center"/>
    </xf>
    <xf numFmtId="0" fontId="41" fillId="7" borderId="0" applyNumberFormat="0" applyBorder="0" applyAlignment="0" applyProtection="0">
      <alignment vertical="center"/>
    </xf>
    <xf numFmtId="0" fontId="0" fillId="0" borderId="0">
      <alignment vertical="center"/>
    </xf>
    <xf numFmtId="0" fontId="42" fillId="19" borderId="0" applyNumberFormat="0" applyBorder="0" applyAlignment="0" applyProtection="0">
      <alignment vertical="center"/>
    </xf>
    <xf numFmtId="0" fontId="45" fillId="21" borderId="0" applyNumberFormat="0" applyBorder="0" applyAlignment="0" applyProtection="0">
      <alignment vertical="center"/>
    </xf>
    <xf numFmtId="0" fontId="49" fillId="7" borderId="0" applyNumberFormat="0" applyBorder="0" applyAlignment="0" applyProtection="0"/>
    <xf numFmtId="0" fontId="30" fillId="0" borderId="0" applyNumberFormat="0" applyFill="0" applyBorder="0" applyAlignment="0" applyProtection="0">
      <alignment vertical="center"/>
    </xf>
    <xf numFmtId="0" fontId="41" fillId="7" borderId="0" applyNumberFormat="0" applyBorder="0" applyAlignment="0" applyProtection="0">
      <alignment vertical="center"/>
    </xf>
    <xf numFmtId="0" fontId="34" fillId="0" borderId="51" applyNumberFormat="0" applyFill="0" applyAlignment="0" applyProtection="0">
      <alignment vertical="center"/>
    </xf>
    <xf numFmtId="0" fontId="29" fillId="0" borderId="0" applyNumberFormat="0" applyFill="0" applyBorder="0" applyAlignment="0" applyProtection="0">
      <alignment vertical="center"/>
    </xf>
    <xf numFmtId="0" fontId="42" fillId="8" borderId="0" applyNumberFormat="0" applyBorder="0" applyAlignment="0" applyProtection="0">
      <alignment vertical="center"/>
    </xf>
    <xf numFmtId="0" fontId="0" fillId="0" borderId="0" applyFont="0" applyFill="0" applyBorder="0" applyAlignment="0" applyProtection="0"/>
    <xf numFmtId="0" fontId="44" fillId="10" borderId="0" applyNumberFormat="0" applyBorder="0" applyAlignment="0" applyProtection="0">
      <alignment vertical="center"/>
    </xf>
    <xf numFmtId="0" fontId="42" fillId="8" borderId="0" applyNumberFormat="0" applyBorder="0" applyAlignment="0" applyProtection="0">
      <alignment vertical="center"/>
    </xf>
    <xf numFmtId="0" fontId="0" fillId="3" borderId="48" applyNumberFormat="0" applyFont="0" applyAlignment="0" applyProtection="0">
      <alignment vertical="center"/>
    </xf>
    <xf numFmtId="0" fontId="41" fillId="7" borderId="0" applyNumberFormat="0" applyBorder="0" applyAlignment="0" applyProtection="0">
      <alignment vertical="center"/>
    </xf>
    <xf numFmtId="0" fontId="51" fillId="21" borderId="0" applyNumberFormat="0" applyBorder="0" applyAlignment="0" applyProtection="0">
      <alignment vertical="center"/>
    </xf>
    <xf numFmtId="0" fontId="0" fillId="3" borderId="48" applyNumberFormat="0" applyFont="0" applyAlignment="0" applyProtection="0">
      <alignment vertical="center"/>
    </xf>
    <xf numFmtId="0" fontId="41" fillId="7" borderId="0" applyNumberFormat="0" applyBorder="0" applyAlignment="0" applyProtection="0">
      <alignment vertical="center"/>
    </xf>
    <xf numFmtId="0" fontId="44" fillId="15" borderId="0" applyNumberFormat="0" applyBorder="0" applyAlignment="0" applyProtection="0">
      <alignment vertical="center"/>
    </xf>
    <xf numFmtId="0" fontId="41" fillId="21" borderId="0" applyNumberFormat="0" applyBorder="0" applyAlignment="0" applyProtection="0">
      <alignment vertical="center"/>
    </xf>
    <xf numFmtId="0" fontId="41" fillId="7" borderId="0" applyNumberFormat="0" applyBorder="0" applyAlignment="0" applyProtection="0">
      <alignment vertical="center"/>
    </xf>
    <xf numFmtId="0" fontId="49" fillId="3" borderId="0" applyNumberFormat="0" applyBorder="0" applyAlignment="0" applyProtection="0"/>
    <xf numFmtId="0" fontId="41" fillId="7" borderId="0" applyNumberFormat="0" applyBorder="0" applyAlignment="0" applyProtection="0">
      <alignment vertical="center"/>
    </xf>
    <xf numFmtId="0" fontId="45" fillId="23" borderId="0" applyNumberFormat="0" applyBorder="0" applyAlignment="0" applyProtection="0">
      <alignment vertical="center"/>
    </xf>
    <xf numFmtId="0" fontId="45" fillId="12" borderId="0" applyNumberFormat="0" applyBorder="0" applyAlignment="0" applyProtection="0">
      <alignment vertical="center"/>
    </xf>
    <xf numFmtId="0" fontId="37" fillId="5" borderId="52" applyNumberFormat="0" applyAlignment="0" applyProtection="0">
      <alignment vertical="center"/>
    </xf>
    <xf numFmtId="0" fontId="52" fillId="19" borderId="0" applyNumberFormat="0" applyBorder="0" applyAlignment="0" applyProtection="0">
      <alignment vertical="center"/>
    </xf>
    <xf numFmtId="0" fontId="39" fillId="0" borderId="55" applyNumberFormat="0" applyFill="0" applyAlignment="0" applyProtection="0">
      <alignment vertical="center"/>
    </xf>
    <xf numFmtId="0" fontId="58" fillId="8" borderId="0" applyNumberFormat="0" applyBorder="0" applyAlignment="0" applyProtection="0"/>
    <xf numFmtId="0" fontId="56" fillId="0" borderId="0"/>
    <xf numFmtId="0" fontId="45" fillId="11" borderId="0" applyNumberFormat="0" applyBorder="0" applyAlignment="0" applyProtection="0">
      <alignment vertical="center"/>
    </xf>
    <xf numFmtId="0" fontId="42" fillId="19" borderId="0" applyNumberFormat="0" applyBorder="0" applyAlignment="0" applyProtection="0">
      <alignment vertical="center"/>
    </xf>
    <xf numFmtId="0" fontId="41" fillId="7" borderId="0" applyNumberFormat="0" applyBorder="0" applyAlignment="0" applyProtection="0">
      <alignment vertical="center"/>
    </xf>
    <xf numFmtId="0" fontId="49" fillId="3" borderId="0" applyNumberFormat="0" applyBorder="0" applyAlignment="0" applyProtection="0"/>
    <xf numFmtId="0" fontId="42" fillId="8" borderId="0" applyNumberFormat="0" applyBorder="0" applyAlignment="0" applyProtection="0">
      <alignment vertical="center"/>
    </xf>
    <xf numFmtId="0" fontId="45" fillId="19" borderId="0" applyNumberFormat="0" applyBorder="0" applyAlignment="0" applyProtection="0">
      <alignment vertical="center"/>
    </xf>
    <xf numFmtId="0" fontId="42" fillId="8" borderId="0" applyNumberFormat="0" applyBorder="0" applyAlignment="0" applyProtection="0">
      <alignment vertical="center"/>
    </xf>
    <xf numFmtId="0" fontId="45" fillId="12" borderId="0" applyNumberFormat="0" applyBorder="0" applyAlignment="0" applyProtection="0">
      <alignment vertical="center"/>
    </xf>
    <xf numFmtId="0" fontId="49" fillId="3" borderId="0" applyNumberFormat="0" applyBorder="0" applyAlignment="0" applyProtection="0"/>
    <xf numFmtId="0" fontId="41" fillId="7" borderId="0" applyNumberFormat="0" applyBorder="0" applyAlignment="0" applyProtection="0">
      <alignment vertical="center"/>
    </xf>
    <xf numFmtId="0" fontId="42" fillId="19" borderId="0" applyNumberFormat="0" applyBorder="0" applyAlignment="0" applyProtection="0">
      <alignment vertical="center"/>
    </xf>
    <xf numFmtId="0" fontId="45" fillId="19" borderId="0" applyNumberFormat="0" applyBorder="0" applyAlignment="0" applyProtection="0">
      <alignment vertical="center"/>
    </xf>
    <xf numFmtId="0" fontId="28" fillId="0" borderId="0" applyNumberFormat="0" applyFill="0" applyBorder="0" applyAlignment="0" applyProtection="0">
      <alignment vertical="top"/>
      <protection locked="0"/>
    </xf>
    <xf numFmtId="0" fontId="30" fillId="0" borderId="0" applyNumberFormat="0" applyFill="0" applyBorder="0" applyAlignment="0" applyProtection="0">
      <alignment vertical="center"/>
    </xf>
    <xf numFmtId="0" fontId="52" fillId="19" borderId="0" applyNumberFormat="0" applyBorder="0" applyAlignment="0" applyProtection="0">
      <alignment vertical="center"/>
    </xf>
    <xf numFmtId="0" fontId="45" fillId="23" borderId="0" applyNumberFormat="0" applyBorder="0" applyAlignment="0" applyProtection="0">
      <alignment vertical="center"/>
    </xf>
    <xf numFmtId="0" fontId="50" fillId="7" borderId="0" applyNumberFormat="0" applyBorder="0" applyAlignment="0" applyProtection="0"/>
    <xf numFmtId="0" fontId="45" fillId="4" borderId="0" applyNumberFormat="0" applyBorder="0" applyAlignment="0" applyProtection="0">
      <alignment vertical="center"/>
    </xf>
    <xf numFmtId="0" fontId="44" fillId="17" borderId="0" applyNumberFormat="0" applyBorder="0" applyAlignment="0" applyProtection="0">
      <alignment vertical="center"/>
    </xf>
    <xf numFmtId="0" fontId="0" fillId="0" borderId="0"/>
    <xf numFmtId="0" fontId="42" fillId="8" borderId="0" applyNumberFormat="0" applyBorder="0" applyAlignment="0" applyProtection="0">
      <alignment vertical="center"/>
    </xf>
    <xf numFmtId="43" fontId="0" fillId="0" borderId="0" applyFont="0" applyFill="0" applyBorder="0" applyAlignment="0" applyProtection="0"/>
    <xf numFmtId="0" fontId="50" fillId="7" borderId="0" applyNumberFormat="0" applyBorder="0" applyAlignment="0" applyProtection="0"/>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4" fillId="24" borderId="0" applyNumberFormat="0" applyBorder="0" applyAlignment="0" applyProtection="0">
      <alignment vertical="center"/>
    </xf>
    <xf numFmtId="0" fontId="0" fillId="0" borderId="0"/>
    <xf numFmtId="0" fontId="46" fillId="17" borderId="0" applyNumberFormat="0" applyBorder="0" applyAlignment="0" applyProtection="0">
      <alignment vertical="center"/>
    </xf>
    <xf numFmtId="0" fontId="45" fillId="8" borderId="0" applyNumberFormat="0" applyBorder="0" applyAlignment="0" applyProtection="0">
      <alignment vertical="center"/>
    </xf>
    <xf numFmtId="0" fontId="45" fillId="8" borderId="0" applyNumberFormat="0" applyBorder="0" applyAlignment="0" applyProtection="0">
      <alignment vertical="center"/>
    </xf>
    <xf numFmtId="0" fontId="45" fillId="21"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37" fillId="5" borderId="52" applyNumberFormat="0" applyAlignment="0" applyProtection="0">
      <alignment vertical="center"/>
    </xf>
    <xf numFmtId="1" fontId="18" fillId="0" borderId="15">
      <alignment vertical="center"/>
      <protection locked="0"/>
    </xf>
    <xf numFmtId="0" fontId="53" fillId="12" borderId="0" applyNumberFormat="0" applyBorder="0" applyAlignment="0" applyProtection="0"/>
    <xf numFmtId="0" fontId="45" fillId="12" borderId="0" applyNumberFormat="0" applyBorder="0" applyAlignment="0" applyProtection="0">
      <alignment vertical="center"/>
    </xf>
    <xf numFmtId="0" fontId="44" fillId="15" borderId="0" applyNumberFormat="0" applyBorder="0" applyAlignment="0" applyProtection="0">
      <alignment vertical="center"/>
    </xf>
    <xf numFmtId="0" fontId="53" fillId="5" borderId="0" applyNumberFormat="0" applyBorder="0" applyAlignment="0" applyProtection="0"/>
    <xf numFmtId="0" fontId="51" fillId="21" borderId="0" applyNumberFormat="0" applyBorder="0" applyAlignment="0" applyProtection="0">
      <alignment vertical="center"/>
    </xf>
    <xf numFmtId="0" fontId="31" fillId="0" borderId="0" applyNumberFormat="0" applyFill="0" applyBorder="0" applyAlignment="0" applyProtection="0">
      <alignment vertical="center"/>
    </xf>
    <xf numFmtId="0" fontId="60" fillId="7" borderId="0" applyNumberFormat="0" applyBorder="0" applyAlignment="0" applyProtection="0">
      <alignment vertical="center"/>
    </xf>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4" fillId="15" borderId="0" applyNumberFormat="0" applyBorder="0" applyAlignment="0" applyProtection="0">
      <alignment vertical="center"/>
    </xf>
    <xf numFmtId="0" fontId="49" fillId="11" borderId="0" applyNumberFormat="0" applyBorder="0" applyAlignment="0" applyProtection="0"/>
    <xf numFmtId="0" fontId="44" fillId="17" borderId="0" applyNumberFormat="0" applyBorder="0" applyAlignment="0" applyProtection="0">
      <alignment vertical="center"/>
    </xf>
    <xf numFmtId="0" fontId="58" fillId="8" borderId="0" applyNumberFormat="0" applyBorder="0" applyAlignment="0" applyProtection="0"/>
    <xf numFmtId="0" fontId="52" fillId="19" borderId="0" applyNumberFormat="0" applyBorder="0" applyAlignment="0" applyProtection="0">
      <alignment vertical="center"/>
    </xf>
    <xf numFmtId="0" fontId="45" fillId="8" borderId="0" applyNumberFormat="0" applyBorder="0" applyAlignment="0" applyProtection="0">
      <alignment vertical="center"/>
    </xf>
    <xf numFmtId="0" fontId="59" fillId="21" borderId="0" applyNumberFormat="0" applyBorder="0" applyAlignment="0" applyProtection="0">
      <alignment vertical="center"/>
    </xf>
    <xf numFmtId="0" fontId="32" fillId="0" borderId="49" applyNumberFormat="0" applyFill="0" applyAlignment="0" applyProtection="0">
      <alignment vertical="center"/>
    </xf>
    <xf numFmtId="0" fontId="45" fillId="17" borderId="0" applyNumberFormat="0" applyBorder="0" applyAlignment="0" applyProtection="0">
      <alignment vertical="center"/>
    </xf>
    <xf numFmtId="0" fontId="45" fillId="8" borderId="0" applyNumberFormat="0" applyBorder="0" applyAlignment="0" applyProtection="0">
      <alignment vertical="center"/>
    </xf>
    <xf numFmtId="0" fontId="45" fillId="21" borderId="0" applyNumberFormat="0" applyBorder="0" applyAlignment="0" applyProtection="0">
      <alignment vertical="center"/>
    </xf>
    <xf numFmtId="0" fontId="53" fillId="25" borderId="0" applyNumberFormat="0" applyBorder="0" applyAlignment="0" applyProtection="0"/>
    <xf numFmtId="0" fontId="31" fillId="0" borderId="0" applyNumberFormat="0" applyFill="0" applyBorder="0" applyAlignment="0" applyProtection="0">
      <alignment vertical="center"/>
    </xf>
    <xf numFmtId="0" fontId="41" fillId="7" borderId="0" applyNumberFormat="0" applyBorder="0" applyAlignment="0" applyProtection="0">
      <alignment vertical="center"/>
    </xf>
    <xf numFmtId="0" fontId="45" fillId="0" borderId="0">
      <alignment vertical="center"/>
    </xf>
    <xf numFmtId="0" fontId="76" fillId="5" borderId="53" applyNumberFormat="0" applyAlignment="0" applyProtection="0">
      <alignment vertical="center"/>
    </xf>
    <xf numFmtId="0" fontId="44" fillId="20"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9" fontId="0" fillId="0" borderId="0" applyFont="0" applyFill="0" applyBorder="0" applyAlignment="0" applyProtection="0">
      <alignment vertical="center"/>
    </xf>
    <xf numFmtId="0" fontId="36" fillId="5" borderId="53" applyNumberFormat="0" applyAlignment="0" applyProtection="0">
      <alignment vertical="center"/>
    </xf>
    <xf numFmtId="0" fontId="50" fillId="21" borderId="0" applyNumberFormat="0" applyBorder="0" applyAlignment="0" applyProtection="0">
      <alignment vertical="center"/>
    </xf>
    <xf numFmtId="43" fontId="0" fillId="0" borderId="0" applyFont="0" applyFill="0" applyBorder="0" applyAlignment="0" applyProtection="0"/>
    <xf numFmtId="179" fontId="18" fillId="0" borderId="15">
      <alignment vertical="center"/>
      <protection locked="0"/>
    </xf>
    <xf numFmtId="0" fontId="0" fillId="0" borderId="0"/>
    <xf numFmtId="0" fontId="44" fillId="20" borderId="0" applyNumberFormat="0" applyBorder="0" applyAlignment="0" applyProtection="0">
      <alignment vertical="center"/>
    </xf>
    <xf numFmtId="0" fontId="47" fillId="15" borderId="0" applyNumberFormat="0" applyBorder="0" applyAlignment="0" applyProtection="0">
      <alignment vertical="center"/>
    </xf>
    <xf numFmtId="0" fontId="35" fillId="4" borderId="52" applyNumberFormat="0" applyAlignment="0" applyProtection="0">
      <alignment vertical="center"/>
    </xf>
    <xf numFmtId="0" fontId="45" fillId="19" borderId="0" applyNumberFormat="0" applyBorder="0" applyAlignment="0" applyProtection="0">
      <alignment vertical="center"/>
    </xf>
    <xf numFmtId="0" fontId="77" fillId="0" borderId="0">
      <protection locked="0"/>
    </xf>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42" fillId="8" borderId="0" applyNumberFormat="0" applyBorder="0" applyAlignment="0" applyProtection="0">
      <alignment vertical="center"/>
    </xf>
    <xf numFmtId="0" fontId="29" fillId="0" borderId="0" applyNumberFormat="0" applyFill="0" applyBorder="0" applyAlignment="0" applyProtection="0">
      <alignment vertical="center"/>
    </xf>
    <xf numFmtId="0" fontId="41" fillId="7" borderId="0" applyNumberFormat="0" applyBorder="0" applyAlignment="0" applyProtection="0">
      <alignment vertical="center"/>
    </xf>
    <xf numFmtId="0" fontId="45" fillId="23" borderId="0" applyNumberFormat="0" applyBorder="0" applyAlignment="0" applyProtection="0">
      <alignment vertical="center"/>
    </xf>
    <xf numFmtId="0" fontId="0" fillId="0" borderId="0"/>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50" fillId="21"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9" fontId="0" fillId="0" borderId="0" applyFont="0" applyFill="0" applyBorder="0" applyAlignment="0" applyProtection="0">
      <alignment vertical="center"/>
    </xf>
    <xf numFmtId="0" fontId="45" fillId="19" borderId="0" applyNumberFormat="0" applyBorder="0" applyAlignment="0" applyProtection="0">
      <alignment vertical="center"/>
    </xf>
    <xf numFmtId="0" fontId="41" fillId="7" borderId="0" applyNumberFormat="0" applyBorder="0" applyAlignment="0" applyProtection="0">
      <alignment vertical="center"/>
    </xf>
    <xf numFmtId="0" fontId="53" fillId="25" borderId="0" applyNumberFormat="0" applyBorder="0" applyAlignment="0" applyProtection="0"/>
    <xf numFmtId="0" fontId="45" fillId="19" borderId="0" applyNumberFormat="0" applyBorder="0" applyAlignment="0" applyProtection="0">
      <alignment vertical="center"/>
    </xf>
    <xf numFmtId="9" fontId="0" fillId="0" borderId="0" applyFont="0" applyFill="0" applyBorder="0" applyAlignment="0" applyProtection="0"/>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52" fillId="19" borderId="0" applyNumberFormat="0" applyBorder="0" applyAlignment="0" applyProtection="0">
      <alignment vertical="center"/>
    </xf>
    <xf numFmtId="0" fontId="53" fillId="6" borderId="0" applyNumberFormat="0" applyBorder="0" applyAlignment="0" applyProtection="0"/>
    <xf numFmtId="0" fontId="45" fillId="19" borderId="0" applyNumberFormat="0" applyBorder="0" applyAlignment="0" applyProtection="0">
      <alignment vertical="center"/>
    </xf>
    <xf numFmtId="0" fontId="36" fillId="5" borderId="53" applyNumberFormat="0" applyAlignment="0" applyProtection="0">
      <alignment vertical="center"/>
    </xf>
    <xf numFmtId="0" fontId="33" fillId="0" borderId="50" applyNumberFormat="0" applyFill="0" applyAlignment="0" applyProtection="0">
      <alignment vertical="center"/>
    </xf>
    <xf numFmtId="9" fontId="0" fillId="0" borderId="0" applyFont="0" applyFill="0" applyBorder="0" applyAlignment="0" applyProtection="0">
      <alignment vertical="center"/>
    </xf>
    <xf numFmtId="0" fontId="43" fillId="9" borderId="0" applyNumberFormat="0" applyBorder="0" applyAlignment="0" applyProtection="0">
      <alignment vertical="center"/>
    </xf>
    <xf numFmtId="0" fontId="41" fillId="7" borderId="0" applyNumberFormat="0" applyBorder="0" applyAlignment="0" applyProtection="0">
      <alignment vertical="center"/>
    </xf>
    <xf numFmtId="0" fontId="45" fillId="17" borderId="0" applyNumberFormat="0" applyBorder="0" applyAlignment="0" applyProtection="0">
      <alignment vertical="center"/>
    </xf>
    <xf numFmtId="0" fontId="45" fillId="15" borderId="0" applyNumberFormat="0" applyBorder="0" applyAlignment="0" applyProtection="0">
      <alignment vertical="center"/>
    </xf>
    <xf numFmtId="0" fontId="53" fillId="6" borderId="0" applyNumberFormat="0" applyBorder="0" applyAlignment="0" applyProtection="0"/>
    <xf numFmtId="0" fontId="52" fillId="19"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54" fillId="19" borderId="0" applyNumberFormat="0" applyBorder="0" applyAlignment="0" applyProtection="0">
      <alignment vertical="center"/>
    </xf>
    <xf numFmtId="0" fontId="53" fillId="6" borderId="0" applyNumberFormat="0" applyBorder="0" applyAlignment="0" applyProtection="0"/>
    <xf numFmtId="0" fontId="44" fillId="22" borderId="0" applyNumberFormat="0" applyBorder="0" applyAlignment="0" applyProtection="0">
      <alignment vertical="center"/>
    </xf>
    <xf numFmtId="0" fontId="52" fillId="19" borderId="0" applyNumberFormat="0" applyBorder="0" applyAlignment="0" applyProtection="0">
      <alignment vertical="center"/>
    </xf>
    <xf numFmtId="0" fontId="42" fillId="8" borderId="0" applyNumberFormat="0" applyBorder="0" applyAlignment="0" applyProtection="0">
      <alignment vertical="center"/>
    </xf>
    <xf numFmtId="0" fontId="35" fillId="4" borderId="52" applyNumberFormat="0" applyAlignment="0" applyProtection="0">
      <alignment vertical="center"/>
    </xf>
    <xf numFmtId="0" fontId="29" fillId="0" borderId="0" applyNumberFormat="0" applyFill="0" applyBorder="0" applyAlignment="0" applyProtection="0">
      <alignment vertical="center"/>
    </xf>
    <xf numFmtId="0" fontId="49" fillId="3" borderId="0" applyNumberFormat="0" applyBorder="0" applyAlignment="0" applyProtection="0"/>
    <xf numFmtId="0" fontId="44" fillId="18" borderId="0" applyNumberFormat="0" applyBorder="0" applyAlignment="0" applyProtection="0">
      <alignment vertical="center"/>
    </xf>
    <xf numFmtId="0" fontId="36" fillId="5" borderId="53" applyNumberFormat="0" applyAlignment="0" applyProtection="0">
      <alignment vertical="center"/>
    </xf>
    <xf numFmtId="0" fontId="53" fillId="29" borderId="0" applyNumberFormat="0" applyBorder="0" applyAlignment="0" applyProtection="0"/>
    <xf numFmtId="0" fontId="77" fillId="0" borderId="0"/>
    <xf numFmtId="0" fontId="44" fillId="18" borderId="0" applyNumberFormat="0" applyBorder="0" applyAlignment="0" applyProtection="0">
      <alignment vertical="center"/>
    </xf>
    <xf numFmtId="0" fontId="49" fillId="3" borderId="0" applyNumberFormat="0" applyBorder="0" applyAlignment="0" applyProtection="0"/>
    <xf numFmtId="0" fontId="42" fillId="8" borderId="0" applyNumberFormat="0" applyBorder="0" applyAlignment="0" applyProtection="0">
      <alignment vertical="center"/>
    </xf>
    <xf numFmtId="0" fontId="44" fillId="17" borderId="0" applyNumberFormat="0" applyBorder="0" applyAlignment="0" applyProtection="0">
      <alignment vertical="center"/>
    </xf>
    <xf numFmtId="0" fontId="33" fillId="0" borderId="50" applyNumberFormat="0" applyFill="0" applyAlignment="0" applyProtection="0">
      <alignment vertical="center"/>
    </xf>
    <xf numFmtId="0" fontId="41" fillId="7" borderId="0" applyNumberFormat="0" applyBorder="0" applyAlignment="0" applyProtection="0">
      <alignment vertical="center"/>
    </xf>
    <xf numFmtId="0" fontId="43" fillId="9" borderId="0" applyNumberFormat="0" applyBorder="0" applyAlignment="0" applyProtection="0">
      <alignment vertical="center"/>
    </xf>
    <xf numFmtId="0" fontId="44" fillId="18" borderId="0" applyNumberFormat="0" applyBorder="0" applyAlignment="0" applyProtection="0">
      <alignment vertical="center"/>
    </xf>
    <xf numFmtId="0" fontId="42" fillId="8" borderId="0" applyNumberFormat="0" applyBorder="0" applyAlignment="0" applyProtection="0">
      <alignment vertical="center"/>
    </xf>
    <xf numFmtId="0" fontId="52" fillId="19" borderId="0" applyNumberFormat="0" applyBorder="0" applyAlignment="0" applyProtection="0">
      <alignment vertical="center"/>
    </xf>
    <xf numFmtId="0" fontId="42" fillId="8" borderId="0" applyNumberFormat="0" applyBorder="0" applyAlignment="0" applyProtection="0">
      <alignment vertical="center"/>
    </xf>
    <xf numFmtId="0" fontId="0" fillId="0" borderId="0">
      <alignment vertical="center"/>
    </xf>
    <xf numFmtId="0" fontId="41" fillId="7" borderId="0" applyNumberFormat="0" applyBorder="0" applyAlignment="0" applyProtection="0">
      <alignment vertical="center"/>
    </xf>
    <xf numFmtId="0" fontId="40" fillId="0" borderId="56" applyNumberFormat="0" applyFill="0" applyAlignment="0" applyProtection="0">
      <alignment vertical="center"/>
    </xf>
    <xf numFmtId="0" fontId="49" fillId="3" borderId="0" applyNumberFormat="0" applyBorder="0" applyAlignment="0" applyProtection="0"/>
    <xf numFmtId="192" fontId="2" fillId="0" borderId="2" applyFill="0" applyProtection="0">
      <alignment horizontal="right"/>
    </xf>
    <xf numFmtId="0" fontId="44" fillId="17" borderId="0" applyNumberFormat="0" applyBorder="0" applyAlignment="0" applyProtection="0">
      <alignment vertical="center"/>
    </xf>
    <xf numFmtId="0" fontId="78" fillId="0" borderId="0"/>
    <xf numFmtId="0" fontId="53" fillId="29" borderId="0" applyNumberFormat="0" applyBorder="0" applyAlignment="0" applyProtection="0"/>
    <xf numFmtId="0" fontId="44" fillId="13" borderId="0" applyNumberFormat="0" applyBorder="0" applyAlignment="0" applyProtection="0">
      <alignment vertical="center"/>
    </xf>
    <xf numFmtId="0" fontId="45" fillId="23" borderId="0" applyNumberFormat="0" applyBorder="0" applyAlignment="0" applyProtection="0">
      <alignment vertical="center"/>
    </xf>
    <xf numFmtId="0" fontId="30" fillId="0" borderId="0" applyNumberFormat="0" applyFill="0" applyBorder="0" applyAlignment="0" applyProtection="0">
      <alignment vertical="center"/>
    </xf>
    <xf numFmtId="0" fontId="51" fillId="21" borderId="0" applyNumberFormat="0" applyBorder="0" applyAlignment="0" applyProtection="0">
      <alignment vertical="center"/>
    </xf>
    <xf numFmtId="0" fontId="54" fillId="8" borderId="0" applyNumberFormat="0" applyBorder="0" applyAlignment="0" applyProtection="0">
      <alignment vertical="center"/>
    </xf>
    <xf numFmtId="0" fontId="45" fillId="23" borderId="0" applyNumberFormat="0" applyBorder="0" applyAlignment="0" applyProtection="0">
      <alignment vertical="center"/>
    </xf>
    <xf numFmtId="0" fontId="41" fillId="7" borderId="0" applyNumberFormat="0" applyBorder="0" applyAlignment="0" applyProtection="0">
      <alignment vertical="center"/>
    </xf>
    <xf numFmtId="0" fontId="60" fillId="7" borderId="0" applyNumberFormat="0" applyBorder="0" applyAlignment="0" applyProtection="0">
      <alignment vertical="center"/>
    </xf>
    <xf numFmtId="0" fontId="30" fillId="0" borderId="0" applyNumberFormat="0" applyFill="0" applyBorder="0" applyAlignment="0" applyProtection="0">
      <alignment vertical="center"/>
    </xf>
    <xf numFmtId="0" fontId="51" fillId="21" borderId="0" applyNumberFormat="0" applyBorder="0" applyAlignment="0" applyProtection="0">
      <alignment vertical="center"/>
    </xf>
    <xf numFmtId="0" fontId="38" fillId="6" borderId="54" applyNumberFormat="0" applyAlignment="0" applyProtection="0">
      <alignment vertical="center"/>
    </xf>
    <xf numFmtId="0" fontId="45" fillId="23" borderId="0" applyNumberFormat="0" applyBorder="0" applyAlignment="0" applyProtection="0">
      <alignment vertical="center"/>
    </xf>
    <xf numFmtId="0" fontId="52" fillId="19" borderId="0" applyNumberFormat="0" applyBorder="0" applyAlignment="0" applyProtection="0">
      <alignment vertical="center"/>
    </xf>
    <xf numFmtId="9" fontId="0" fillId="0" borderId="0" applyFont="0" applyFill="0" applyBorder="0" applyAlignment="0" applyProtection="0"/>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1" fillId="21" borderId="0" applyNumberFormat="0" applyBorder="0" applyAlignment="0" applyProtection="0">
      <alignment vertical="center"/>
    </xf>
    <xf numFmtId="0" fontId="45" fillId="19" borderId="0" applyNumberFormat="0" applyBorder="0" applyAlignment="0" applyProtection="0">
      <alignment vertical="center"/>
    </xf>
    <xf numFmtId="0" fontId="48" fillId="0" borderId="0" applyNumberFormat="0" applyFill="0" applyBorder="0" applyAlignment="0" applyProtection="0"/>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45" fillId="19" borderId="0" applyNumberFormat="0" applyBorder="0" applyAlignment="0" applyProtection="0">
      <alignment vertical="center"/>
    </xf>
    <xf numFmtId="0" fontId="41" fillId="7" borderId="0" applyNumberFormat="0" applyBorder="0" applyAlignment="0" applyProtection="0">
      <alignment vertical="center"/>
    </xf>
    <xf numFmtId="0" fontId="42" fillId="19" borderId="0" applyNumberFormat="0" applyBorder="0" applyAlignment="0" applyProtection="0">
      <alignment vertical="center"/>
    </xf>
    <xf numFmtId="0" fontId="42" fillId="8" borderId="0" applyNumberFormat="0" applyBorder="0" applyAlignment="0" applyProtection="0">
      <alignment vertical="center"/>
    </xf>
    <xf numFmtId="41" fontId="0" fillId="0" borderId="0" applyFont="0" applyFill="0" applyBorder="0" applyAlignment="0" applyProtection="0"/>
    <xf numFmtId="0" fontId="77" fillId="0" borderId="0"/>
    <xf numFmtId="0" fontId="44" fillId="17" borderId="0" applyNumberFormat="0" applyBorder="0" applyAlignment="0" applyProtection="0">
      <alignment vertical="center"/>
    </xf>
    <xf numFmtId="0" fontId="29" fillId="0" borderId="0" applyNumberFormat="0" applyFill="0" applyBorder="0" applyAlignment="0" applyProtection="0">
      <alignment vertical="center"/>
    </xf>
    <xf numFmtId="0" fontId="53" fillId="20" borderId="0" applyNumberFormat="0" applyBorder="0" applyAlignment="0" applyProtection="0"/>
    <xf numFmtId="0" fontId="45" fillId="15" borderId="0" applyNumberFormat="0" applyBorder="0" applyAlignment="0" applyProtection="0">
      <alignment vertical="center"/>
    </xf>
    <xf numFmtId="0" fontId="42" fillId="8" borderId="0" applyNumberFormat="0" applyBorder="0" applyAlignment="0" applyProtection="0">
      <alignment vertical="center"/>
    </xf>
    <xf numFmtId="9" fontId="0" fillId="0" borderId="0" applyFont="0" applyFill="0" applyBorder="0" applyAlignment="0" applyProtection="0">
      <alignment vertical="center"/>
    </xf>
    <xf numFmtId="0" fontId="45" fillId="7" borderId="0" applyNumberFormat="0" applyBorder="0" applyAlignment="0" applyProtection="0">
      <alignment vertical="center"/>
    </xf>
    <xf numFmtId="0" fontId="0" fillId="0" borderId="0"/>
    <xf numFmtId="0" fontId="32" fillId="0" borderId="49" applyNumberFormat="0" applyFill="0" applyAlignment="0" applyProtection="0">
      <alignment vertical="center"/>
    </xf>
    <xf numFmtId="0" fontId="51" fillId="21" borderId="0" applyNumberFormat="0" applyBorder="0" applyAlignment="0" applyProtection="0">
      <alignment vertical="center"/>
    </xf>
    <xf numFmtId="0" fontId="42" fillId="19" borderId="0" applyNumberFormat="0" applyBorder="0" applyAlignment="0" applyProtection="0">
      <alignment vertical="center"/>
    </xf>
    <xf numFmtId="0" fontId="45" fillId="19" borderId="0" applyNumberFormat="0" applyBorder="0" applyAlignment="0" applyProtection="0">
      <alignment vertical="center"/>
    </xf>
    <xf numFmtId="0" fontId="56" fillId="0" borderId="0"/>
    <xf numFmtId="0" fontId="35" fillId="4" borderId="52" applyNumberFormat="0" applyAlignment="0" applyProtection="0">
      <alignment vertical="center"/>
    </xf>
    <xf numFmtId="0" fontId="45" fillId="11" borderId="0" applyNumberFormat="0" applyBorder="0" applyAlignment="0" applyProtection="0">
      <alignment vertical="center"/>
    </xf>
    <xf numFmtId="0" fontId="49" fillId="3" borderId="0" applyNumberFormat="0" applyBorder="0" applyAlignment="0" applyProtection="0"/>
    <xf numFmtId="0" fontId="51" fillId="7" borderId="0" applyNumberFormat="0" applyBorder="0" applyAlignment="0" applyProtection="0">
      <alignment vertical="center"/>
    </xf>
    <xf numFmtId="0" fontId="44" fillId="14" borderId="0" applyNumberFormat="0" applyBorder="0" applyAlignment="0" applyProtection="0">
      <alignment vertical="center"/>
    </xf>
    <xf numFmtId="0" fontId="41" fillId="21" borderId="0" applyNumberFormat="0" applyBorder="0" applyAlignment="0" applyProtection="0">
      <alignment vertical="center"/>
    </xf>
    <xf numFmtId="9" fontId="0" fillId="0" borderId="0" applyFont="0" applyFill="0" applyBorder="0" applyAlignment="0" applyProtection="0">
      <alignment vertical="center"/>
    </xf>
    <xf numFmtId="0" fontId="45" fillId="17" borderId="0" applyNumberFormat="0" applyBorder="0" applyAlignment="0" applyProtection="0">
      <alignment vertical="center"/>
    </xf>
    <xf numFmtId="0" fontId="32" fillId="0" borderId="49" applyNumberFormat="0" applyFill="0" applyAlignment="0" applyProtection="0">
      <alignment vertical="center"/>
    </xf>
    <xf numFmtId="0" fontId="53" fillId="12" borderId="0" applyNumberFormat="0" applyBorder="0" applyAlignment="0" applyProtection="0"/>
    <xf numFmtId="0" fontId="44" fillId="24" borderId="0" applyNumberFormat="0" applyBorder="0" applyAlignment="0" applyProtection="0">
      <alignment vertical="center"/>
    </xf>
    <xf numFmtId="0" fontId="42" fillId="8" borderId="0" applyNumberFormat="0" applyBorder="0" applyAlignment="0" applyProtection="0">
      <alignment vertical="center"/>
    </xf>
    <xf numFmtId="0" fontId="0" fillId="0" borderId="0"/>
    <xf numFmtId="0" fontId="79" fillId="0" borderId="1">
      <alignment horizontal="center"/>
    </xf>
    <xf numFmtId="0" fontId="0" fillId="0" borderId="0"/>
    <xf numFmtId="0" fontId="0" fillId="0" borderId="0"/>
    <xf numFmtId="0" fontId="42" fillId="8" borderId="0" applyNumberFormat="0" applyBorder="0" applyAlignment="0" applyProtection="0">
      <alignment vertical="center"/>
    </xf>
    <xf numFmtId="0" fontId="45" fillId="11" borderId="0" applyNumberFormat="0" applyBorder="0" applyAlignment="0" applyProtection="0">
      <alignment vertical="center"/>
    </xf>
    <xf numFmtId="0" fontId="43" fillId="9" borderId="0" applyNumberFormat="0" applyBorder="0" applyAlignment="0" applyProtection="0">
      <alignment vertical="center"/>
    </xf>
    <xf numFmtId="0" fontId="42" fillId="8" borderId="0" applyNumberFormat="0" applyBorder="0" applyAlignment="0" applyProtection="0">
      <alignment vertical="center"/>
    </xf>
    <xf numFmtId="0" fontId="51" fillId="21" borderId="0" applyNumberFormat="0" applyBorder="0" applyAlignment="0" applyProtection="0">
      <alignment vertical="center"/>
    </xf>
    <xf numFmtId="0" fontId="47" fillId="19" borderId="0" applyNumberFormat="0" applyBorder="0" applyAlignment="0" applyProtection="0">
      <alignment vertical="center"/>
    </xf>
    <xf numFmtId="0" fontId="52" fillId="19" borderId="0" applyNumberFormat="0" applyBorder="0" applyAlignment="0" applyProtection="0">
      <alignment vertical="center"/>
    </xf>
    <xf numFmtId="0" fontId="54" fillId="19" borderId="0" applyNumberFormat="0" applyBorder="0" applyAlignment="0" applyProtection="0">
      <alignment vertical="center"/>
    </xf>
    <xf numFmtId="0" fontId="42" fillId="8" borderId="0" applyNumberFormat="0" applyBorder="0" applyAlignment="0" applyProtection="0">
      <alignment vertical="center"/>
    </xf>
    <xf numFmtId="0" fontId="41" fillId="21" borderId="0" applyNumberFormat="0" applyBorder="0" applyAlignment="0" applyProtection="0">
      <alignment vertical="center"/>
    </xf>
    <xf numFmtId="0" fontId="38" fillId="6" borderId="54" applyNumberFormat="0" applyAlignment="0" applyProtection="0">
      <alignment vertical="center"/>
    </xf>
    <xf numFmtId="0" fontId="49" fillId="4" borderId="0" applyNumberFormat="0" applyBorder="0" applyAlignment="0" applyProtection="0"/>
    <xf numFmtId="0" fontId="0" fillId="0" borderId="0">
      <alignment vertical="center"/>
    </xf>
    <xf numFmtId="0" fontId="42" fillId="8" borderId="0" applyNumberFormat="0" applyBorder="0" applyAlignment="0" applyProtection="0">
      <alignment vertical="center"/>
    </xf>
    <xf numFmtId="0" fontId="30" fillId="0" borderId="0" applyNumberFormat="0" applyFill="0" applyBorder="0" applyAlignment="0" applyProtection="0">
      <alignment vertical="center"/>
    </xf>
    <xf numFmtId="0" fontId="54" fillId="19" borderId="0" applyNumberFormat="0" applyBorder="0" applyAlignment="0" applyProtection="0">
      <alignment vertical="center"/>
    </xf>
    <xf numFmtId="0" fontId="31" fillId="0" borderId="0" applyNumberFormat="0" applyFill="0" applyBorder="0" applyAlignment="0" applyProtection="0">
      <alignment vertical="center"/>
    </xf>
    <xf numFmtId="0" fontId="53" fillId="6" borderId="0" applyNumberFormat="0" applyBorder="0" applyAlignment="0" applyProtection="0"/>
    <xf numFmtId="0" fontId="44" fillId="17" borderId="0" applyNumberFormat="0" applyBorder="0" applyAlignment="0" applyProtection="0">
      <alignment vertical="center"/>
    </xf>
    <xf numFmtId="0" fontId="36" fillId="5" borderId="53" applyNumberFormat="0" applyAlignment="0" applyProtection="0">
      <alignment vertical="center"/>
    </xf>
    <xf numFmtId="0" fontId="0" fillId="0" borderId="0">
      <alignment vertical="center"/>
    </xf>
    <xf numFmtId="0" fontId="42" fillId="8" borderId="0" applyNumberFormat="0" applyBorder="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53" fillId="12" borderId="0" applyNumberFormat="0" applyBorder="0" applyAlignment="0" applyProtection="0"/>
    <xf numFmtId="0" fontId="36" fillId="5" borderId="53" applyNumberFormat="0" applyAlignment="0" applyProtection="0">
      <alignment vertical="center"/>
    </xf>
    <xf numFmtId="0" fontId="44" fillId="24"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34" fillId="0" borderId="51" applyNumberFormat="0" applyFill="0" applyAlignment="0" applyProtection="0">
      <alignment vertical="center"/>
    </xf>
    <xf numFmtId="0" fontId="31" fillId="0" borderId="0" applyNumberFormat="0" applyFill="0" applyBorder="0" applyAlignment="0" applyProtection="0">
      <alignment vertical="center"/>
    </xf>
    <xf numFmtId="0" fontId="42" fillId="19" borderId="0" applyNumberFormat="0" applyBorder="0" applyAlignment="0" applyProtection="0">
      <alignment vertical="center"/>
    </xf>
    <xf numFmtId="0" fontId="0" fillId="0" borderId="0"/>
    <xf numFmtId="0" fontId="44" fillId="24" borderId="0" applyNumberFormat="0" applyBorder="0" applyAlignment="0" applyProtection="0">
      <alignment vertical="center"/>
    </xf>
    <xf numFmtId="0" fontId="49" fillId="21" borderId="0" applyNumberFormat="0" applyBorder="0" applyAlignment="0" applyProtection="0"/>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45" fillId="19" borderId="0" applyNumberFormat="0" applyBorder="0" applyAlignment="0" applyProtection="0">
      <alignment vertical="center"/>
    </xf>
    <xf numFmtId="0" fontId="30" fillId="0" borderId="0" applyNumberFormat="0" applyFill="0" applyBorder="0" applyAlignment="0" applyProtection="0">
      <alignment vertical="center"/>
    </xf>
    <xf numFmtId="0" fontId="49" fillId="7" borderId="0" applyNumberFormat="0" applyBorder="0" applyAlignment="0" applyProtection="0"/>
    <xf numFmtId="0" fontId="0" fillId="3" borderId="48" applyNumberFormat="0" applyFont="0" applyAlignment="0" applyProtection="0">
      <alignment vertical="center"/>
    </xf>
    <xf numFmtId="0" fontId="42" fillId="19" borderId="0" applyNumberFormat="0" applyBorder="0" applyAlignment="0" applyProtection="0">
      <alignment vertical="center"/>
    </xf>
    <xf numFmtId="0" fontId="45" fillId="17"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37" fillId="5" borderId="52" applyNumberFormat="0" applyAlignment="0" applyProtection="0">
      <alignment vertical="center"/>
    </xf>
    <xf numFmtId="0" fontId="53" fillId="12" borderId="0" applyNumberFormat="0" applyBorder="0" applyAlignment="0" applyProtection="0"/>
    <xf numFmtId="1" fontId="18" fillId="0" borderId="15">
      <alignment vertical="center"/>
      <protection locked="0"/>
    </xf>
    <xf numFmtId="0" fontId="33" fillId="0" borderId="50" applyNumberFormat="0" applyFill="0" applyAlignment="0" applyProtection="0">
      <alignment vertical="center"/>
    </xf>
    <xf numFmtId="0" fontId="38" fillId="6" borderId="54" applyNumberFormat="0" applyAlignment="0" applyProtection="0">
      <alignment vertical="center"/>
    </xf>
    <xf numFmtId="0" fontId="33" fillId="0" borderId="50" applyNumberFormat="0" applyFill="0" applyAlignment="0" applyProtection="0">
      <alignment vertical="center"/>
    </xf>
    <xf numFmtId="179" fontId="18" fillId="0" borderId="15">
      <alignment vertical="center"/>
      <protection locked="0"/>
    </xf>
    <xf numFmtId="0" fontId="71" fillId="0" borderId="0"/>
    <xf numFmtId="0" fontId="44" fillId="17" borderId="0" applyNumberFormat="0" applyBorder="0" applyAlignment="0" applyProtection="0">
      <alignment vertical="center"/>
    </xf>
    <xf numFmtId="0" fontId="45" fillId="7" borderId="0" applyNumberFormat="0" applyBorder="0" applyAlignment="0" applyProtection="0">
      <alignment vertical="center"/>
    </xf>
    <xf numFmtId="0" fontId="50" fillId="21" borderId="0" applyNumberFormat="0" applyBorder="0" applyAlignment="0" applyProtection="0">
      <alignment vertical="center"/>
    </xf>
    <xf numFmtId="0" fontId="53" fillId="24" borderId="0" applyNumberFormat="0" applyBorder="0" applyAlignment="0" applyProtection="0"/>
    <xf numFmtId="0" fontId="53" fillId="20" borderId="0" applyNumberFormat="0" applyBorder="0" applyAlignment="0" applyProtection="0"/>
    <xf numFmtId="0" fontId="45" fillId="8" borderId="0" applyNumberFormat="0" applyBorder="0" applyAlignment="0" applyProtection="0">
      <alignment vertical="center"/>
    </xf>
    <xf numFmtId="0" fontId="49" fillId="5" borderId="0" applyNumberFormat="0" applyBorder="0" applyAlignment="0" applyProtection="0"/>
    <xf numFmtId="0" fontId="29" fillId="0" borderId="0" applyNumberFormat="0" applyFill="0" applyBorder="0" applyAlignment="0" applyProtection="0">
      <alignment vertical="center"/>
    </xf>
    <xf numFmtId="0" fontId="44" fillId="17" borderId="0" applyNumberFormat="0" applyBorder="0" applyAlignment="0" applyProtection="0">
      <alignment vertical="center"/>
    </xf>
    <xf numFmtId="43" fontId="0" fillId="0" borderId="0" applyFont="0" applyFill="0" applyBorder="0" applyAlignment="0" applyProtection="0"/>
    <xf numFmtId="0" fontId="80" fillId="0" borderId="0"/>
    <xf numFmtId="0" fontId="45" fillId="17" borderId="0" applyNumberFormat="0" applyBorder="0" applyAlignment="0" applyProtection="0">
      <alignment vertical="center"/>
    </xf>
    <xf numFmtId="0" fontId="49" fillId="3" borderId="0" applyNumberFormat="0" applyBorder="0" applyAlignment="0" applyProtection="0"/>
    <xf numFmtId="0" fontId="34" fillId="0" borderId="0" applyNumberFormat="0" applyFill="0" applyBorder="0" applyAlignment="0" applyProtection="0">
      <alignment vertical="center"/>
    </xf>
    <xf numFmtId="0" fontId="42" fillId="8" borderId="0" applyNumberFormat="0" applyBorder="0" applyAlignment="0" applyProtection="0">
      <alignment vertical="center"/>
    </xf>
    <xf numFmtId="0" fontId="34" fillId="0" borderId="0" applyNumberFormat="0" applyFill="0" applyBorder="0" applyAlignment="0" applyProtection="0">
      <alignment vertical="center"/>
    </xf>
    <xf numFmtId="0" fontId="56" fillId="0" borderId="0"/>
    <xf numFmtId="0" fontId="35" fillId="4" borderId="52" applyNumberFormat="0" applyAlignment="0" applyProtection="0">
      <alignment vertical="center"/>
    </xf>
    <xf numFmtId="0" fontId="53" fillId="25" borderId="0" applyNumberFormat="0" applyBorder="0" applyAlignment="0" applyProtection="0"/>
    <xf numFmtId="41" fontId="0" fillId="0" borderId="0" applyFont="0" applyFill="0" applyBorder="0" applyAlignment="0" applyProtection="0">
      <alignment vertical="center"/>
    </xf>
    <xf numFmtId="0" fontId="41" fillId="21" borderId="0" applyNumberFormat="0" applyBorder="0" applyAlignment="0" applyProtection="0">
      <alignment vertical="center"/>
    </xf>
    <xf numFmtId="0" fontId="28" fillId="0" borderId="0" applyNumberFormat="0" applyFill="0" applyBorder="0" applyAlignment="0" applyProtection="0">
      <alignment vertical="top"/>
      <protection locked="0"/>
    </xf>
    <xf numFmtId="0" fontId="53" fillId="25" borderId="0" applyNumberFormat="0" applyBorder="0" applyAlignment="0" applyProtection="0"/>
    <xf numFmtId="0" fontId="45" fillId="19"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39" fillId="0" borderId="55" applyNumberFormat="0" applyFill="0" applyAlignment="0" applyProtection="0">
      <alignment vertical="center"/>
    </xf>
    <xf numFmtId="0" fontId="41" fillId="7" borderId="0" applyNumberFormat="0" applyBorder="0" applyAlignment="0" applyProtection="0">
      <alignment vertical="center"/>
    </xf>
    <xf numFmtId="0" fontId="44" fillId="10" borderId="0" applyNumberFormat="0" applyBorder="0" applyAlignment="0" applyProtection="0">
      <alignment vertical="center"/>
    </xf>
    <xf numFmtId="0" fontId="42" fillId="19" borderId="0" applyNumberFormat="0" applyBorder="0" applyAlignment="0" applyProtection="0">
      <alignment vertical="center"/>
    </xf>
    <xf numFmtId="0" fontId="45" fillId="19" borderId="0" applyNumberFormat="0" applyBorder="0" applyAlignment="0" applyProtection="0">
      <alignment vertical="center"/>
    </xf>
    <xf numFmtId="0" fontId="33" fillId="0" borderId="50" applyNumberFormat="0" applyFill="0" applyAlignment="0" applyProtection="0">
      <alignment vertical="center"/>
    </xf>
    <xf numFmtId="0" fontId="49" fillId="5" borderId="0" applyNumberFormat="0" applyBorder="0" applyAlignment="0" applyProtection="0"/>
    <xf numFmtId="0" fontId="50" fillId="21" borderId="0" applyNumberFormat="0" applyBorder="0" applyAlignment="0" applyProtection="0">
      <alignment vertical="center"/>
    </xf>
    <xf numFmtId="0" fontId="30" fillId="0" borderId="0" applyNumberFormat="0" applyFill="0" applyBorder="0" applyAlignment="0" applyProtection="0">
      <alignment vertical="center"/>
    </xf>
    <xf numFmtId="0" fontId="45" fillId="7" borderId="0" applyNumberFormat="0" applyBorder="0" applyAlignment="0" applyProtection="0">
      <alignment vertical="center"/>
    </xf>
    <xf numFmtId="0" fontId="45" fillId="19" borderId="0" applyNumberFormat="0" applyBorder="0" applyAlignment="0" applyProtection="0">
      <alignment vertical="center"/>
    </xf>
    <xf numFmtId="0" fontId="32" fillId="0" borderId="49" applyNumberFormat="0" applyFill="0" applyAlignment="0" applyProtection="0">
      <alignment vertical="center"/>
    </xf>
    <xf numFmtId="0" fontId="54" fillId="19" borderId="0" applyNumberFormat="0" applyBorder="0" applyAlignment="0" applyProtection="0">
      <alignment vertical="center"/>
    </xf>
    <xf numFmtId="0" fontId="53" fillId="29" borderId="0" applyNumberFormat="0" applyBorder="0" applyAlignment="0" applyProtection="0"/>
    <xf numFmtId="0" fontId="45" fillId="15" borderId="0" applyNumberFormat="0" applyBorder="0" applyAlignment="0" applyProtection="0">
      <alignment vertical="center"/>
    </xf>
    <xf numFmtId="43" fontId="0" fillId="0" borderId="0" applyFont="0" applyFill="0" applyBorder="0" applyAlignment="0" applyProtection="0"/>
    <xf numFmtId="0" fontId="44" fillId="16"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81" fillId="30" borderId="5">
      <protection locked="0"/>
    </xf>
    <xf numFmtId="0" fontId="42" fillId="8" borderId="0" applyNumberFormat="0" applyBorder="0" applyAlignment="0" applyProtection="0">
      <alignment vertical="center"/>
    </xf>
    <xf numFmtId="0" fontId="0" fillId="3" borderId="48" applyNumberFormat="0" applyFont="0" applyAlignment="0" applyProtection="0">
      <alignment vertical="center"/>
    </xf>
    <xf numFmtId="0" fontId="54" fillId="19" borderId="0" applyNumberFormat="0" applyBorder="0" applyAlignment="0" applyProtection="0">
      <alignment vertical="center"/>
    </xf>
    <xf numFmtId="0" fontId="59" fillId="21" borderId="0" applyNumberFormat="0" applyBorder="0" applyAlignment="0" applyProtection="0">
      <alignment vertical="center"/>
    </xf>
    <xf numFmtId="0" fontId="61" fillId="19" borderId="0" applyNumberFormat="0" applyBorder="0" applyAlignment="0" applyProtection="0">
      <alignment vertical="center"/>
    </xf>
    <xf numFmtId="0" fontId="30" fillId="0" borderId="0" applyNumberFormat="0" applyFill="0" applyBorder="0" applyAlignment="0" applyProtection="0">
      <alignment vertical="center"/>
    </xf>
    <xf numFmtId="0" fontId="41" fillId="7" borderId="0" applyNumberFormat="0" applyBorder="0" applyAlignment="0" applyProtection="0">
      <alignment vertical="center"/>
    </xf>
    <xf numFmtId="0" fontId="34" fillId="0" borderId="51" applyNumberFormat="0" applyFill="0" applyAlignment="0" applyProtection="0">
      <alignment vertical="center"/>
    </xf>
    <xf numFmtId="0" fontId="41" fillId="7" borderId="0" applyNumberFormat="0" applyBorder="0" applyAlignment="0" applyProtection="0">
      <alignment vertical="center"/>
    </xf>
    <xf numFmtId="0" fontId="37" fillId="5" borderId="52" applyNumberFormat="0" applyAlignment="0" applyProtection="0">
      <alignment vertical="center"/>
    </xf>
    <xf numFmtId="0" fontId="44" fillId="10"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54" fillId="19" borderId="0" applyNumberFormat="0" applyBorder="0" applyAlignment="0" applyProtection="0">
      <alignment vertical="center"/>
    </xf>
    <xf numFmtId="0" fontId="61" fillId="19" borderId="0" applyNumberFormat="0" applyBorder="0" applyAlignment="0" applyProtection="0">
      <alignment vertical="center"/>
    </xf>
    <xf numFmtId="43" fontId="0" fillId="0" borderId="0" applyFont="0" applyFill="0" applyBorder="0" applyAlignment="0" applyProtection="0"/>
    <xf numFmtId="0" fontId="42" fillId="8" borderId="0" applyNumberFormat="0" applyBorder="0" applyAlignment="0" applyProtection="0">
      <alignment vertical="center"/>
    </xf>
    <xf numFmtId="0" fontId="37" fillId="5" borderId="52" applyNumberFormat="0" applyAlignment="0" applyProtection="0">
      <alignment vertical="center"/>
    </xf>
    <xf numFmtId="0" fontId="45" fillId="23" borderId="0" applyNumberFormat="0" applyBorder="0" applyAlignment="0" applyProtection="0">
      <alignment vertical="center"/>
    </xf>
    <xf numFmtId="0" fontId="45" fillId="15" borderId="0" applyNumberFormat="0" applyBorder="0" applyAlignment="0" applyProtection="0">
      <alignment vertical="center"/>
    </xf>
    <xf numFmtId="0" fontId="51" fillId="21" borderId="0" applyNumberFormat="0" applyBorder="0" applyAlignment="0" applyProtection="0">
      <alignment vertical="center"/>
    </xf>
    <xf numFmtId="0" fontId="44" fillId="18" borderId="0" applyNumberFormat="0" applyBorder="0" applyAlignment="0" applyProtection="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0" fillId="0" borderId="0"/>
    <xf numFmtId="0" fontId="42" fillId="8" borderId="0" applyNumberFormat="0" applyBorder="0" applyAlignment="0" applyProtection="0">
      <alignment vertical="center"/>
    </xf>
    <xf numFmtId="0" fontId="45" fillId="8" borderId="0" applyNumberFormat="0" applyBorder="0" applyAlignment="0" applyProtection="0">
      <alignment vertical="center"/>
    </xf>
    <xf numFmtId="0" fontId="31" fillId="0" borderId="0" applyNumberFormat="0" applyFill="0" applyBorder="0" applyAlignment="0" applyProtection="0">
      <alignment vertical="center"/>
    </xf>
    <xf numFmtId="0" fontId="45" fillId="19" borderId="0" applyNumberFormat="0" applyBorder="0" applyAlignment="0" applyProtection="0">
      <alignment vertical="center"/>
    </xf>
    <xf numFmtId="0" fontId="51" fillId="7" borderId="0" applyNumberFormat="0" applyBorder="0" applyAlignment="0" applyProtection="0">
      <alignment vertical="center"/>
    </xf>
    <xf numFmtId="0" fontId="33" fillId="0" borderId="50" applyNumberFormat="0" applyFill="0" applyAlignment="0" applyProtection="0">
      <alignment vertical="center"/>
    </xf>
    <xf numFmtId="0" fontId="42" fillId="19" borderId="0" applyNumberFormat="0" applyBorder="0" applyAlignment="0" applyProtection="0">
      <alignment vertical="center"/>
    </xf>
    <xf numFmtId="0" fontId="44" fillId="22" borderId="0" applyNumberFormat="0" applyBorder="0" applyAlignment="0" applyProtection="0">
      <alignment vertical="center"/>
    </xf>
    <xf numFmtId="0" fontId="53" fillId="29" borderId="0" applyNumberFormat="0" applyBorder="0" applyAlignment="0" applyProtection="0"/>
    <xf numFmtId="0" fontId="44" fillId="13" borderId="0" applyNumberFormat="0" applyBorder="0" applyAlignment="0" applyProtection="0">
      <alignment vertical="center"/>
    </xf>
    <xf numFmtId="0" fontId="45" fillId="23" borderId="0" applyNumberFormat="0" applyBorder="0" applyAlignment="0" applyProtection="0">
      <alignment vertical="center"/>
    </xf>
    <xf numFmtId="0" fontId="44" fillId="14" borderId="0" applyNumberFormat="0" applyBorder="0" applyAlignment="0" applyProtection="0">
      <alignment vertical="center"/>
    </xf>
    <xf numFmtId="0" fontId="50" fillId="7" borderId="0" applyNumberFormat="0" applyBorder="0" applyAlignment="0" applyProtection="0"/>
    <xf numFmtId="0" fontId="53" fillId="25" borderId="0" applyNumberFormat="0" applyBorder="0" applyAlignment="0" applyProtection="0"/>
    <xf numFmtId="41" fontId="0" fillId="0" borderId="0" applyFont="0" applyFill="0" applyBorder="0" applyAlignment="0" applyProtection="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40" fillId="0" borderId="56" applyNumberFormat="0" applyFill="0" applyAlignment="0" applyProtection="0">
      <alignment vertical="center"/>
    </xf>
    <xf numFmtId="0" fontId="60" fillId="7" borderId="0" applyNumberFormat="0" applyBorder="0" applyAlignment="0" applyProtection="0">
      <alignment vertical="center"/>
    </xf>
    <xf numFmtId="0" fontId="44" fillId="20" borderId="0" applyNumberFormat="0" applyBorder="0" applyAlignment="0" applyProtection="0">
      <alignment vertical="center"/>
    </xf>
    <xf numFmtId="0" fontId="41" fillId="7" borderId="0" applyNumberFormat="0" applyBorder="0" applyAlignment="0" applyProtection="0">
      <alignment vertical="center"/>
    </xf>
    <xf numFmtId="4" fontId="0" fillId="0" borderId="0" applyFont="0" applyFill="0" applyBorder="0" applyAlignment="0" applyProtection="0"/>
    <xf numFmtId="0" fontId="42" fillId="8" borderId="0" applyNumberFormat="0" applyBorder="0" applyAlignment="0" applyProtection="0">
      <alignment vertical="center"/>
    </xf>
    <xf numFmtId="43" fontId="0" fillId="0" borderId="0" applyFont="0" applyFill="0" applyBorder="0" applyAlignment="0" applyProtection="0"/>
    <xf numFmtId="9" fontId="0" fillId="0" borderId="0" applyFont="0" applyFill="0" applyBorder="0" applyAlignment="0" applyProtection="0"/>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31" fillId="0" borderId="0" applyNumberFormat="0" applyFill="0" applyBorder="0" applyAlignment="0" applyProtection="0">
      <alignment vertical="center"/>
    </xf>
    <xf numFmtId="0" fontId="53" fillId="6" borderId="0" applyNumberFormat="0" applyBorder="0" applyAlignment="0" applyProtection="0"/>
    <xf numFmtId="0" fontId="45"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41" fillId="7" borderId="0" applyNumberFormat="0" applyBorder="0" applyAlignment="0" applyProtection="0">
      <alignment vertical="center"/>
    </xf>
    <xf numFmtId="0" fontId="58" fillId="8" borderId="0" applyNumberFormat="0" applyBorder="0" applyAlignment="0" applyProtection="0"/>
    <xf numFmtId="0" fontId="50" fillId="7" borderId="0" applyNumberFormat="0" applyBorder="0" applyAlignment="0" applyProtection="0"/>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4" fillId="22" borderId="0" applyNumberFormat="0" applyBorder="0" applyAlignment="0" applyProtection="0">
      <alignment vertical="center"/>
    </xf>
    <xf numFmtId="0" fontId="0" fillId="3" borderId="48" applyNumberFormat="0" applyFont="0" applyAlignment="0" applyProtection="0">
      <alignment vertical="center"/>
    </xf>
    <xf numFmtId="0" fontId="34" fillId="0" borderId="51" applyNumberFormat="0" applyFill="0" applyAlignment="0" applyProtection="0">
      <alignment vertical="center"/>
    </xf>
    <xf numFmtId="0" fontId="45" fillId="21" borderId="0" applyNumberFormat="0" applyBorder="0" applyAlignment="0" applyProtection="0">
      <alignment vertical="center"/>
    </xf>
    <xf numFmtId="0" fontId="45" fillId="21" borderId="0" applyNumberFormat="0" applyBorder="0" applyAlignment="0" applyProtection="0">
      <alignment vertical="center"/>
    </xf>
    <xf numFmtId="0" fontId="53" fillId="25" borderId="0" applyNumberFormat="0" applyBorder="0" applyAlignment="0" applyProtection="0"/>
    <xf numFmtId="0" fontId="41" fillId="7" borderId="0" applyNumberFormat="0" applyBorder="0" applyAlignment="0" applyProtection="0">
      <alignment vertical="center"/>
    </xf>
    <xf numFmtId="0" fontId="82" fillId="0" borderId="49" applyNumberFormat="0" applyFill="0" applyAlignment="0" applyProtection="0">
      <alignment vertical="center"/>
    </xf>
    <xf numFmtId="0" fontId="45" fillId="23" borderId="0" applyNumberFormat="0" applyBorder="0" applyAlignment="0" applyProtection="0">
      <alignment vertical="center"/>
    </xf>
    <xf numFmtId="0" fontId="44" fillId="22" borderId="0" applyNumberFormat="0" applyBorder="0" applyAlignment="0" applyProtection="0">
      <alignment vertical="center"/>
    </xf>
    <xf numFmtId="0" fontId="0" fillId="3" borderId="48" applyNumberFormat="0" applyFont="0" applyAlignment="0" applyProtection="0">
      <alignment vertical="center"/>
    </xf>
    <xf numFmtId="0" fontId="38" fillId="6" borderId="54" applyNumberFormat="0" applyAlignment="0" applyProtection="0">
      <alignment vertical="center"/>
    </xf>
    <xf numFmtId="0" fontId="38" fillId="6" borderId="54" applyNumberFormat="0" applyAlignment="0" applyProtection="0">
      <alignment vertical="center"/>
    </xf>
    <xf numFmtId="0" fontId="83" fillId="0" borderId="0" applyNumberFormat="0" applyFill="0" applyBorder="0" applyAlignment="0" applyProtection="0">
      <alignment vertical="center"/>
    </xf>
    <xf numFmtId="0" fontId="42" fillId="8" borderId="0" applyNumberFormat="0" applyBorder="0" applyAlignment="0" applyProtection="0">
      <alignment vertical="center"/>
    </xf>
    <xf numFmtId="0" fontId="44" fillId="14" borderId="0" applyNumberFormat="0" applyBorder="0" applyAlignment="0" applyProtection="0">
      <alignment vertical="center"/>
    </xf>
    <xf numFmtId="0" fontId="36" fillId="5" borderId="53" applyNumberFormat="0" applyAlignment="0" applyProtection="0">
      <alignment vertical="center"/>
    </xf>
    <xf numFmtId="0" fontId="42" fillId="8" borderId="0" applyNumberFormat="0" applyBorder="0" applyAlignment="0" applyProtection="0">
      <alignment vertical="center"/>
    </xf>
    <xf numFmtId="0" fontId="53" fillId="6" borderId="0" applyNumberFormat="0" applyBorder="0" applyAlignment="0" applyProtection="0"/>
    <xf numFmtId="0" fontId="0" fillId="0" borderId="0">
      <alignment vertical="center"/>
    </xf>
    <xf numFmtId="0" fontId="0" fillId="0" borderId="0"/>
    <xf numFmtId="38" fontId="0" fillId="0" borderId="0" applyFont="0" applyFill="0" applyBorder="0" applyAlignment="0" applyProtection="0"/>
    <xf numFmtId="0" fontId="36" fillId="5" borderId="53" applyNumberFormat="0" applyAlignment="0" applyProtection="0">
      <alignment vertical="center"/>
    </xf>
    <xf numFmtId="9" fontId="0" fillId="0" borderId="0" applyFont="0" applyFill="0" applyBorder="0" applyAlignment="0" applyProtection="0">
      <alignment vertical="center"/>
    </xf>
    <xf numFmtId="0" fontId="41" fillId="7" borderId="0" applyNumberFormat="0" applyBorder="0" applyAlignment="0" applyProtection="0">
      <alignment vertical="center"/>
    </xf>
    <xf numFmtId="0" fontId="39" fillId="0" borderId="55" applyNumberFormat="0" applyFill="0" applyAlignment="0" applyProtection="0">
      <alignment vertical="center"/>
    </xf>
    <xf numFmtId="0" fontId="49" fillId="3" borderId="0" applyNumberFormat="0" applyBorder="0" applyAlignment="0" applyProtection="0"/>
    <xf numFmtId="0" fontId="56" fillId="0" borderId="0">
      <protection locked="0"/>
    </xf>
    <xf numFmtId="0" fontId="50" fillId="21" borderId="0" applyNumberFormat="0" applyBorder="0" applyAlignment="0" applyProtection="0">
      <alignment vertical="center"/>
    </xf>
    <xf numFmtId="0" fontId="44" fillId="15" borderId="0" applyNumberFormat="0" applyBorder="0" applyAlignment="0" applyProtection="0">
      <alignment vertical="center"/>
    </xf>
    <xf numFmtId="0" fontId="49" fillId="21" borderId="0" applyNumberFormat="0" applyBorder="0" applyAlignment="0" applyProtection="0"/>
    <xf numFmtId="0" fontId="51" fillId="21" borderId="0" applyNumberFormat="0" applyBorder="0" applyAlignment="0" applyProtection="0">
      <alignment vertical="center"/>
    </xf>
    <xf numFmtId="9" fontId="0" fillId="0" borderId="0" applyFont="0" applyFill="0" applyBorder="0" applyAlignment="0" applyProtection="0">
      <alignment vertical="center"/>
    </xf>
    <xf numFmtId="0" fontId="36" fillId="5" borderId="53" applyNumberFormat="0" applyAlignment="0" applyProtection="0">
      <alignment vertical="center"/>
    </xf>
    <xf numFmtId="0" fontId="42" fillId="8" borderId="0" applyNumberFormat="0" applyBorder="0" applyAlignment="0" applyProtection="0">
      <alignment vertical="center"/>
    </xf>
    <xf numFmtId="0" fontId="39" fillId="0" borderId="55" applyNumberFormat="0" applyFill="0" applyAlignment="0" applyProtection="0">
      <alignment vertical="center"/>
    </xf>
    <xf numFmtId="0" fontId="36" fillId="5" borderId="53" applyNumberFormat="0" applyAlignment="0" applyProtection="0">
      <alignment vertical="center"/>
    </xf>
    <xf numFmtId="0" fontId="42" fillId="8" borderId="0" applyNumberFormat="0" applyBorder="0" applyAlignment="0" applyProtection="0">
      <alignment vertical="center"/>
    </xf>
    <xf numFmtId="0" fontId="33" fillId="0" borderId="50" applyNumberFormat="0" applyFill="0" applyAlignment="0" applyProtection="0">
      <alignment vertical="center"/>
    </xf>
    <xf numFmtId="0" fontId="53" fillId="29" borderId="0" applyNumberFormat="0" applyBorder="0" applyAlignment="0" applyProtection="0"/>
    <xf numFmtId="0" fontId="45" fillId="7" borderId="0" applyNumberFormat="0" applyBorder="0" applyAlignment="0" applyProtection="0">
      <alignment vertical="center"/>
    </xf>
    <xf numFmtId="0" fontId="44" fillId="20" borderId="0" applyNumberFormat="0" applyBorder="0" applyAlignment="0" applyProtection="0">
      <alignment vertical="center"/>
    </xf>
    <xf numFmtId="0" fontId="52" fillId="19" borderId="0" applyNumberFormat="0" applyBorder="0" applyAlignment="0" applyProtection="0">
      <alignment vertical="center"/>
    </xf>
    <xf numFmtId="0" fontId="49" fillId="21" borderId="0" applyNumberFormat="0" applyBorder="0" applyAlignment="0" applyProtection="0"/>
    <xf numFmtId="0" fontId="42" fillId="8" borderId="0" applyNumberFormat="0" applyBorder="0" applyAlignment="0" applyProtection="0">
      <alignment vertical="center"/>
    </xf>
    <xf numFmtId="0" fontId="50" fillId="7" borderId="0" applyNumberFormat="0" applyBorder="0" applyAlignment="0" applyProtection="0"/>
    <xf numFmtId="0" fontId="44" fillId="22" borderId="0" applyNumberFormat="0" applyBorder="0" applyAlignment="0" applyProtection="0">
      <alignment vertical="center"/>
    </xf>
    <xf numFmtId="0" fontId="42" fillId="19" borderId="0" applyNumberFormat="0" applyBorder="0" applyAlignment="0" applyProtection="0">
      <alignment vertical="center"/>
    </xf>
    <xf numFmtId="0" fontId="53" fillId="5" borderId="0" applyNumberFormat="0" applyBorder="0" applyAlignment="0" applyProtection="0"/>
    <xf numFmtId="0" fontId="41" fillId="7" borderId="0" applyNumberFormat="0" applyBorder="0" applyAlignment="0" applyProtection="0">
      <alignment vertical="center"/>
    </xf>
    <xf numFmtId="0" fontId="53" fillId="6" borderId="0" applyNumberFormat="0" applyBorder="0" applyAlignment="0" applyProtection="0"/>
    <xf numFmtId="0" fontId="45" fillId="8" borderId="0" applyNumberFormat="0" applyBorder="0" applyAlignment="0" applyProtection="0">
      <alignment vertical="center"/>
    </xf>
    <xf numFmtId="0" fontId="44" fillId="17" borderId="0" applyNumberFormat="0" applyBorder="0" applyAlignment="0" applyProtection="0">
      <alignment vertical="center"/>
    </xf>
    <xf numFmtId="0" fontId="30" fillId="0" borderId="0" applyNumberFormat="0" applyFill="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84" fillId="0" borderId="56" applyNumberFormat="0" applyFill="0" applyAlignment="0" applyProtection="0">
      <alignment vertical="center"/>
    </xf>
    <xf numFmtId="0" fontId="30" fillId="0" borderId="0" applyNumberFormat="0" applyFill="0" applyBorder="0" applyAlignment="0" applyProtection="0">
      <alignment vertical="center"/>
    </xf>
    <xf numFmtId="43" fontId="0" fillId="0" borderId="0" applyFont="0" applyFill="0" applyBorder="0" applyAlignment="0" applyProtection="0"/>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42" fillId="8" borderId="0" applyNumberFormat="0" applyBorder="0" applyAlignment="0" applyProtection="0">
      <alignment vertical="center"/>
    </xf>
    <xf numFmtId="0" fontId="28" fillId="0" borderId="0" applyNumberFormat="0" applyFill="0" applyBorder="0" applyAlignment="0" applyProtection="0">
      <alignment vertical="top"/>
      <protection locked="0"/>
    </xf>
    <xf numFmtId="0" fontId="60" fillId="7" borderId="0" applyNumberFormat="0" applyBorder="0" applyAlignment="0" applyProtection="0">
      <alignment vertical="center"/>
    </xf>
    <xf numFmtId="0" fontId="0" fillId="0" borderId="0"/>
    <xf numFmtId="0" fontId="42" fillId="19" borderId="0" applyNumberFormat="0" applyBorder="0" applyAlignment="0" applyProtection="0">
      <alignment vertical="center"/>
    </xf>
    <xf numFmtId="0" fontId="42" fillId="19" borderId="0" applyNumberFormat="0" applyBorder="0" applyAlignment="0" applyProtection="0">
      <alignment vertical="center"/>
    </xf>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52" fillId="19" borderId="0" applyNumberFormat="0" applyBorder="0" applyAlignment="0" applyProtection="0">
      <alignment vertical="center"/>
    </xf>
    <xf numFmtId="0" fontId="41" fillId="21" borderId="0" applyNumberFormat="0" applyBorder="0" applyAlignment="0" applyProtection="0">
      <alignment vertical="center"/>
    </xf>
    <xf numFmtId="0" fontId="54" fillId="8" borderId="0" applyNumberFormat="0" applyBorder="0" applyAlignment="0" applyProtection="0">
      <alignment vertical="center"/>
    </xf>
    <xf numFmtId="0" fontId="53" fillId="5" borderId="0" applyNumberFormat="0" applyBorder="0" applyAlignment="0" applyProtection="0"/>
    <xf numFmtId="0" fontId="53" fillId="6" borderId="0" applyNumberFormat="0" applyBorder="0" applyAlignment="0" applyProtection="0"/>
    <xf numFmtId="0" fontId="0" fillId="3" borderId="48" applyNumberFormat="0" applyFont="0" applyAlignment="0" applyProtection="0">
      <alignment vertical="center"/>
    </xf>
    <xf numFmtId="0" fontId="45" fillId="19" borderId="0" applyNumberFormat="0" applyBorder="0" applyAlignment="0" applyProtection="0">
      <alignment vertical="center"/>
    </xf>
    <xf numFmtId="0" fontId="54" fillId="19" borderId="0" applyNumberFormat="0" applyBorder="0" applyAlignment="0" applyProtection="0">
      <alignment vertical="center"/>
    </xf>
    <xf numFmtId="0" fontId="32" fillId="0" borderId="49" applyNumberFormat="0" applyFill="0" applyAlignment="0" applyProtection="0">
      <alignment vertical="center"/>
    </xf>
    <xf numFmtId="0" fontId="41" fillId="7" borderId="0" applyNumberFormat="0" applyBorder="0" applyAlignment="0" applyProtection="0">
      <alignment vertical="center"/>
    </xf>
    <xf numFmtId="0" fontId="45" fillId="11" borderId="0" applyNumberFormat="0" applyBorder="0" applyAlignment="0" applyProtection="0">
      <alignment vertical="center"/>
    </xf>
    <xf numFmtId="0" fontId="0" fillId="0" borderId="0">
      <alignment vertical="center"/>
    </xf>
    <xf numFmtId="0" fontId="42" fillId="8" borderId="0" applyNumberFormat="0" applyBorder="0" applyAlignment="0" applyProtection="0">
      <alignment vertical="center"/>
    </xf>
    <xf numFmtId="0" fontId="41" fillId="21" borderId="0" applyNumberFormat="0" applyBorder="0" applyAlignment="0" applyProtection="0">
      <alignment vertical="center"/>
    </xf>
    <xf numFmtId="0" fontId="54" fillId="8" borderId="0" applyNumberFormat="0" applyBorder="0" applyAlignment="0" applyProtection="0">
      <alignment vertical="center"/>
    </xf>
    <xf numFmtId="0" fontId="0" fillId="0" borderId="0"/>
    <xf numFmtId="0" fontId="44" fillId="20" borderId="0" applyNumberFormat="0" applyBorder="0" applyAlignment="0" applyProtection="0">
      <alignment vertical="center"/>
    </xf>
    <xf numFmtId="0" fontId="53" fillId="25" borderId="0" applyNumberFormat="0" applyBorder="0" applyAlignment="0" applyProtection="0"/>
    <xf numFmtId="0" fontId="41" fillId="7" borderId="0" applyNumberFormat="0" applyBorder="0" applyAlignment="0" applyProtection="0">
      <alignment vertical="center"/>
    </xf>
    <xf numFmtId="0" fontId="45" fillId="21" borderId="0" applyNumberFormat="0" applyBorder="0" applyAlignment="0" applyProtection="0">
      <alignment vertical="center"/>
    </xf>
    <xf numFmtId="0" fontId="41" fillId="7" borderId="0" applyNumberFormat="0" applyBorder="0" applyAlignment="0" applyProtection="0">
      <alignment vertical="center"/>
    </xf>
    <xf numFmtId="0" fontId="45" fillId="21" borderId="0" applyNumberFormat="0" applyBorder="0" applyAlignment="0" applyProtection="0">
      <alignment vertical="center"/>
    </xf>
    <xf numFmtId="9" fontId="0" fillId="0" borderId="0" applyFont="0" applyFill="0" applyBorder="0" applyAlignment="0" applyProtection="0"/>
    <xf numFmtId="0" fontId="41" fillId="21" borderId="0" applyNumberFormat="0" applyBorder="0" applyAlignment="0" applyProtection="0">
      <alignment vertical="center"/>
    </xf>
    <xf numFmtId="0" fontId="49" fillId="5" borderId="0" applyNumberFormat="0" applyBorder="0" applyAlignment="0" applyProtection="0"/>
    <xf numFmtId="0" fontId="41" fillId="7" borderId="0" applyNumberFormat="0" applyBorder="0" applyAlignment="0" applyProtection="0">
      <alignment vertical="center"/>
    </xf>
    <xf numFmtId="0" fontId="53" fillId="20" borderId="0" applyNumberFormat="0" applyBorder="0" applyAlignment="0" applyProtection="0"/>
    <xf numFmtId="0" fontId="29" fillId="0" borderId="0" applyNumberFormat="0" applyFill="0" applyBorder="0" applyAlignment="0" applyProtection="0">
      <alignment vertical="center"/>
    </xf>
    <xf numFmtId="0" fontId="45" fillId="8"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8" fillId="0" borderId="0" applyNumberFormat="0" applyFill="0" applyBorder="0" applyAlignment="0" applyProtection="0"/>
    <xf numFmtId="0" fontId="42" fillId="19" borderId="0" applyNumberFormat="0" applyBorder="0" applyAlignment="0" applyProtection="0">
      <alignment vertical="center"/>
    </xf>
    <xf numFmtId="0" fontId="38" fillId="6" borderId="54" applyNumberFormat="0" applyAlignment="0" applyProtection="0">
      <alignment vertical="center"/>
    </xf>
    <xf numFmtId="0" fontId="36" fillId="5" borderId="53" applyNumberFormat="0" applyAlignment="0" applyProtection="0">
      <alignment vertical="center"/>
    </xf>
    <xf numFmtId="0" fontId="42" fillId="8" borderId="0" applyNumberFormat="0" applyBorder="0" applyAlignment="0" applyProtection="0">
      <alignment vertical="center"/>
    </xf>
    <xf numFmtId="0" fontId="44" fillId="24" borderId="0" applyNumberFormat="0" applyBorder="0" applyAlignment="0" applyProtection="0">
      <alignment vertical="center"/>
    </xf>
    <xf numFmtId="0" fontId="68" fillId="8"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33" fillId="0" borderId="50" applyNumberFormat="0" applyFill="0" applyAlignment="0" applyProtection="0">
      <alignment vertical="center"/>
    </xf>
    <xf numFmtId="0" fontId="52" fillId="19" borderId="0" applyNumberFormat="0" applyBorder="0" applyAlignment="0" applyProtection="0">
      <alignment vertical="center"/>
    </xf>
    <xf numFmtId="0" fontId="38" fillId="6" borderId="54" applyNumberFormat="0" applyAlignment="0" applyProtection="0">
      <alignment vertical="center"/>
    </xf>
    <xf numFmtId="193" fontId="0" fillId="0" borderId="0" applyFont="0" applyFill="0" applyBorder="0" applyAlignment="0" applyProtection="0"/>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35" fillId="4" borderId="52" applyNumberFormat="0" applyAlignment="0" applyProtection="0">
      <alignment vertical="center"/>
    </xf>
    <xf numFmtId="0" fontId="41" fillId="7" borderId="0" applyNumberFormat="0" applyBorder="0" applyAlignment="0" applyProtection="0">
      <alignment vertical="center"/>
    </xf>
    <xf numFmtId="0" fontId="40" fillId="0" borderId="56" applyNumberFormat="0" applyFill="0" applyAlignment="0" applyProtection="0">
      <alignment vertical="center"/>
    </xf>
    <xf numFmtId="0" fontId="33" fillId="0" borderId="50" applyNumberFormat="0" applyFill="0" applyAlignment="0" applyProtection="0">
      <alignment vertical="center"/>
    </xf>
    <xf numFmtId="0" fontId="42" fillId="19" borderId="0" applyNumberFormat="0" applyBorder="0" applyAlignment="0" applyProtection="0">
      <alignment vertical="center"/>
    </xf>
    <xf numFmtId="0" fontId="42" fillId="8" borderId="0" applyNumberFormat="0" applyBorder="0" applyAlignment="0" applyProtection="0">
      <alignment vertical="center"/>
    </xf>
    <xf numFmtId="0" fontId="32" fillId="0" borderId="49" applyNumberFormat="0" applyFill="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51" fillId="21" borderId="0" applyNumberFormat="0" applyBorder="0" applyAlignment="0" applyProtection="0">
      <alignment vertical="center"/>
    </xf>
    <xf numFmtId="0" fontId="45" fillId="4" borderId="0" applyNumberFormat="0" applyBorder="0" applyAlignment="0" applyProtection="0">
      <alignment vertical="center"/>
    </xf>
    <xf numFmtId="0" fontId="51" fillId="21" borderId="0" applyNumberFormat="0" applyBorder="0" applyAlignment="0" applyProtection="0">
      <alignment vertical="center"/>
    </xf>
    <xf numFmtId="0" fontId="53" fillId="12" borderId="0" applyNumberFormat="0" applyBorder="0" applyAlignment="0" applyProtection="0"/>
    <xf numFmtId="0" fontId="42" fillId="8" borderId="0" applyNumberFormat="0" applyBorder="0" applyAlignment="0" applyProtection="0">
      <alignment vertical="center"/>
    </xf>
    <xf numFmtId="0" fontId="49" fillId="11" borderId="0" applyNumberFormat="0" applyBorder="0" applyAlignment="0" applyProtection="0"/>
    <xf numFmtId="0" fontId="45" fillId="0" borderId="0">
      <alignment vertical="center"/>
    </xf>
    <xf numFmtId="0" fontId="36" fillId="5" borderId="53" applyNumberFormat="0" applyAlignment="0" applyProtection="0">
      <alignment vertical="center"/>
    </xf>
    <xf numFmtId="0" fontId="50" fillId="21" borderId="0" applyNumberFormat="0" applyBorder="0" applyAlignment="0" applyProtection="0">
      <alignment vertical="center"/>
    </xf>
    <xf numFmtId="0" fontId="45" fillId="7" borderId="0" applyNumberFormat="0" applyBorder="0" applyAlignment="0" applyProtection="0">
      <alignment vertical="center"/>
    </xf>
    <xf numFmtId="0" fontId="41" fillId="7" borderId="0" applyNumberFormat="0" applyBorder="0" applyAlignment="0" applyProtection="0">
      <alignment vertical="center"/>
    </xf>
    <xf numFmtId="0" fontId="34" fillId="0" borderId="51" applyNumberFormat="0" applyFill="0" applyAlignment="0" applyProtection="0">
      <alignment vertical="center"/>
    </xf>
    <xf numFmtId="0" fontId="53" fillId="25" borderId="0" applyNumberFormat="0" applyBorder="0" applyAlignment="0" applyProtection="0"/>
    <xf numFmtId="41" fontId="0" fillId="0" borderId="0" applyFont="0" applyFill="0" applyBorder="0" applyAlignment="0" applyProtection="0">
      <alignment vertical="center"/>
    </xf>
    <xf numFmtId="0" fontId="53" fillId="4" borderId="0" applyNumberFormat="0" applyBorder="0" applyAlignment="0" applyProtection="0"/>
    <xf numFmtId="0" fontId="44" fillId="15" borderId="0" applyNumberFormat="0" applyBorder="0" applyAlignment="0" applyProtection="0">
      <alignment vertical="center"/>
    </xf>
    <xf numFmtId="0" fontId="60" fillId="7" borderId="0" applyNumberFormat="0" applyBorder="0" applyAlignment="0" applyProtection="0">
      <alignment vertical="center"/>
    </xf>
    <xf numFmtId="0" fontId="41" fillId="7" borderId="0" applyNumberFormat="0" applyBorder="0" applyAlignment="0" applyProtection="0">
      <alignment vertical="center"/>
    </xf>
    <xf numFmtId="0" fontId="51" fillId="21"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5" fillId="12" borderId="0" applyNumberFormat="0" applyBorder="0" applyAlignment="0" applyProtection="0">
      <alignment vertical="center"/>
    </xf>
    <xf numFmtId="0" fontId="44" fillId="17" borderId="0" applyNumberFormat="0" applyBorder="0" applyAlignment="0" applyProtection="0">
      <alignment vertical="center"/>
    </xf>
    <xf numFmtId="0" fontId="0" fillId="0" borderId="0"/>
    <xf numFmtId="0" fontId="48" fillId="0" borderId="0" applyNumberFormat="0" applyFill="0" applyBorder="0" applyAlignment="0" applyProtection="0"/>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1" fillId="21" borderId="0" applyNumberFormat="0" applyBorder="0" applyAlignment="0" applyProtection="0">
      <alignment vertical="center"/>
    </xf>
    <xf numFmtId="0" fontId="49" fillId="4" borderId="0" applyNumberFormat="0" applyBorder="0" applyAlignment="0" applyProtection="0"/>
    <xf numFmtId="0" fontId="42" fillId="19" borderId="0" applyNumberFormat="0" applyBorder="0" applyAlignment="0" applyProtection="0">
      <alignment vertical="center"/>
    </xf>
    <xf numFmtId="0" fontId="35" fillId="4" borderId="52" applyNumberFormat="0" applyAlignment="0" applyProtection="0">
      <alignment vertical="center"/>
    </xf>
    <xf numFmtId="0" fontId="49" fillId="11" borderId="0" applyNumberFormat="0" applyBorder="0" applyAlignment="0" applyProtection="0"/>
    <xf numFmtId="0" fontId="39" fillId="0" borderId="55" applyNumberFormat="0" applyFill="0" applyAlignment="0" applyProtection="0">
      <alignment vertical="center"/>
    </xf>
    <xf numFmtId="0" fontId="45" fillId="15" borderId="0" applyNumberFormat="0" applyBorder="0" applyAlignment="0" applyProtection="0">
      <alignment vertical="center"/>
    </xf>
    <xf numFmtId="0" fontId="42" fillId="8" borderId="0" applyNumberFormat="0" applyBorder="0" applyAlignment="0" applyProtection="0">
      <alignment vertical="center"/>
    </xf>
    <xf numFmtId="0" fontId="49" fillId="4" borderId="0" applyNumberFormat="0" applyBorder="0" applyAlignment="0" applyProtection="0"/>
    <xf numFmtId="0" fontId="30"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44" fillId="24" borderId="0" applyNumberFormat="0" applyBorder="0" applyAlignment="0" applyProtection="0">
      <alignment vertical="center"/>
    </xf>
    <xf numFmtId="41" fontId="0" fillId="0" borderId="0" applyFont="0" applyFill="0" applyBorder="0" applyAlignment="0" applyProtection="0">
      <alignment vertical="center"/>
    </xf>
    <xf numFmtId="0" fontId="53" fillId="25" borderId="0" applyNumberFormat="0" applyBorder="0" applyAlignment="0" applyProtection="0"/>
    <xf numFmtId="0" fontId="45" fillId="0" borderId="0">
      <alignment vertical="center"/>
    </xf>
    <xf numFmtId="0" fontId="42" fillId="8" borderId="0" applyNumberFormat="0" applyBorder="0" applyAlignment="0" applyProtection="0">
      <alignment vertical="center"/>
    </xf>
    <xf numFmtId="0" fontId="53" fillId="29" borderId="0" applyNumberFormat="0" applyBorder="0" applyAlignment="0" applyProtection="0"/>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51" fillId="21" borderId="0" applyNumberFormat="0" applyBorder="0" applyAlignment="0" applyProtection="0">
      <alignment vertical="center"/>
    </xf>
    <xf numFmtId="0" fontId="38" fillId="6" borderId="54" applyNumberFormat="0" applyAlignment="0" applyProtection="0">
      <alignment vertical="center"/>
    </xf>
    <xf numFmtId="0" fontId="40" fillId="0" borderId="56"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68" fillId="8" borderId="0" applyNumberFormat="0" applyBorder="0" applyAlignment="0" applyProtection="0">
      <alignment vertical="center"/>
    </xf>
    <xf numFmtId="0" fontId="2" fillId="0" borderId="0"/>
    <xf numFmtId="0" fontId="42" fillId="8" borderId="0" applyNumberFormat="0" applyBorder="0" applyAlignment="0" applyProtection="0">
      <alignment vertical="center"/>
    </xf>
    <xf numFmtId="0" fontId="44" fillId="18" borderId="0" applyNumberFormat="0" applyBorder="0" applyAlignment="0" applyProtection="0">
      <alignment vertical="center"/>
    </xf>
    <xf numFmtId="0" fontId="0" fillId="0" borderId="0"/>
    <xf numFmtId="0" fontId="44" fillId="13" borderId="0" applyNumberFormat="0" applyBorder="0" applyAlignment="0" applyProtection="0">
      <alignment vertical="center"/>
    </xf>
    <xf numFmtId="0" fontId="45" fillId="12" borderId="0" applyNumberFormat="0" applyBorder="0" applyAlignment="0" applyProtection="0">
      <alignment vertical="center"/>
    </xf>
    <xf numFmtId="0" fontId="44" fillId="17" borderId="0" applyNumberFormat="0" applyBorder="0" applyAlignment="0" applyProtection="0">
      <alignment vertical="center"/>
    </xf>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4" fillId="0" borderId="0">
      <alignment vertical="center"/>
    </xf>
    <xf numFmtId="9" fontId="0" fillId="0" borderId="0" applyFont="0" applyFill="0" applyBorder="0" applyAlignment="0" applyProtection="0">
      <alignment vertical="center"/>
    </xf>
    <xf numFmtId="0" fontId="50" fillId="21" borderId="0" applyNumberFormat="0" applyBorder="0" applyAlignment="0" applyProtection="0">
      <alignment vertical="center"/>
    </xf>
    <xf numFmtId="0" fontId="42" fillId="8" borderId="0" applyNumberFormat="0" applyBorder="0" applyAlignment="0" applyProtection="0">
      <alignment vertical="center"/>
    </xf>
    <xf numFmtId="0" fontId="73" fillId="31" borderId="0" applyNumberFormat="0" applyBorder="0" applyAlignment="0" applyProtection="0"/>
    <xf numFmtId="0" fontId="41" fillId="21" borderId="0" applyNumberFormat="0" applyBorder="0" applyAlignment="0" applyProtection="0">
      <alignment vertical="center"/>
    </xf>
    <xf numFmtId="0" fontId="30" fillId="0" borderId="0" applyNumberFormat="0" applyFill="0" applyBorder="0" applyAlignment="0" applyProtection="0">
      <alignment vertical="center"/>
    </xf>
    <xf numFmtId="0" fontId="49" fillId="11" borderId="0" applyNumberFormat="0" applyBorder="0" applyAlignment="0" applyProtection="0"/>
    <xf numFmtId="0" fontId="42" fillId="8" borderId="0" applyNumberFormat="0" applyBorder="0" applyAlignment="0" applyProtection="0">
      <alignment vertical="center"/>
    </xf>
    <xf numFmtId="0" fontId="45" fillId="17" borderId="0" applyNumberFormat="0" applyBorder="0" applyAlignment="0" applyProtection="0">
      <alignment vertical="center"/>
    </xf>
    <xf numFmtId="194" fontId="0" fillId="0" borderId="0" applyFont="0" applyFill="0" applyBorder="0" applyAlignment="0" applyProtection="0"/>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7" fillId="21" borderId="0" applyNumberFormat="0" applyBorder="0" applyAlignment="0" applyProtection="0">
      <alignment vertical="center"/>
    </xf>
    <xf numFmtId="0" fontId="0" fillId="0" borderId="0">
      <alignment vertical="center"/>
    </xf>
    <xf numFmtId="0" fontId="54" fillId="19" borderId="0" applyNumberFormat="0" applyBorder="0" applyAlignment="0" applyProtection="0">
      <alignment vertical="center"/>
    </xf>
    <xf numFmtId="0" fontId="44" fillId="20" borderId="0" applyNumberFormat="0" applyBorder="0" applyAlignment="0" applyProtection="0">
      <alignment vertical="center"/>
    </xf>
    <xf numFmtId="0" fontId="49" fillId="11" borderId="0" applyNumberFormat="0" applyBorder="0" applyAlignment="0" applyProtection="0"/>
    <xf numFmtId="0" fontId="42" fillId="8" borderId="0" applyNumberFormat="0" applyBorder="0" applyAlignment="0" applyProtection="0">
      <alignment vertical="center"/>
    </xf>
    <xf numFmtId="0" fontId="49" fillId="11" borderId="0" applyNumberFormat="0" applyBorder="0" applyAlignment="0" applyProtection="0"/>
    <xf numFmtId="0" fontId="42" fillId="8" borderId="0" applyNumberFormat="0" applyBorder="0" applyAlignment="0" applyProtection="0">
      <alignment vertical="center"/>
    </xf>
    <xf numFmtId="0" fontId="41" fillId="21" borderId="0" applyNumberFormat="0" applyBorder="0" applyAlignment="0" applyProtection="0">
      <alignment vertical="center"/>
    </xf>
    <xf numFmtId="0" fontId="45" fillId="11" borderId="0" applyNumberFormat="0" applyBorder="0" applyAlignment="0" applyProtection="0">
      <alignment vertical="center"/>
    </xf>
    <xf numFmtId="0" fontId="35" fillId="4" borderId="52" applyNumberFormat="0" applyAlignment="0" applyProtection="0">
      <alignment vertical="center"/>
    </xf>
    <xf numFmtId="0" fontId="42" fillId="8" borderId="0" applyNumberFormat="0" applyBorder="0" applyAlignment="0" applyProtection="0">
      <alignment vertical="center"/>
    </xf>
    <xf numFmtId="0" fontId="60" fillId="7"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52" fillId="19" borderId="0" applyNumberFormat="0" applyBorder="0" applyAlignment="0" applyProtection="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42" fillId="8" borderId="0" applyNumberFormat="0" applyBorder="0" applyAlignment="0" applyProtection="0">
      <alignment vertical="center"/>
    </xf>
    <xf numFmtId="0" fontId="45" fillId="21" borderId="0" applyNumberFormat="0" applyBorder="0" applyAlignment="0" applyProtection="0">
      <alignment vertical="center"/>
    </xf>
    <xf numFmtId="0" fontId="38" fillId="6" borderId="54" applyNumberFormat="0" applyAlignment="0" applyProtection="0">
      <alignment vertical="center"/>
    </xf>
    <xf numFmtId="0" fontId="67" fillId="0" borderId="2" applyNumberFormat="0" applyFill="0" applyProtection="0">
      <alignment horizontal="center"/>
    </xf>
    <xf numFmtId="0" fontId="0" fillId="0" borderId="0"/>
    <xf numFmtId="0" fontId="45" fillId="8" borderId="0" applyNumberFormat="0" applyBorder="0" applyAlignment="0" applyProtection="0">
      <alignment vertical="center"/>
    </xf>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49" fillId="5" borderId="0" applyNumberFormat="0" applyBorder="0" applyAlignment="0" applyProtection="0"/>
    <xf numFmtId="0" fontId="45" fillId="0" borderId="0">
      <alignment vertical="center"/>
    </xf>
    <xf numFmtId="0" fontId="44" fillId="24" borderId="0" applyNumberFormat="0" applyBorder="0" applyAlignment="0" applyProtection="0">
      <alignment vertical="center"/>
    </xf>
    <xf numFmtId="41" fontId="0" fillId="0" borderId="0" applyFont="0" applyFill="0" applyBorder="0" applyAlignment="0" applyProtection="0"/>
    <xf numFmtId="0" fontId="0" fillId="0" borderId="0"/>
    <xf numFmtId="0" fontId="45" fillId="0" borderId="0">
      <alignment vertical="center"/>
    </xf>
    <xf numFmtId="0" fontId="46" fillId="24" borderId="0" applyNumberFormat="0" applyBorder="0" applyAlignment="0" applyProtection="0">
      <alignment vertical="center"/>
    </xf>
    <xf numFmtId="0" fontId="49" fillId="11" borderId="0" applyNumberFormat="0" applyBorder="0" applyAlignment="0" applyProtection="0"/>
    <xf numFmtId="179" fontId="18" fillId="0" borderId="15">
      <alignment vertical="center"/>
      <protection locked="0"/>
    </xf>
    <xf numFmtId="0" fontId="42" fillId="8"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34" fillId="0" borderId="0" applyNumberFormat="0" applyFill="0" applyBorder="0" applyAlignment="0" applyProtection="0">
      <alignment vertical="center"/>
    </xf>
    <xf numFmtId="0" fontId="50" fillId="21" borderId="0" applyNumberFormat="0" applyBorder="0" applyAlignment="0" applyProtection="0">
      <alignment vertical="center"/>
    </xf>
    <xf numFmtId="0" fontId="37" fillId="5" borderId="52" applyNumberFormat="0" applyAlignment="0" applyProtection="0">
      <alignment vertical="center"/>
    </xf>
    <xf numFmtId="0" fontId="77" fillId="0" borderId="0"/>
    <xf numFmtId="0" fontId="41" fillId="21" borderId="0" applyNumberFormat="0" applyBorder="0" applyAlignment="0" applyProtection="0">
      <alignment vertical="center"/>
    </xf>
    <xf numFmtId="0" fontId="0" fillId="0" borderId="0"/>
    <xf numFmtId="0" fontId="0" fillId="0" borderId="0">
      <alignment vertical="center"/>
    </xf>
    <xf numFmtId="0" fontId="4" fillId="0" borderId="0">
      <alignment vertical="center"/>
    </xf>
    <xf numFmtId="14" fontId="85" fillId="0" borderId="0">
      <alignment horizontal="center" wrapText="1"/>
      <protection locked="0"/>
    </xf>
    <xf numFmtId="0" fontId="41" fillId="7" borderId="0" applyNumberFormat="0" applyBorder="0" applyAlignment="0" applyProtection="0">
      <alignment vertical="center"/>
    </xf>
    <xf numFmtId="0" fontId="31" fillId="0" borderId="0" applyNumberFormat="0" applyFill="0" applyBorder="0" applyAlignment="0" applyProtection="0">
      <alignment vertical="center"/>
    </xf>
    <xf numFmtId="0" fontId="41" fillId="7" borderId="0" applyNumberFormat="0" applyBorder="0" applyAlignment="0" applyProtection="0">
      <alignment vertical="center"/>
    </xf>
    <xf numFmtId="0" fontId="0" fillId="0" borderId="0"/>
    <xf numFmtId="0" fontId="0" fillId="0" borderId="0">
      <alignment vertical="center"/>
    </xf>
    <xf numFmtId="0" fontId="39" fillId="0" borderId="55" applyNumberFormat="0" applyFill="0" applyAlignment="0" applyProtection="0">
      <alignment vertical="center"/>
    </xf>
    <xf numFmtId="0" fontId="44" fillId="16"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85" fillId="0" borderId="0">
      <alignment horizontal="center" wrapText="1"/>
      <protection locked="0"/>
    </xf>
    <xf numFmtId="0" fontId="41" fillId="7" borderId="0" applyNumberFormat="0" applyBorder="0" applyAlignment="0" applyProtection="0">
      <alignment vertical="center"/>
    </xf>
    <xf numFmtId="0" fontId="0" fillId="0" borderId="0">
      <alignment vertical="center"/>
    </xf>
    <xf numFmtId="0" fontId="0" fillId="0" borderId="0"/>
    <xf numFmtId="0" fontId="41" fillId="7" borderId="0" applyNumberFormat="0" applyBorder="0" applyAlignment="0" applyProtection="0">
      <alignment vertical="center"/>
    </xf>
    <xf numFmtId="0" fontId="29" fillId="0" borderId="0" applyNumberFormat="0" applyFill="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51" fillId="21" borderId="0" applyNumberFormat="0" applyBorder="0" applyAlignment="0" applyProtection="0">
      <alignment vertical="center"/>
    </xf>
    <xf numFmtId="0" fontId="49" fillId="4" borderId="0" applyNumberFormat="0" applyBorder="0" applyAlignment="0" applyProtection="0"/>
    <xf numFmtId="0" fontId="41" fillId="7" borderId="0" applyNumberFormat="0" applyBorder="0" applyAlignment="0" applyProtection="0">
      <alignment vertical="center"/>
    </xf>
    <xf numFmtId="0" fontId="29" fillId="0" borderId="0" applyNumberFormat="0" applyFill="0" applyBorder="0" applyAlignment="0" applyProtection="0">
      <alignment vertical="center"/>
    </xf>
    <xf numFmtId="0" fontId="32" fillId="0" borderId="49" applyNumberFormat="0" applyFill="0" applyAlignment="0" applyProtection="0">
      <alignment vertical="center"/>
    </xf>
    <xf numFmtId="0" fontId="44" fillId="18" borderId="0" applyNumberFormat="0" applyBorder="0" applyAlignment="0" applyProtection="0">
      <alignment vertical="center"/>
    </xf>
    <xf numFmtId="0" fontId="51" fillId="21" borderId="0" applyNumberFormat="0" applyBorder="0" applyAlignment="0" applyProtection="0">
      <alignment vertical="center"/>
    </xf>
    <xf numFmtId="0" fontId="41" fillId="7" borderId="0" applyNumberFormat="0" applyBorder="0" applyAlignment="0" applyProtection="0">
      <alignment vertical="center"/>
    </xf>
    <xf numFmtId="0" fontId="0" fillId="3" borderId="48" applyNumberFormat="0" applyFont="0" applyAlignment="0" applyProtection="0">
      <alignment vertical="center"/>
    </xf>
    <xf numFmtId="0" fontId="41" fillId="7" borderId="0" applyNumberFormat="0" applyBorder="0" applyAlignment="0" applyProtection="0">
      <alignment vertical="center"/>
    </xf>
    <xf numFmtId="0" fontId="73" fillId="32" borderId="0" applyNumberFormat="0" applyBorder="0" applyAlignment="0" applyProtection="0"/>
    <xf numFmtId="0" fontId="45" fillId="12" borderId="0" applyNumberFormat="0" applyBorder="0" applyAlignment="0" applyProtection="0">
      <alignment vertical="center"/>
    </xf>
    <xf numFmtId="0" fontId="44" fillId="16" borderId="0" applyNumberFormat="0" applyBorder="0" applyAlignment="0" applyProtection="0">
      <alignment vertical="center"/>
    </xf>
    <xf numFmtId="0" fontId="42" fillId="8" borderId="0" applyNumberFormat="0" applyBorder="0" applyAlignment="0" applyProtection="0">
      <alignment vertical="center"/>
    </xf>
    <xf numFmtId="0" fontId="0" fillId="0" borderId="0"/>
    <xf numFmtId="0" fontId="44" fillId="18" borderId="0" applyNumberFormat="0" applyBorder="0" applyAlignment="0" applyProtection="0">
      <alignment vertical="center"/>
    </xf>
    <xf numFmtId="0" fontId="61" fillId="19" borderId="0" applyNumberFormat="0" applyBorder="0" applyAlignment="0" applyProtection="0">
      <alignment vertical="center"/>
    </xf>
    <xf numFmtId="0" fontId="86" fillId="0" borderId="0"/>
    <xf numFmtId="0" fontId="41" fillId="21" borderId="0" applyNumberFormat="0" applyBorder="0" applyAlignment="0" applyProtection="0">
      <alignment vertical="center"/>
    </xf>
    <xf numFmtId="0" fontId="29" fillId="0" borderId="0" applyNumberFormat="0" applyFill="0" applyBorder="0" applyAlignment="0" applyProtection="0">
      <alignment vertical="center"/>
    </xf>
    <xf numFmtId="0" fontId="42" fillId="8" borderId="0" applyNumberFormat="0" applyBorder="0" applyAlignment="0" applyProtection="0">
      <alignment vertical="center"/>
    </xf>
    <xf numFmtId="0" fontId="0" fillId="0" borderId="0"/>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51" fillId="7"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6" fillId="10" borderId="0" applyNumberFormat="0" applyBorder="0" applyAlignment="0" applyProtection="0">
      <alignment vertical="center"/>
    </xf>
    <xf numFmtId="188" fontId="0" fillId="0" borderId="0" applyFont="0" applyFill="0" applyBorder="0" applyAlignment="0" applyProtection="0">
      <alignment vertical="center"/>
    </xf>
    <xf numFmtId="0" fontId="51" fillId="21" borderId="0" applyNumberFormat="0" applyBorder="0" applyAlignment="0" applyProtection="0">
      <alignment vertical="center"/>
    </xf>
    <xf numFmtId="0" fontId="40" fillId="0" borderId="56" applyNumberFormat="0" applyFill="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4" fillId="18" borderId="0" applyNumberFormat="0" applyBorder="0" applyAlignment="0" applyProtection="0">
      <alignment vertical="center"/>
    </xf>
    <xf numFmtId="0" fontId="0" fillId="0" borderId="0"/>
    <xf numFmtId="0" fontId="42" fillId="19" borderId="0" applyNumberFormat="0" applyBorder="0" applyAlignment="0" applyProtection="0">
      <alignment vertical="center"/>
    </xf>
    <xf numFmtId="0" fontId="54" fillId="19" borderId="0" applyNumberFormat="0" applyBorder="0" applyAlignment="0" applyProtection="0">
      <alignment vertical="center"/>
    </xf>
    <xf numFmtId="0" fontId="50" fillId="21" borderId="0" applyNumberFormat="0" applyBorder="0" applyAlignment="0" applyProtection="0">
      <alignment vertical="center"/>
    </xf>
    <xf numFmtId="9" fontId="0" fillId="0" borderId="0" applyFont="0" applyFill="0" applyBorder="0" applyAlignment="0" applyProtection="0"/>
    <xf numFmtId="0" fontId="54" fillId="19" borderId="0" applyNumberFormat="0" applyBorder="0" applyAlignment="0" applyProtection="0">
      <alignment vertical="center"/>
    </xf>
    <xf numFmtId="0" fontId="42" fillId="8" borderId="0" applyNumberFormat="0" applyBorder="0" applyAlignment="0" applyProtection="0">
      <alignment vertical="center"/>
    </xf>
    <xf numFmtId="0" fontId="45" fillId="23" borderId="0" applyNumberFormat="0" applyBorder="0" applyAlignment="0" applyProtection="0">
      <alignment vertical="center"/>
    </xf>
    <xf numFmtId="0" fontId="44" fillId="13" borderId="0" applyNumberFormat="0" applyBorder="0" applyAlignment="0" applyProtection="0">
      <alignment vertical="center"/>
    </xf>
    <xf numFmtId="0" fontId="61" fillId="19" borderId="0" applyNumberFormat="0" applyBorder="0" applyAlignment="0" applyProtection="0">
      <alignment vertical="center"/>
    </xf>
    <xf numFmtId="0" fontId="40" fillId="0" borderId="56" applyNumberFormat="0" applyFill="0" applyAlignment="0" applyProtection="0">
      <alignment vertical="center"/>
    </xf>
    <xf numFmtId="0" fontId="45" fillId="15" borderId="0" applyNumberFormat="0" applyBorder="0" applyAlignment="0" applyProtection="0">
      <alignment vertical="center"/>
    </xf>
    <xf numFmtId="0" fontId="42" fillId="8" borderId="0" applyNumberFormat="0" applyBorder="0" applyAlignment="0" applyProtection="0">
      <alignment vertical="center"/>
    </xf>
    <xf numFmtId="0" fontId="51" fillId="21" borderId="0" applyNumberFormat="0" applyBorder="0" applyAlignment="0" applyProtection="0">
      <alignment vertical="center"/>
    </xf>
    <xf numFmtId="0" fontId="44" fillId="16"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0" fillId="0" borderId="56" applyNumberFormat="0" applyFill="0" applyAlignment="0" applyProtection="0">
      <alignment vertical="center"/>
    </xf>
    <xf numFmtId="43" fontId="0" fillId="0" borderId="0" applyFont="0" applyFill="0" applyBorder="0" applyAlignment="0" applyProtection="0"/>
    <xf numFmtId="0" fontId="53" fillId="24" borderId="0" applyNumberFormat="0" applyBorder="0" applyAlignment="0" applyProtection="0"/>
    <xf numFmtId="0" fontId="0" fillId="0" borderId="0">
      <alignment vertical="center"/>
    </xf>
    <xf numFmtId="0" fontId="44" fillId="17" borderId="0" applyNumberFormat="0" applyBorder="0" applyAlignment="0" applyProtection="0">
      <alignment vertical="center"/>
    </xf>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58" fillId="8" borderId="0" applyNumberFormat="0" applyBorder="0" applyAlignment="0" applyProtection="0"/>
    <xf numFmtId="0" fontId="40" fillId="0" borderId="56" applyNumberFormat="0" applyFill="0" applyAlignment="0" applyProtection="0">
      <alignment vertical="center"/>
    </xf>
    <xf numFmtId="43" fontId="0" fillId="0" borderId="0" applyFont="0" applyFill="0" applyBorder="0" applyAlignment="0" applyProtection="0"/>
    <xf numFmtId="188" fontId="0" fillId="0" borderId="0" applyFont="0" applyFill="0" applyBorder="0" applyAlignment="0" applyProtection="0">
      <alignment vertical="center"/>
    </xf>
    <xf numFmtId="0" fontId="50" fillId="21" borderId="0" applyNumberFormat="0" applyBorder="0" applyAlignment="0" applyProtection="0">
      <alignment vertical="center"/>
    </xf>
    <xf numFmtId="0" fontId="34" fillId="0" borderId="51" applyNumberFormat="0" applyFill="0" applyAlignment="0" applyProtection="0">
      <alignment vertical="center"/>
    </xf>
    <xf numFmtId="0" fontId="50" fillId="7" borderId="0" applyNumberFormat="0" applyBorder="0" applyAlignment="0" applyProtection="0"/>
    <xf numFmtId="0" fontId="42" fillId="8" borderId="0" applyNumberFormat="0" applyBorder="0" applyAlignment="0" applyProtection="0">
      <alignment vertical="center"/>
    </xf>
    <xf numFmtId="9" fontId="0" fillId="0" borderId="0" applyFont="0" applyFill="0" applyBorder="0" applyAlignment="0" applyProtection="0"/>
    <xf numFmtId="0" fontId="41" fillId="7" borderId="0" applyNumberFormat="0" applyBorder="0" applyAlignment="0" applyProtection="0">
      <alignment vertical="center"/>
    </xf>
    <xf numFmtId="0" fontId="38" fillId="6" borderId="54" applyNumberFormat="0" applyAlignment="0" applyProtection="0">
      <alignment vertical="center"/>
    </xf>
    <xf numFmtId="0" fontId="41" fillId="7" borderId="0" applyNumberFormat="0" applyBorder="0" applyAlignment="0" applyProtection="0">
      <alignment vertical="center"/>
    </xf>
    <xf numFmtId="0" fontId="42" fillId="19" borderId="0" applyNumberFormat="0" applyBorder="0" applyAlignment="0" applyProtection="0">
      <alignment vertical="center"/>
    </xf>
    <xf numFmtId="0" fontId="34" fillId="0" borderId="0" applyNumberFormat="0" applyFill="0" applyBorder="0" applyAlignment="0" applyProtection="0">
      <alignment vertical="center"/>
    </xf>
    <xf numFmtId="0" fontId="52" fillId="19" borderId="0" applyNumberFormat="0" applyBorder="0" applyAlignment="0" applyProtection="0">
      <alignment vertical="center"/>
    </xf>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0" fillId="0" borderId="0"/>
    <xf numFmtId="0" fontId="46" fillId="15" borderId="0" applyNumberFormat="0" applyBorder="0" applyAlignment="0" applyProtection="0">
      <alignment vertical="center"/>
    </xf>
    <xf numFmtId="0" fontId="0" fillId="0" borderId="0">
      <alignment vertical="center"/>
    </xf>
    <xf numFmtId="0" fontId="54" fillId="19" borderId="0" applyNumberFormat="0" applyBorder="0" applyAlignment="0" applyProtection="0">
      <alignment vertical="center"/>
    </xf>
    <xf numFmtId="0" fontId="41" fillId="7" borderId="0" applyNumberFormat="0" applyBorder="0" applyAlignment="0" applyProtection="0">
      <alignment vertical="center"/>
    </xf>
    <xf numFmtId="0" fontId="42" fillId="19" borderId="0" applyNumberFormat="0" applyBorder="0" applyAlignment="0" applyProtection="0">
      <alignment vertical="center"/>
    </xf>
    <xf numFmtId="0" fontId="41" fillId="21" borderId="0" applyNumberFormat="0" applyBorder="0" applyAlignment="0" applyProtection="0">
      <alignment vertical="center"/>
    </xf>
    <xf numFmtId="0" fontId="37" fillId="5" borderId="52" applyNumberFormat="0" applyAlignment="0" applyProtection="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42" fillId="8" borderId="0" applyNumberFormat="0" applyBorder="0" applyAlignment="0" applyProtection="0">
      <alignment vertical="center"/>
    </xf>
    <xf numFmtId="0" fontId="69" fillId="0" borderId="0" applyNumberFormat="0" applyFill="0" applyBorder="0" applyAlignment="0" applyProtection="0">
      <alignment vertical="center"/>
    </xf>
    <xf numFmtId="0" fontId="42" fillId="8" borderId="0" applyNumberFormat="0" applyBorder="0" applyAlignment="0" applyProtection="0">
      <alignment vertical="center"/>
    </xf>
    <xf numFmtId="0" fontId="36" fillId="5" borderId="53" applyNumberFormat="0" applyAlignment="0" applyProtection="0">
      <alignment vertical="center"/>
    </xf>
    <xf numFmtId="0" fontId="44" fillId="24" borderId="0" applyNumberFormat="0" applyBorder="0" applyAlignment="0" applyProtection="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41" fillId="7" borderId="0" applyNumberFormat="0" applyBorder="0" applyAlignment="0" applyProtection="0">
      <alignment vertical="center"/>
    </xf>
    <xf numFmtId="0" fontId="40" fillId="0" borderId="56" applyNumberFormat="0" applyFill="0" applyAlignment="0" applyProtection="0">
      <alignment vertical="center"/>
    </xf>
    <xf numFmtId="0" fontId="45" fillId="8" borderId="0" applyNumberFormat="0" applyBorder="0" applyAlignment="0" applyProtection="0">
      <alignment vertical="center"/>
    </xf>
    <xf numFmtId="0" fontId="35" fillId="4" borderId="52" applyNumberFormat="0" applyAlignment="0" applyProtection="0">
      <alignment vertical="center"/>
    </xf>
    <xf numFmtId="0" fontId="44" fillId="10" borderId="0" applyNumberFormat="0" applyBorder="0" applyAlignment="0" applyProtection="0">
      <alignment vertical="center"/>
    </xf>
    <xf numFmtId="0" fontId="31" fillId="0" borderId="0" applyNumberFormat="0" applyFill="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4" fillId="14" borderId="0" applyNumberFormat="0" applyBorder="0" applyAlignment="0" applyProtection="0">
      <alignment vertical="center"/>
    </xf>
    <xf numFmtId="0" fontId="45" fillId="17" borderId="0" applyNumberFormat="0" applyBorder="0" applyAlignment="0" applyProtection="0">
      <alignment vertical="center"/>
    </xf>
    <xf numFmtId="0" fontId="50" fillId="7" borderId="0" applyNumberFormat="0" applyBorder="0" applyAlignment="0" applyProtection="0"/>
    <xf numFmtId="0" fontId="45" fillId="12" borderId="0" applyNumberFormat="0" applyBorder="0" applyAlignment="0" applyProtection="0">
      <alignment vertical="center"/>
    </xf>
    <xf numFmtId="0" fontId="30" fillId="0" borderId="0" applyNumberFormat="0" applyFill="0" applyBorder="0" applyAlignment="0" applyProtection="0">
      <alignment vertical="center"/>
    </xf>
    <xf numFmtId="0" fontId="42" fillId="8" borderId="0" applyNumberFormat="0" applyBorder="0" applyAlignment="0" applyProtection="0">
      <alignment vertical="center"/>
    </xf>
    <xf numFmtId="0" fontId="0" fillId="0" borderId="0">
      <alignment vertical="center"/>
    </xf>
    <xf numFmtId="0" fontId="43" fillId="9" borderId="0" applyNumberFormat="0" applyBorder="0" applyAlignment="0" applyProtection="0">
      <alignment vertical="center"/>
    </xf>
    <xf numFmtId="0" fontId="43" fillId="9" borderId="0" applyNumberFormat="0" applyBorder="0" applyAlignment="0" applyProtection="0">
      <alignment vertical="center"/>
    </xf>
    <xf numFmtId="0" fontId="30" fillId="0" borderId="0" applyNumberFormat="0" applyFill="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5" fillId="15" borderId="0" applyNumberFormat="0" applyBorder="0" applyAlignment="0" applyProtection="0">
      <alignment vertical="center"/>
    </xf>
    <xf numFmtId="0" fontId="38" fillId="6" borderId="54" applyNumberFormat="0" applyAlignment="0" applyProtection="0">
      <alignment vertical="center"/>
    </xf>
    <xf numFmtId="0" fontId="41" fillId="7" borderId="0" applyNumberFormat="0" applyBorder="0" applyAlignment="0" applyProtection="0">
      <alignment vertical="center"/>
    </xf>
    <xf numFmtId="0" fontId="45" fillId="12" borderId="0" applyNumberFormat="0" applyBorder="0" applyAlignment="0" applyProtection="0">
      <alignment vertical="center"/>
    </xf>
    <xf numFmtId="0" fontId="49" fillId="5" borderId="0" applyNumberFormat="0" applyBorder="0" applyAlignment="0" applyProtection="0"/>
    <xf numFmtId="0" fontId="42" fillId="19" borderId="0" applyNumberFormat="0" applyBorder="0" applyAlignment="0" applyProtection="0">
      <alignment vertical="center"/>
    </xf>
    <xf numFmtId="0" fontId="41" fillId="7" borderId="0" applyNumberFormat="0" applyBorder="0" applyAlignment="0" applyProtection="0">
      <alignment vertical="center"/>
    </xf>
    <xf numFmtId="0" fontId="53" fillId="5" borderId="0" applyNumberFormat="0" applyBorder="0" applyAlignment="0" applyProtection="0"/>
    <xf numFmtId="0" fontId="42" fillId="19" borderId="0" applyNumberFormat="0" applyBorder="0" applyAlignment="0" applyProtection="0">
      <alignment vertical="center"/>
    </xf>
    <xf numFmtId="0" fontId="42" fillId="8" borderId="0" applyNumberFormat="0" applyBorder="0" applyAlignment="0" applyProtection="0">
      <alignment vertical="center"/>
    </xf>
    <xf numFmtId="0" fontId="33" fillId="0" borderId="50" applyNumberFormat="0" applyFill="0" applyAlignment="0" applyProtection="0">
      <alignment vertical="center"/>
    </xf>
    <xf numFmtId="0" fontId="41" fillId="7" borderId="0" applyNumberFormat="0" applyBorder="0" applyAlignment="0" applyProtection="0">
      <alignment vertical="center"/>
    </xf>
    <xf numFmtId="0" fontId="44" fillId="15" borderId="0" applyNumberFormat="0" applyBorder="0" applyAlignment="0" applyProtection="0">
      <alignment vertical="center"/>
    </xf>
    <xf numFmtId="0" fontId="42" fillId="8" borderId="0" applyNumberFormat="0" applyBorder="0" applyAlignment="0" applyProtection="0">
      <alignment vertical="center"/>
    </xf>
    <xf numFmtId="0" fontId="54" fillId="19" borderId="0" applyNumberFormat="0" applyBorder="0" applyAlignment="0" applyProtection="0">
      <alignment vertical="center"/>
    </xf>
    <xf numFmtId="0" fontId="42" fillId="8" borderId="0" applyNumberFormat="0" applyBorder="0" applyAlignment="0" applyProtection="0">
      <alignment vertical="center"/>
    </xf>
    <xf numFmtId="0" fontId="39" fillId="0" borderId="55" applyNumberFormat="0" applyFill="0" applyAlignment="0" applyProtection="0">
      <alignment vertical="center"/>
    </xf>
    <xf numFmtId="0" fontId="41" fillId="7" borderId="0" applyNumberFormat="0" applyBorder="0" applyAlignment="0" applyProtection="0">
      <alignment vertical="center"/>
    </xf>
    <xf numFmtId="0" fontId="54" fillId="19" borderId="0" applyNumberFormat="0" applyBorder="0" applyAlignment="0" applyProtection="0">
      <alignment vertical="center"/>
    </xf>
    <xf numFmtId="43" fontId="0" fillId="0" borderId="0" applyFont="0" applyFill="0" applyBorder="0" applyAlignment="0" applyProtection="0"/>
    <xf numFmtId="0" fontId="60" fillId="7" borderId="0" applyNumberFormat="0" applyBorder="0" applyAlignment="0" applyProtection="0">
      <alignment vertical="center"/>
    </xf>
    <xf numFmtId="0" fontId="36" fillId="5" borderId="53" applyNumberFormat="0" applyAlignment="0" applyProtection="0">
      <alignment vertical="center"/>
    </xf>
    <xf numFmtId="0" fontId="43" fillId="9" borderId="0" applyNumberFormat="0" applyBorder="0" applyAlignment="0" applyProtection="0">
      <alignment vertical="center"/>
    </xf>
    <xf numFmtId="0" fontId="45" fillId="12" borderId="0" applyNumberFormat="0" applyBorder="0" applyAlignment="0" applyProtection="0">
      <alignment vertical="center"/>
    </xf>
    <xf numFmtId="0" fontId="45" fillId="17" borderId="0" applyNumberFormat="0" applyBorder="0" applyAlignment="0" applyProtection="0">
      <alignment vertical="center"/>
    </xf>
    <xf numFmtId="0" fontId="36" fillId="5" borderId="53" applyNumberFormat="0" applyAlignment="0" applyProtection="0">
      <alignment vertical="center"/>
    </xf>
    <xf numFmtId="9" fontId="0" fillId="0" borderId="0" applyFont="0" applyFill="0" applyBorder="0" applyAlignment="0" applyProtection="0">
      <alignment vertical="center"/>
    </xf>
    <xf numFmtId="0" fontId="45" fillId="15"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30" fillId="0" borderId="0" applyNumberFormat="0" applyFill="0" applyBorder="0" applyAlignment="0" applyProtection="0">
      <alignment vertical="center"/>
    </xf>
    <xf numFmtId="0" fontId="42" fillId="19"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58" fillId="8" borderId="0" applyNumberFormat="0" applyBorder="0" applyAlignment="0" applyProtection="0"/>
    <xf numFmtId="0" fontId="49" fillId="3" borderId="0" applyNumberFormat="0" applyBorder="0" applyAlignment="0" applyProtection="0"/>
    <xf numFmtId="0" fontId="44" fillId="17" borderId="0" applyNumberFormat="0" applyBorder="0" applyAlignment="0" applyProtection="0">
      <alignment vertical="center"/>
    </xf>
    <xf numFmtId="195" fontId="0" fillId="0" borderId="0" applyFont="0" applyFill="0" applyBorder="0" applyAlignment="0" applyProtection="0"/>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2" fillId="8" borderId="0" applyNumberFormat="0" applyBorder="0" applyAlignment="0" applyProtection="0">
      <alignment vertical="center"/>
    </xf>
    <xf numFmtId="0" fontId="0" fillId="0" borderId="0">
      <alignment vertical="center"/>
    </xf>
    <xf numFmtId="0" fontId="39" fillId="0" borderId="55" applyNumberFormat="0" applyFill="0" applyAlignment="0" applyProtection="0">
      <alignment vertical="center"/>
    </xf>
    <xf numFmtId="0" fontId="49" fillId="11" borderId="0" applyNumberFormat="0" applyBorder="0" applyAlignment="0" applyProtection="0"/>
    <xf numFmtId="0" fontId="68" fillId="8" borderId="0" applyNumberFormat="0" applyBorder="0" applyAlignment="0" applyProtection="0">
      <alignment vertical="center"/>
    </xf>
    <xf numFmtId="0" fontId="41" fillId="21" borderId="0" applyNumberFormat="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0" fontId="31" fillId="0" borderId="0" applyNumberFormat="0" applyFill="0" applyBorder="0" applyAlignment="0" applyProtection="0">
      <alignment vertical="center"/>
    </xf>
    <xf numFmtId="0" fontId="41" fillId="7" borderId="0" applyNumberFormat="0" applyBorder="0" applyAlignment="0" applyProtection="0">
      <alignment vertical="center"/>
    </xf>
    <xf numFmtId="0" fontId="40" fillId="0" borderId="56" applyNumberFormat="0" applyFill="0" applyAlignment="0" applyProtection="0">
      <alignment vertical="center"/>
    </xf>
    <xf numFmtId="0" fontId="42" fillId="19"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0" fillId="0" borderId="0"/>
    <xf numFmtId="0" fontId="0" fillId="0" borderId="0">
      <alignment vertical="center"/>
    </xf>
    <xf numFmtId="0" fontId="44" fillId="17" borderId="0" applyNumberFormat="0" applyBorder="0" applyAlignment="0" applyProtection="0">
      <alignment vertical="center"/>
    </xf>
    <xf numFmtId="0" fontId="44" fillId="16"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45" fillId="21" borderId="0" applyNumberFormat="0" applyBorder="0" applyAlignment="0" applyProtection="0">
      <alignment vertical="center"/>
    </xf>
    <xf numFmtId="0" fontId="42" fillId="8" borderId="0" applyNumberFormat="0" applyBorder="0" applyAlignment="0" applyProtection="0">
      <alignment vertical="center"/>
    </xf>
    <xf numFmtId="0" fontId="0" fillId="0" borderId="0"/>
    <xf numFmtId="0" fontId="44" fillId="20" borderId="0" applyNumberFormat="0" applyBorder="0" applyAlignment="0" applyProtection="0">
      <alignment vertical="center"/>
    </xf>
    <xf numFmtId="0" fontId="41" fillId="7" borderId="0" applyNumberFormat="0" applyBorder="0" applyAlignment="0" applyProtection="0">
      <alignment vertical="center"/>
    </xf>
    <xf numFmtId="0" fontId="0" fillId="0" borderId="0">
      <alignment vertical="center"/>
    </xf>
    <xf numFmtId="0" fontId="49" fillId="3" borderId="0" applyNumberFormat="0" applyBorder="0" applyAlignment="0" applyProtection="0"/>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0" fillId="0" borderId="0"/>
    <xf numFmtId="0" fontId="33" fillId="0" borderId="50" applyNumberFormat="0" applyFill="0" applyAlignment="0" applyProtection="0">
      <alignment vertical="center"/>
    </xf>
    <xf numFmtId="0" fontId="42" fillId="19" borderId="0" applyNumberFormat="0" applyBorder="0" applyAlignment="0" applyProtection="0">
      <alignment vertical="center"/>
    </xf>
    <xf numFmtId="0" fontId="0" fillId="0" borderId="0">
      <alignment vertical="center"/>
    </xf>
    <xf numFmtId="0" fontId="42" fillId="8" borderId="0" applyNumberFormat="0" applyBorder="0" applyAlignment="0" applyProtection="0">
      <alignment vertical="center"/>
    </xf>
    <xf numFmtId="0" fontId="45" fillId="15" borderId="0" applyNumberFormat="0" applyBorder="0" applyAlignment="0" applyProtection="0">
      <alignment vertical="center"/>
    </xf>
    <xf numFmtId="0" fontId="41" fillId="7" borderId="0" applyNumberFormat="0" applyBorder="0" applyAlignment="0" applyProtection="0">
      <alignment vertical="center"/>
    </xf>
    <xf numFmtId="0" fontId="44" fillId="17" borderId="0" applyNumberFormat="0" applyBorder="0" applyAlignment="0" applyProtection="0">
      <alignment vertical="center"/>
    </xf>
    <xf numFmtId="0" fontId="38" fillId="6" borderId="54" applyNumberFormat="0" applyAlignment="0" applyProtection="0">
      <alignment vertical="center"/>
    </xf>
    <xf numFmtId="0" fontId="50" fillId="7" borderId="0" applyNumberFormat="0" applyBorder="0" applyAlignment="0" applyProtection="0"/>
    <xf numFmtId="0" fontId="87" fillId="9" borderId="0" applyNumberFormat="0" applyBorder="0" applyAlignment="0" applyProtection="0">
      <alignment vertical="center"/>
    </xf>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68" fillId="8" borderId="0" applyNumberFormat="0" applyBorder="0" applyAlignment="0" applyProtection="0">
      <alignment vertical="center"/>
    </xf>
    <xf numFmtId="0" fontId="45" fillId="19" borderId="0" applyNumberFormat="0" applyBorder="0" applyAlignment="0" applyProtection="0">
      <alignment vertical="center"/>
    </xf>
    <xf numFmtId="0" fontId="49" fillId="5" borderId="0" applyNumberFormat="0" applyBorder="0" applyAlignment="0" applyProtection="0"/>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54" fillId="19"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50" fillId="21" borderId="0" applyNumberFormat="0" applyBorder="0" applyAlignment="0" applyProtection="0">
      <alignment vertical="center"/>
    </xf>
    <xf numFmtId="0" fontId="51" fillId="21" borderId="0" applyNumberFormat="0" applyBorder="0" applyAlignment="0" applyProtection="0">
      <alignment vertical="center"/>
    </xf>
    <xf numFmtId="0" fontId="45" fillId="17" borderId="0" applyNumberFormat="0" applyBorder="0" applyAlignment="0" applyProtection="0">
      <alignment vertical="center"/>
    </xf>
    <xf numFmtId="40" fontId="0" fillId="0" borderId="0" applyFont="0" applyFill="0" applyBorder="0" applyAlignment="0" applyProtection="0"/>
    <xf numFmtId="0" fontId="44" fillId="24" borderId="0" applyNumberFormat="0" applyBorder="0" applyAlignment="0" applyProtection="0">
      <alignment vertical="center"/>
    </xf>
    <xf numFmtId="0" fontId="51" fillId="21" borderId="0" applyNumberFormat="0" applyBorder="0" applyAlignment="0" applyProtection="0">
      <alignment vertical="center"/>
    </xf>
    <xf numFmtId="0" fontId="0" fillId="0" borderId="0"/>
    <xf numFmtId="0" fontId="42" fillId="19" borderId="0" applyNumberFormat="0" applyBorder="0" applyAlignment="0" applyProtection="0">
      <alignment vertical="center"/>
    </xf>
    <xf numFmtId="0" fontId="41" fillId="7" borderId="0" applyNumberFormat="0" applyBorder="0" applyAlignment="0" applyProtection="0">
      <alignment vertical="center"/>
    </xf>
    <xf numFmtId="0" fontId="36" fillId="5" borderId="53" applyNumberFormat="0" applyAlignment="0" applyProtection="0">
      <alignment vertical="center"/>
    </xf>
    <xf numFmtId="0" fontId="0" fillId="0" borderId="0" applyFont="0" applyFill="0" applyBorder="0" applyAlignment="0" applyProtection="0"/>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34" fillId="0" borderId="51" applyNumberFormat="0" applyFill="0" applyAlignment="0" applyProtection="0">
      <alignment vertical="center"/>
    </xf>
    <xf numFmtId="0" fontId="42" fillId="8" borderId="0" applyNumberFormat="0" applyBorder="0" applyAlignment="0" applyProtection="0">
      <alignment vertical="center"/>
    </xf>
    <xf numFmtId="0" fontId="0" fillId="0" borderId="0"/>
    <xf numFmtId="0" fontId="44" fillId="17" borderId="0" applyNumberFormat="0" applyBorder="0" applyAlignment="0" applyProtection="0">
      <alignment vertical="center"/>
    </xf>
    <xf numFmtId="0" fontId="45" fillId="15" borderId="0" applyNumberFormat="0" applyBorder="0" applyAlignment="0" applyProtection="0">
      <alignment vertical="center"/>
    </xf>
    <xf numFmtId="0" fontId="68" fillId="8" borderId="0" applyNumberFormat="0" applyBorder="0" applyAlignment="0" applyProtection="0">
      <alignment vertical="center"/>
    </xf>
    <xf numFmtId="9" fontId="0" fillId="0" borderId="0" applyFont="0" applyFill="0" applyBorder="0" applyAlignment="0" applyProtection="0">
      <alignment vertical="center"/>
    </xf>
    <xf numFmtId="0" fontId="42" fillId="8" borderId="0" applyNumberFormat="0" applyBorder="0" applyAlignment="0" applyProtection="0">
      <alignment vertical="center"/>
    </xf>
    <xf numFmtId="0" fontId="51" fillId="21" borderId="0" applyNumberFormat="0" applyBorder="0" applyAlignment="0" applyProtection="0">
      <alignment vertical="center"/>
    </xf>
    <xf numFmtId="0" fontId="44" fillId="14" borderId="0" applyNumberFormat="0" applyBorder="0" applyAlignment="0" applyProtection="0">
      <alignment vertical="center"/>
    </xf>
    <xf numFmtId="0" fontId="41" fillId="7" borderId="0" applyNumberFormat="0" applyBorder="0" applyAlignment="0" applyProtection="0">
      <alignment vertical="center"/>
    </xf>
    <xf numFmtId="0" fontId="44" fillId="20" borderId="0" applyNumberFormat="0" applyBorder="0" applyAlignment="0" applyProtection="0">
      <alignment vertical="center"/>
    </xf>
    <xf numFmtId="0" fontId="50" fillId="21" borderId="0" applyNumberFormat="0" applyBorder="0" applyAlignment="0" applyProtection="0">
      <alignment vertical="center"/>
    </xf>
    <xf numFmtId="0" fontId="41" fillId="21" borderId="0" applyNumberFormat="0" applyBorder="0" applyAlignment="0" applyProtection="0">
      <alignment vertical="center"/>
    </xf>
    <xf numFmtId="0" fontId="53" fillId="4" borderId="0" applyNumberFormat="0" applyBorder="0" applyAlignment="0" applyProtection="0"/>
    <xf numFmtId="0" fontId="36" fillId="5" borderId="53" applyNumberFormat="0" applyAlignment="0" applyProtection="0">
      <alignment vertical="center"/>
    </xf>
    <xf numFmtId="0" fontId="51" fillId="21" borderId="0" applyNumberFormat="0" applyBorder="0" applyAlignment="0" applyProtection="0">
      <alignment vertical="center"/>
    </xf>
    <xf numFmtId="0" fontId="49" fillId="3" borderId="0" applyNumberFormat="0" applyBorder="0" applyAlignment="0" applyProtection="0"/>
    <xf numFmtId="41" fontId="0" fillId="0" borderId="0" applyFont="0" applyFill="0" applyBorder="0" applyAlignment="0" applyProtection="0">
      <alignment vertical="center"/>
    </xf>
    <xf numFmtId="0" fontId="41" fillId="7" borderId="0" applyNumberFormat="0" applyBorder="0" applyAlignment="0" applyProtection="0">
      <alignment vertical="center"/>
    </xf>
    <xf numFmtId="0" fontId="0" fillId="0" borderId="0"/>
    <xf numFmtId="0" fontId="44" fillId="15" borderId="0" applyNumberFormat="0" applyBorder="0" applyAlignment="0" applyProtection="0">
      <alignment vertical="center"/>
    </xf>
    <xf numFmtId="0" fontId="0" fillId="0" borderId="0" applyNumberFormat="0" applyFont="0" applyFill="0" applyBorder="0" applyAlignment="0" applyProtection="0">
      <alignment horizontal="left"/>
    </xf>
    <xf numFmtId="0" fontId="41" fillId="7" borderId="0" applyNumberFormat="0" applyBorder="0" applyAlignment="0" applyProtection="0">
      <alignment vertical="center"/>
    </xf>
    <xf numFmtId="0" fontId="32" fillId="0" borderId="49" applyNumberFormat="0" applyFill="0" applyAlignment="0" applyProtection="0">
      <alignment vertical="center"/>
    </xf>
    <xf numFmtId="0" fontId="41" fillId="7" borderId="0" applyNumberFormat="0" applyBorder="0" applyAlignment="0" applyProtection="0">
      <alignment vertical="center"/>
    </xf>
    <xf numFmtId="0" fontId="58" fillId="8" borderId="0" applyNumberFormat="0" applyBorder="0" applyAlignment="0" applyProtection="0"/>
    <xf numFmtId="0" fontId="36" fillId="5" borderId="53" applyNumberFormat="0" applyAlignment="0" applyProtection="0">
      <alignment vertical="center"/>
    </xf>
    <xf numFmtId="0" fontId="42" fillId="19" borderId="0" applyNumberFormat="0" applyBorder="0" applyAlignment="0" applyProtection="0">
      <alignment vertical="center"/>
    </xf>
    <xf numFmtId="0" fontId="41" fillId="21" borderId="0" applyNumberFormat="0" applyBorder="0" applyAlignment="0" applyProtection="0">
      <alignment vertical="center"/>
    </xf>
    <xf numFmtId="0" fontId="54" fillId="19" borderId="0" applyNumberFormat="0" applyBorder="0" applyAlignment="0" applyProtection="0">
      <alignment vertical="center"/>
    </xf>
    <xf numFmtId="0" fontId="41" fillId="21" borderId="0" applyNumberFormat="0" applyBorder="0" applyAlignment="0" applyProtection="0">
      <alignment vertical="center"/>
    </xf>
    <xf numFmtId="0" fontId="44" fillId="18"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34" fillId="0" borderId="51" applyNumberFormat="0" applyFill="0" applyAlignment="0" applyProtection="0">
      <alignment vertical="center"/>
    </xf>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42" fillId="19" borderId="0" applyNumberFormat="0" applyBorder="0" applyAlignment="0" applyProtection="0">
      <alignment vertical="center"/>
    </xf>
    <xf numFmtId="0" fontId="45" fillId="8" borderId="0" applyNumberFormat="0" applyBorder="0" applyAlignment="0" applyProtection="0">
      <alignment vertical="center"/>
    </xf>
    <xf numFmtId="0" fontId="29" fillId="0" borderId="0" applyNumberFormat="0" applyFill="0" applyBorder="0" applyAlignment="0" applyProtection="0">
      <alignment vertical="center"/>
    </xf>
    <xf numFmtId="0" fontId="45" fillId="12" borderId="0" applyNumberFormat="0" applyBorder="0" applyAlignment="0" applyProtection="0">
      <alignment vertical="center"/>
    </xf>
    <xf numFmtId="0" fontId="49" fillId="5" borderId="0" applyNumberFormat="0" applyBorder="0" applyAlignment="0" applyProtection="0"/>
    <xf numFmtId="0" fontId="53" fillId="20" borderId="0" applyNumberFormat="0" applyBorder="0" applyAlignment="0" applyProtection="0"/>
    <xf numFmtId="0" fontId="41" fillId="7" borderId="0" applyNumberFormat="0" applyBorder="0" applyAlignment="0" applyProtection="0">
      <alignment vertical="center"/>
    </xf>
    <xf numFmtId="0" fontId="31" fillId="0" borderId="0" applyNumberFormat="0" applyFill="0" applyBorder="0" applyAlignment="0" applyProtection="0">
      <alignment vertical="center"/>
    </xf>
    <xf numFmtId="0" fontId="56" fillId="0" borderId="0"/>
    <xf numFmtId="0" fontId="45" fillId="19" borderId="0" applyNumberFormat="0" applyBorder="0" applyAlignment="0" applyProtection="0">
      <alignment vertical="center"/>
    </xf>
    <xf numFmtId="43" fontId="0" fillId="0" borderId="0" applyFont="0" applyFill="0" applyBorder="0" applyAlignment="0" applyProtection="0"/>
    <xf numFmtId="0" fontId="34" fillId="0" borderId="0" applyNumberFormat="0" applyFill="0" applyBorder="0" applyAlignment="0" applyProtection="0">
      <alignment vertical="center"/>
    </xf>
    <xf numFmtId="0" fontId="50" fillId="21" borderId="0" applyNumberFormat="0" applyBorder="0" applyAlignment="0" applyProtection="0">
      <alignment vertical="center"/>
    </xf>
    <xf numFmtId="0" fontId="41" fillId="7" borderId="0" applyNumberFormat="0" applyBorder="0" applyAlignment="0" applyProtection="0">
      <alignment vertical="center"/>
    </xf>
    <xf numFmtId="0" fontId="48" fillId="0" borderId="0" applyNumberFormat="0" applyFill="0" applyBorder="0" applyAlignment="0" applyProtection="0"/>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 fillId="0" borderId="0">
      <alignment vertical="center"/>
    </xf>
    <xf numFmtId="0" fontId="45" fillId="4" borderId="0" applyNumberFormat="0" applyBorder="0" applyAlignment="0" applyProtection="0">
      <alignment vertical="center"/>
    </xf>
    <xf numFmtId="0" fontId="41" fillId="7" borderId="0" applyNumberFormat="0" applyBorder="0" applyAlignment="0" applyProtection="0">
      <alignment vertical="center"/>
    </xf>
    <xf numFmtId="0" fontId="44" fillId="13" borderId="0" applyNumberFormat="0" applyBorder="0" applyAlignment="0" applyProtection="0">
      <alignment vertical="center"/>
    </xf>
    <xf numFmtId="0" fontId="45" fillId="4" borderId="0" applyNumberFormat="0" applyBorder="0" applyAlignment="0" applyProtection="0">
      <alignment vertical="center"/>
    </xf>
    <xf numFmtId="0" fontId="31" fillId="0" borderId="0" applyNumberFormat="0" applyFill="0" applyBorder="0" applyAlignment="0" applyProtection="0">
      <alignment vertical="center"/>
    </xf>
    <xf numFmtId="0" fontId="49" fillId="4" borderId="0" applyNumberFormat="0" applyBorder="0" applyAlignment="0" applyProtection="0"/>
    <xf numFmtId="0" fontId="40" fillId="0" borderId="56" applyNumberFormat="0" applyFill="0" applyAlignment="0" applyProtection="0">
      <alignment vertical="center"/>
    </xf>
    <xf numFmtId="0" fontId="53" fillId="6" borderId="0" applyNumberFormat="0" applyBorder="0" applyAlignment="0" applyProtection="0"/>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54" fillId="19" borderId="0" applyNumberFormat="0" applyBorder="0" applyAlignment="0" applyProtection="0">
      <alignment vertical="center"/>
    </xf>
    <xf numFmtId="179" fontId="18" fillId="0" borderId="15">
      <alignment vertical="center"/>
      <protection locked="0"/>
    </xf>
    <xf numFmtId="0" fontId="0" fillId="0" borderId="0"/>
    <xf numFmtId="0" fontId="44" fillId="17" borderId="0" applyNumberFormat="0" applyBorder="0" applyAlignment="0" applyProtection="0">
      <alignment vertical="center"/>
    </xf>
    <xf numFmtId="0" fontId="0" fillId="0" borderId="0"/>
    <xf numFmtId="0" fontId="0" fillId="3" borderId="48" applyNumberFormat="0" applyFont="0" applyAlignment="0" applyProtection="0">
      <alignment vertical="center"/>
    </xf>
    <xf numFmtId="0" fontId="88" fillId="0" borderId="0" applyProtection="0"/>
    <xf numFmtId="0" fontId="41" fillId="7" borderId="0" applyNumberFormat="0" applyBorder="0" applyAlignment="0" applyProtection="0">
      <alignment vertical="center"/>
    </xf>
    <xf numFmtId="0" fontId="0" fillId="0" borderId="0"/>
    <xf numFmtId="1" fontId="2" fillId="0" borderId="2" applyFill="0" applyProtection="0">
      <alignment horizontal="center"/>
    </xf>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45" fillId="19" borderId="0" applyNumberFormat="0" applyBorder="0" applyAlignment="0" applyProtection="0">
      <alignment vertical="center"/>
    </xf>
    <xf numFmtId="179" fontId="18" fillId="0" borderId="15">
      <alignment vertical="center"/>
      <protection locked="0"/>
    </xf>
    <xf numFmtId="0" fontId="0" fillId="0" borderId="0"/>
    <xf numFmtId="0" fontId="37" fillId="5" borderId="52" applyNumberFormat="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4" fillId="13" borderId="0" applyNumberFormat="0" applyBorder="0" applyAlignment="0" applyProtection="0">
      <alignment vertical="center"/>
    </xf>
    <xf numFmtId="0" fontId="45" fillId="23" borderId="0" applyNumberFormat="0" applyBorder="0" applyAlignment="0" applyProtection="0">
      <alignment vertical="center"/>
    </xf>
    <xf numFmtId="0" fontId="45" fillId="12" borderId="0" applyNumberFormat="0" applyBorder="0" applyAlignment="0" applyProtection="0">
      <alignment vertical="center"/>
    </xf>
    <xf numFmtId="0" fontId="42" fillId="8" borderId="0" applyNumberFormat="0" applyBorder="0" applyAlignment="0" applyProtection="0">
      <alignment vertical="center"/>
    </xf>
    <xf numFmtId="0" fontId="35" fillId="4" borderId="52" applyNumberFormat="0" applyAlignment="0" applyProtection="0">
      <alignment vertical="center"/>
    </xf>
    <xf numFmtId="0" fontId="51" fillId="21"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9" fillId="3" borderId="0" applyNumberFormat="0" applyBorder="0" applyAlignment="0" applyProtection="0"/>
    <xf numFmtId="196" fontId="0" fillId="0" borderId="0" applyFont="0" applyFill="0" applyBorder="0" applyAlignment="0" applyProtection="0"/>
    <xf numFmtId="0" fontId="54" fillId="19" borderId="0" applyNumberFormat="0" applyBorder="0" applyAlignment="0" applyProtection="0">
      <alignment vertical="center"/>
    </xf>
    <xf numFmtId="0" fontId="41" fillId="21" borderId="0" applyNumberFormat="0" applyBorder="0" applyAlignment="0" applyProtection="0">
      <alignment vertical="center"/>
    </xf>
    <xf numFmtId="0" fontId="39" fillId="0" borderId="55" applyNumberFormat="0" applyFill="0" applyAlignment="0" applyProtection="0">
      <alignment vertical="center"/>
    </xf>
    <xf numFmtId="0" fontId="0" fillId="0" borderId="0"/>
    <xf numFmtId="0" fontId="44" fillId="13" borderId="0" applyNumberFormat="0" applyBorder="0" applyAlignment="0" applyProtection="0">
      <alignment vertical="center"/>
    </xf>
    <xf numFmtId="0" fontId="42" fillId="8" borderId="0" applyNumberFormat="0" applyBorder="0" applyAlignment="0" applyProtection="0">
      <alignment vertical="center"/>
    </xf>
    <xf numFmtId="0" fontId="44" fillId="14" borderId="0" applyNumberFormat="0" applyBorder="0" applyAlignment="0" applyProtection="0">
      <alignment vertical="center"/>
    </xf>
    <xf numFmtId="0" fontId="89" fillId="0" borderId="0" applyNumberFormat="0" applyFill="0" applyBorder="0" applyAlignment="0" applyProtection="0"/>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6" fillId="18" borderId="0" applyNumberFormat="0" applyBorder="0" applyAlignment="0" applyProtection="0">
      <alignment vertical="center"/>
    </xf>
    <xf numFmtId="0" fontId="42" fillId="8" borderId="0" applyNumberFormat="0" applyBorder="0" applyAlignment="0" applyProtection="0">
      <alignment vertical="center"/>
    </xf>
    <xf numFmtId="0" fontId="30" fillId="0" borderId="0" applyNumberFormat="0" applyFill="0" applyBorder="0" applyAlignment="0" applyProtection="0">
      <alignment vertical="center"/>
    </xf>
    <xf numFmtId="0" fontId="28" fillId="0" borderId="0" applyNumberFormat="0" applyFill="0" applyBorder="0" applyAlignment="0" applyProtection="0">
      <alignment vertical="top"/>
      <protection locked="0"/>
    </xf>
    <xf numFmtId="0" fontId="44" fillId="18" borderId="0" applyNumberFormat="0" applyBorder="0" applyAlignment="0" applyProtection="0">
      <alignment vertical="center"/>
    </xf>
    <xf numFmtId="0" fontId="49" fillId="3" borderId="0" applyNumberFormat="0" applyBorder="0" applyAlignment="0" applyProtection="0"/>
    <xf numFmtId="0" fontId="48" fillId="0" borderId="0" applyNumberFormat="0" applyFill="0" applyBorder="0" applyAlignment="0" applyProtection="0"/>
    <xf numFmtId="0" fontId="42" fillId="8" borderId="0" applyNumberFormat="0" applyBorder="0" applyAlignment="0" applyProtection="0">
      <alignment vertical="center"/>
    </xf>
    <xf numFmtId="0" fontId="71" fillId="0" borderId="0"/>
    <xf numFmtId="0" fontId="45" fillId="15" borderId="0" applyNumberFormat="0" applyBorder="0" applyAlignment="0" applyProtection="0">
      <alignment vertical="center"/>
    </xf>
    <xf numFmtId="0" fontId="42" fillId="8" borderId="0" applyNumberFormat="0" applyBorder="0" applyAlignment="0" applyProtection="0">
      <alignment vertical="center"/>
    </xf>
    <xf numFmtId="0" fontId="45" fillId="19" borderId="0" applyNumberFormat="0" applyBorder="0" applyAlignment="0" applyProtection="0">
      <alignment vertical="center"/>
    </xf>
    <xf numFmtId="0" fontId="41" fillId="7" borderId="0" applyNumberFormat="0" applyBorder="0" applyAlignment="0" applyProtection="0">
      <alignment vertical="center"/>
    </xf>
    <xf numFmtId="0" fontId="59" fillId="21" borderId="0" applyNumberFormat="0" applyBorder="0" applyAlignment="0" applyProtection="0">
      <alignment vertical="center"/>
    </xf>
    <xf numFmtId="0" fontId="44" fillId="14" borderId="0" applyNumberFormat="0" applyBorder="0" applyAlignment="0" applyProtection="0">
      <alignment vertical="center"/>
    </xf>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45" fillId="0" borderId="0">
      <alignment vertical="center"/>
    </xf>
    <xf numFmtId="0" fontId="44" fillId="16" borderId="0" applyNumberFormat="0" applyBorder="0" applyAlignment="0" applyProtection="0">
      <alignment vertical="center"/>
    </xf>
    <xf numFmtId="0" fontId="42" fillId="8" borderId="0" applyNumberFormat="0" applyBorder="0" applyAlignment="0" applyProtection="0">
      <alignment vertical="center"/>
    </xf>
    <xf numFmtId="0" fontId="45" fillId="23" borderId="0" applyNumberFormat="0" applyBorder="0" applyAlignment="0" applyProtection="0">
      <alignment vertical="center"/>
    </xf>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44" fillId="14" borderId="0" applyNumberFormat="0" applyBorder="0" applyAlignment="0" applyProtection="0">
      <alignment vertical="center"/>
    </xf>
    <xf numFmtId="0" fontId="59" fillId="21" borderId="0" applyNumberFormat="0" applyBorder="0" applyAlignment="0" applyProtection="0">
      <alignment vertical="center"/>
    </xf>
    <xf numFmtId="0" fontId="0" fillId="0" borderId="0"/>
    <xf numFmtId="0" fontId="45" fillId="12" borderId="0" applyNumberFormat="0" applyBorder="0" applyAlignment="0" applyProtection="0">
      <alignment vertical="center"/>
    </xf>
    <xf numFmtId="0" fontId="44" fillId="17" borderId="0" applyNumberFormat="0" applyBorder="0" applyAlignment="0" applyProtection="0">
      <alignment vertical="center"/>
    </xf>
    <xf numFmtId="0" fontId="58" fillId="8" borderId="0" applyNumberFormat="0" applyBorder="0" applyAlignment="0" applyProtection="0"/>
    <xf numFmtId="0" fontId="41" fillId="7" borderId="0" applyNumberFormat="0" applyBorder="0" applyAlignment="0" applyProtection="0">
      <alignment vertical="center"/>
    </xf>
    <xf numFmtId="0" fontId="32" fillId="0" borderId="49" applyNumberFormat="0" applyFill="0" applyAlignment="0" applyProtection="0">
      <alignment vertical="center"/>
    </xf>
    <xf numFmtId="0" fontId="42" fillId="8" borderId="0" applyNumberFormat="0" applyBorder="0" applyAlignment="0" applyProtection="0">
      <alignment vertical="center"/>
    </xf>
    <xf numFmtId="0" fontId="45" fillId="12" borderId="0" applyNumberFormat="0" applyBorder="0" applyAlignment="0" applyProtection="0">
      <alignment vertical="center"/>
    </xf>
    <xf numFmtId="0" fontId="44" fillId="22" borderId="0" applyNumberFormat="0" applyBorder="0" applyAlignment="0" applyProtection="0">
      <alignment vertical="center"/>
    </xf>
    <xf numFmtId="0" fontId="45" fillId="4" borderId="0" applyNumberFormat="0" applyBorder="0" applyAlignment="0" applyProtection="0">
      <alignment vertical="center"/>
    </xf>
    <xf numFmtId="0" fontId="54" fillId="8" borderId="0" applyNumberFormat="0" applyBorder="0" applyAlignment="0" applyProtection="0">
      <alignment vertical="center"/>
    </xf>
    <xf numFmtId="0" fontId="38" fillId="6" borderId="54" applyNumberFormat="0" applyAlignment="0" applyProtection="0">
      <alignment vertical="center"/>
    </xf>
    <xf numFmtId="0" fontId="41" fillId="21" borderId="0" applyNumberFormat="0" applyBorder="0" applyAlignment="0" applyProtection="0">
      <alignment vertical="center"/>
    </xf>
    <xf numFmtId="0" fontId="49" fillId="4" borderId="0" applyNumberFormat="0" applyBorder="0" applyAlignment="0" applyProtection="0"/>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68" fillId="8" borderId="0" applyNumberFormat="0" applyBorder="0" applyAlignment="0" applyProtection="0">
      <alignment vertical="center"/>
    </xf>
    <xf numFmtId="0" fontId="90" fillId="0" borderId="0"/>
    <xf numFmtId="188" fontId="0" fillId="0" borderId="0" applyFont="0" applyFill="0" applyBorder="0" applyAlignment="0" applyProtection="0">
      <alignment vertical="center"/>
    </xf>
    <xf numFmtId="0" fontId="52" fillId="19" borderId="0" applyNumberFormat="0" applyBorder="0" applyAlignment="0" applyProtection="0">
      <alignment vertical="center"/>
    </xf>
    <xf numFmtId="0" fontId="0" fillId="0" borderId="0"/>
    <xf numFmtId="0" fontId="33" fillId="0" borderId="50" applyNumberFormat="0" applyFill="0" applyAlignment="0" applyProtection="0">
      <alignment vertical="center"/>
    </xf>
    <xf numFmtId="0" fontId="54" fillId="19" borderId="0" applyNumberFormat="0" applyBorder="0" applyAlignment="0" applyProtection="0">
      <alignment vertical="center"/>
    </xf>
    <xf numFmtId="0" fontId="42" fillId="8" borderId="0" applyNumberFormat="0" applyBorder="0" applyAlignment="0" applyProtection="0">
      <alignment vertical="center"/>
    </xf>
    <xf numFmtId="0" fontId="0" fillId="0" borderId="0">
      <alignment vertical="center"/>
    </xf>
    <xf numFmtId="0" fontId="45" fillId="0" borderId="0">
      <alignment vertical="center"/>
    </xf>
    <xf numFmtId="0" fontId="49" fillId="11" borderId="0" applyNumberFormat="0" applyBorder="0" applyAlignment="0" applyProtection="0"/>
    <xf numFmtId="0" fontId="31" fillId="0" borderId="0" applyNumberFormat="0" applyFill="0" applyBorder="0" applyAlignment="0" applyProtection="0">
      <alignment vertical="center"/>
    </xf>
    <xf numFmtId="0" fontId="45" fillId="19" borderId="0" applyNumberFormat="0" applyBorder="0" applyAlignment="0" applyProtection="0">
      <alignment vertical="center"/>
    </xf>
    <xf numFmtId="0" fontId="41" fillId="7" borderId="0" applyNumberFormat="0" applyBorder="0" applyAlignment="0" applyProtection="0">
      <alignment vertical="center"/>
    </xf>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42" fillId="19" borderId="0" applyNumberFormat="0" applyBorder="0" applyAlignment="0" applyProtection="0">
      <alignment vertical="center"/>
    </xf>
    <xf numFmtId="0" fontId="41" fillId="21"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4" fillId="17" borderId="0" applyNumberFormat="0" applyBorder="0" applyAlignment="0" applyProtection="0">
      <alignment vertical="center"/>
    </xf>
    <xf numFmtId="0" fontId="42" fillId="8" borderId="0" applyNumberFormat="0" applyBorder="0" applyAlignment="0" applyProtection="0">
      <alignment vertical="center"/>
    </xf>
    <xf numFmtId="0" fontId="32" fillId="0" borderId="49" applyNumberFormat="0" applyFill="0" applyAlignment="0" applyProtection="0">
      <alignment vertical="center"/>
    </xf>
    <xf numFmtId="0" fontId="31" fillId="0" borderId="0" applyNumberFormat="0" applyFill="0" applyBorder="0" applyAlignment="0" applyProtection="0">
      <alignment vertical="center"/>
    </xf>
    <xf numFmtId="0" fontId="35" fillId="4" borderId="52" applyNumberFormat="0" applyAlignment="0" applyProtection="0">
      <alignment vertical="center"/>
    </xf>
    <xf numFmtId="0" fontId="45" fillId="19" borderId="0" applyNumberFormat="0" applyBorder="0" applyAlignment="0" applyProtection="0">
      <alignment vertical="center"/>
    </xf>
    <xf numFmtId="0" fontId="41" fillId="7" borderId="0" applyNumberFormat="0" applyBorder="0" applyAlignment="0" applyProtection="0">
      <alignment vertical="center"/>
    </xf>
    <xf numFmtId="0" fontId="44" fillId="18" borderId="0" applyNumberFormat="0" applyBorder="0" applyAlignment="0" applyProtection="0">
      <alignment vertical="center"/>
    </xf>
    <xf numFmtId="0" fontId="34" fillId="0" borderId="51" applyNumberFormat="0" applyFill="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0" fillId="0" borderId="0">
      <alignment vertical="center"/>
    </xf>
    <xf numFmtId="0" fontId="34" fillId="0" borderId="51" applyNumberFormat="0" applyFill="0" applyAlignment="0" applyProtection="0">
      <alignment vertical="center"/>
    </xf>
    <xf numFmtId="0" fontId="42" fillId="8" borderId="0" applyNumberFormat="0" applyBorder="0" applyAlignment="0" applyProtection="0">
      <alignment vertical="center"/>
    </xf>
    <xf numFmtId="0" fontId="52" fillId="19" borderId="0" applyNumberFormat="0" applyBorder="0" applyAlignment="0" applyProtection="0">
      <alignment vertical="center"/>
    </xf>
    <xf numFmtId="0" fontId="91" fillId="0" borderId="55" applyNumberFormat="0" applyFill="0" applyAlignment="0" applyProtection="0">
      <alignment vertical="center"/>
    </xf>
    <xf numFmtId="0" fontId="60" fillId="7" borderId="0" applyNumberFormat="0" applyBorder="0" applyAlignment="0" applyProtection="0">
      <alignment vertical="center"/>
    </xf>
    <xf numFmtId="0" fontId="56" fillId="0" borderId="0"/>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4" fillId="22" borderId="0" applyNumberFormat="0" applyBorder="0" applyAlignment="0" applyProtection="0">
      <alignment vertical="center"/>
    </xf>
    <xf numFmtId="0" fontId="42" fillId="19" borderId="0" applyNumberFormat="0" applyBorder="0" applyAlignment="0" applyProtection="0">
      <alignment vertical="center"/>
    </xf>
    <xf numFmtId="0" fontId="42" fillId="8" borderId="0" applyNumberFormat="0" applyBorder="0" applyAlignment="0" applyProtection="0">
      <alignment vertical="center"/>
    </xf>
    <xf numFmtId="0" fontId="44" fillId="17" borderId="0" applyNumberFormat="0" applyBorder="0" applyAlignment="0" applyProtection="0">
      <alignment vertical="center"/>
    </xf>
    <xf numFmtId="0" fontId="44" fillId="24" borderId="0" applyNumberFormat="0" applyBorder="0" applyAlignment="0" applyProtection="0">
      <alignment vertical="center"/>
    </xf>
    <xf numFmtId="0" fontId="45" fillId="0" borderId="0">
      <alignment vertical="center"/>
    </xf>
    <xf numFmtId="0" fontId="36" fillId="5" borderId="53" applyNumberFormat="0" applyAlignment="0" applyProtection="0">
      <alignment vertical="center"/>
    </xf>
    <xf numFmtId="0" fontId="41" fillId="21" borderId="0" applyNumberFormat="0" applyBorder="0" applyAlignment="0" applyProtection="0">
      <alignment vertical="center"/>
    </xf>
    <xf numFmtId="0" fontId="53" fillId="25" borderId="0" applyNumberFormat="0" applyBorder="0" applyAlignment="0" applyProtection="0"/>
    <xf numFmtId="0" fontId="45" fillId="11" borderId="0" applyNumberFormat="0" applyBorder="0" applyAlignment="0" applyProtection="0">
      <alignment vertical="center"/>
    </xf>
    <xf numFmtId="0" fontId="0" fillId="0" borderId="0">
      <alignment vertical="center"/>
    </xf>
    <xf numFmtId="0" fontId="60" fillId="7" borderId="0" applyNumberFormat="0" applyBorder="0" applyAlignment="0" applyProtection="0">
      <alignment vertical="center"/>
    </xf>
    <xf numFmtId="0" fontId="49" fillId="3" borderId="0" applyNumberFormat="0" applyBorder="0" applyAlignment="0" applyProtection="0"/>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44" fillId="18" borderId="0" applyNumberFormat="0" applyBorder="0" applyAlignment="0" applyProtection="0">
      <alignment vertical="center"/>
    </xf>
    <xf numFmtId="0" fontId="30" fillId="0" borderId="0" applyNumberFormat="0" applyFill="0" applyBorder="0" applyAlignment="0" applyProtection="0">
      <alignment vertical="center"/>
    </xf>
    <xf numFmtId="0" fontId="53" fillId="6" borderId="0" applyNumberFormat="0" applyBorder="0" applyAlignment="0" applyProtection="0"/>
    <xf numFmtId="0" fontId="41" fillId="7" borderId="0" applyNumberFormat="0" applyBorder="0" applyAlignment="0" applyProtection="0">
      <alignment vertical="center"/>
    </xf>
    <xf numFmtId="0" fontId="47" fillId="19" borderId="0" applyNumberFormat="0" applyBorder="0" applyAlignment="0" applyProtection="0">
      <alignment vertical="center"/>
    </xf>
    <xf numFmtId="0" fontId="54" fillId="19" borderId="0" applyNumberFormat="0" applyBorder="0" applyAlignment="0" applyProtection="0">
      <alignment vertical="center"/>
    </xf>
    <xf numFmtId="0" fontId="38" fillId="6" borderId="54" applyNumberFormat="0" applyAlignment="0" applyProtection="0">
      <alignment vertical="center"/>
    </xf>
    <xf numFmtId="0" fontId="0" fillId="0" borderId="0"/>
    <xf numFmtId="0" fontId="45" fillId="7"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33" fillId="0" borderId="50" applyNumberFormat="0" applyFill="0" applyAlignment="0" applyProtection="0">
      <alignment vertical="center"/>
    </xf>
    <xf numFmtId="0" fontId="42" fillId="8" borderId="0" applyNumberFormat="0" applyBorder="0" applyAlignment="0" applyProtection="0">
      <alignment vertical="center"/>
    </xf>
    <xf numFmtId="0" fontId="33" fillId="0" borderId="50" applyNumberFormat="0" applyFill="0" applyAlignment="0" applyProtection="0">
      <alignment vertical="center"/>
    </xf>
    <xf numFmtId="0" fontId="44" fillId="15"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43" fontId="0" fillId="0" borderId="0" applyFont="0" applyFill="0" applyBorder="0" applyAlignment="0" applyProtection="0"/>
    <xf numFmtId="0" fontId="44" fillId="22" borderId="0" applyNumberFormat="0" applyBorder="0" applyAlignment="0" applyProtection="0">
      <alignment vertical="center"/>
    </xf>
    <xf numFmtId="0" fontId="45" fillId="12" borderId="0" applyNumberFormat="0" applyBorder="0" applyAlignment="0" applyProtection="0">
      <alignment vertical="center"/>
    </xf>
    <xf numFmtId="0" fontId="45" fillId="4" borderId="0" applyNumberFormat="0" applyBorder="0" applyAlignment="0" applyProtection="0">
      <alignment vertical="center"/>
    </xf>
    <xf numFmtId="0" fontId="37" fillId="5" borderId="52" applyNumberFormat="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9" fillId="11" borderId="0" applyNumberFormat="0" applyBorder="0" applyAlignment="0" applyProtection="0"/>
    <xf numFmtId="0" fontId="50" fillId="7" borderId="0" applyNumberFormat="0" applyBorder="0" applyAlignment="0" applyProtection="0">
      <alignment vertical="center"/>
    </xf>
    <xf numFmtId="0" fontId="34" fillId="0" borderId="51" applyNumberFormat="0" applyFill="0" applyAlignment="0" applyProtection="0">
      <alignment vertical="center"/>
    </xf>
    <xf numFmtId="0" fontId="49" fillId="11" borderId="0" applyNumberFormat="0" applyBorder="0" applyAlignment="0" applyProtection="0"/>
    <xf numFmtId="0" fontId="45" fillId="0" borderId="0">
      <alignment vertical="center"/>
    </xf>
    <xf numFmtId="0" fontId="50" fillId="7"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53" fillId="12" borderId="0" applyNumberFormat="0" applyBorder="0" applyAlignment="0" applyProtection="0"/>
    <xf numFmtId="1" fontId="18" fillId="0" borderId="15">
      <alignment vertical="center"/>
      <protection locked="0"/>
    </xf>
    <xf numFmtId="43" fontId="0" fillId="0" borderId="0" applyFont="0" applyFill="0" applyBorder="0" applyAlignment="0" applyProtection="0"/>
    <xf numFmtId="0" fontId="54" fillId="19" borderId="0" applyNumberFormat="0" applyBorder="0" applyAlignment="0" applyProtection="0">
      <alignment vertical="center"/>
    </xf>
    <xf numFmtId="0" fontId="41" fillId="7" borderId="0" applyNumberFormat="0" applyBorder="0" applyAlignment="0" applyProtection="0">
      <alignment vertical="center"/>
    </xf>
    <xf numFmtId="0" fontId="43" fillId="9" borderId="0" applyNumberFormat="0" applyBorder="0" applyAlignment="0" applyProtection="0">
      <alignment vertical="center"/>
    </xf>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50" fillId="21"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188" fontId="0" fillId="0" borderId="0" applyFont="0" applyFill="0" applyBorder="0" applyAlignment="0" applyProtection="0">
      <alignment vertical="center"/>
    </xf>
    <xf numFmtId="0" fontId="42" fillId="8" borderId="0" applyNumberFormat="0" applyBorder="0" applyAlignment="0" applyProtection="0">
      <alignment vertical="center"/>
    </xf>
    <xf numFmtId="0" fontId="44" fillId="15"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5" fillId="12" borderId="0" applyNumberFormat="0" applyBorder="0" applyAlignment="0" applyProtection="0">
      <alignment vertical="center"/>
    </xf>
    <xf numFmtId="0" fontId="52" fillId="19" borderId="0" applyNumberFormat="0" applyBorder="0" applyAlignment="0" applyProtection="0">
      <alignment vertical="center"/>
    </xf>
    <xf numFmtId="0" fontId="45" fillId="11" borderId="0" applyNumberFormat="0" applyBorder="0" applyAlignment="0" applyProtection="0">
      <alignment vertical="center"/>
    </xf>
    <xf numFmtId="0" fontId="35" fillId="4" borderId="52" applyNumberFormat="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4" fillId="20" borderId="0" applyNumberFormat="0" applyBorder="0" applyAlignment="0" applyProtection="0">
      <alignment vertical="center"/>
    </xf>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44" fillId="13" borderId="0" applyNumberFormat="0" applyBorder="0" applyAlignment="0" applyProtection="0">
      <alignment vertical="center"/>
    </xf>
    <xf numFmtId="0" fontId="42" fillId="8" borderId="0" applyNumberFormat="0" applyBorder="0" applyAlignment="0" applyProtection="0">
      <alignment vertical="center"/>
    </xf>
    <xf numFmtId="0" fontId="0" fillId="0" borderId="0"/>
    <xf numFmtId="0" fontId="0" fillId="0" borderId="0"/>
    <xf numFmtId="0" fontId="34" fillId="0" borderId="0" applyNumberFormat="0" applyFill="0" applyBorder="0" applyAlignment="0" applyProtection="0">
      <alignment vertical="center"/>
    </xf>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5" fillId="0" borderId="0">
      <alignment vertical="center"/>
    </xf>
    <xf numFmtId="0" fontId="49" fillId="11" borderId="0" applyNumberFormat="0" applyBorder="0" applyAlignment="0" applyProtection="0"/>
    <xf numFmtId="0" fontId="50" fillId="7" borderId="0" applyNumberFormat="0" applyBorder="0" applyAlignment="0" applyProtection="0">
      <alignment vertical="center"/>
    </xf>
    <xf numFmtId="0" fontId="41" fillId="7" borderId="0" applyNumberFormat="0" applyBorder="0" applyAlignment="0" applyProtection="0">
      <alignment vertical="center"/>
    </xf>
    <xf numFmtId="0" fontId="45" fillId="11" borderId="0" applyNumberFormat="0" applyBorder="0" applyAlignment="0" applyProtection="0">
      <alignment vertical="center"/>
    </xf>
    <xf numFmtId="0" fontId="53" fillId="25" borderId="0" applyNumberFormat="0" applyBorder="0" applyAlignment="0" applyProtection="0"/>
    <xf numFmtId="0" fontId="37" fillId="5" borderId="52" applyNumberFormat="0" applyAlignment="0" applyProtection="0">
      <alignment vertical="center"/>
    </xf>
    <xf numFmtId="0" fontId="0" fillId="0" borderId="0">
      <alignment vertical="center"/>
    </xf>
    <xf numFmtId="0" fontId="45" fillId="21"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0" fillId="0" borderId="0"/>
    <xf numFmtId="0" fontId="33" fillId="0" borderId="50" applyNumberFormat="0" applyFill="0" applyAlignment="0" applyProtection="0">
      <alignment vertical="center"/>
    </xf>
    <xf numFmtId="0" fontId="42" fillId="8" borderId="0" applyNumberFormat="0" applyBorder="0" applyAlignment="0" applyProtection="0">
      <alignment vertical="center"/>
    </xf>
    <xf numFmtId="0" fontId="39" fillId="0" borderId="55" applyNumberFormat="0" applyFill="0" applyAlignment="0" applyProtection="0">
      <alignment vertical="center"/>
    </xf>
    <xf numFmtId="0" fontId="45" fillId="19" borderId="0" applyNumberFormat="0" applyBorder="0" applyAlignment="0" applyProtection="0">
      <alignment vertical="center"/>
    </xf>
    <xf numFmtId="0" fontId="44" fillId="16" borderId="0" applyNumberFormat="0" applyBorder="0" applyAlignment="0" applyProtection="0">
      <alignment vertical="center"/>
    </xf>
    <xf numFmtId="0" fontId="42" fillId="8" borderId="0" applyNumberFormat="0" applyBorder="0" applyAlignment="0" applyProtection="0">
      <alignment vertical="center"/>
    </xf>
    <xf numFmtId="0" fontId="0" fillId="0" borderId="0"/>
    <xf numFmtId="0" fontId="28" fillId="0" borderId="0" applyNumberFormat="0" applyFill="0" applyBorder="0" applyAlignment="0" applyProtection="0">
      <alignment vertical="top"/>
      <protection locked="0"/>
    </xf>
    <xf numFmtId="0" fontId="39" fillId="0" borderId="55" applyNumberFormat="0" applyFill="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41" fillId="21" borderId="0" applyNumberFormat="0" applyBorder="0" applyAlignment="0" applyProtection="0">
      <alignment vertical="center"/>
    </xf>
    <xf numFmtId="0" fontId="50" fillId="21" borderId="0" applyNumberFormat="0" applyBorder="0" applyAlignment="0" applyProtection="0">
      <alignment vertical="center"/>
    </xf>
    <xf numFmtId="0" fontId="41" fillId="7" borderId="0" applyNumberFormat="0" applyBorder="0" applyAlignment="0" applyProtection="0">
      <alignment vertical="center"/>
    </xf>
    <xf numFmtId="0" fontId="34" fillId="0" borderId="51" applyNumberFormat="0" applyFill="0" applyAlignment="0" applyProtection="0">
      <alignment vertical="center"/>
    </xf>
    <xf numFmtId="0" fontId="29" fillId="0" borderId="0" applyNumberFormat="0" applyFill="0" applyBorder="0" applyAlignment="0" applyProtection="0">
      <alignment vertical="center"/>
    </xf>
    <xf numFmtId="0" fontId="42" fillId="19" borderId="0" applyNumberFormat="0" applyBorder="0" applyAlignment="0" applyProtection="0">
      <alignment vertical="center"/>
    </xf>
    <xf numFmtId="0" fontId="44" fillId="13"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32" fillId="0" borderId="49" applyNumberFormat="0" applyFill="0" applyAlignment="0" applyProtection="0">
      <alignment vertical="center"/>
    </xf>
    <xf numFmtId="0" fontId="47" fillId="11" borderId="0" applyNumberFormat="0" applyBorder="0" applyAlignment="0" applyProtection="0">
      <alignment vertical="center"/>
    </xf>
    <xf numFmtId="0" fontId="37" fillId="5" borderId="52" applyNumberFormat="0" applyAlignment="0" applyProtection="0">
      <alignment vertical="center"/>
    </xf>
    <xf numFmtId="0" fontId="52" fillId="19" borderId="0" applyNumberFormat="0" applyBorder="0" applyAlignment="0" applyProtection="0">
      <alignment vertical="center"/>
    </xf>
    <xf numFmtId="0" fontId="41" fillId="21" borderId="0" applyNumberFormat="0" applyBorder="0" applyAlignment="0" applyProtection="0">
      <alignment vertical="center"/>
    </xf>
    <xf numFmtId="0" fontId="54" fillId="19"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53" fillId="29" borderId="0" applyNumberFormat="0" applyBorder="0" applyAlignment="0" applyProtection="0"/>
    <xf numFmtId="0" fontId="54" fillId="19" borderId="0" applyNumberFormat="0" applyBorder="0" applyAlignment="0" applyProtection="0">
      <alignment vertical="center"/>
    </xf>
    <xf numFmtId="0" fontId="34" fillId="0" borderId="0" applyNumberFormat="0" applyFill="0" applyBorder="0" applyAlignment="0" applyProtection="0">
      <alignment vertical="center"/>
    </xf>
    <xf numFmtId="0" fontId="51" fillId="21" borderId="0" applyNumberFormat="0" applyBorder="0" applyAlignment="0" applyProtection="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188" fontId="0" fillId="0" borderId="0" applyFont="0" applyFill="0" applyBorder="0" applyAlignment="0" applyProtection="0">
      <alignment vertical="center"/>
    </xf>
    <xf numFmtId="0" fontId="44" fillId="22" borderId="0" applyNumberFormat="0" applyBorder="0" applyAlignment="0" applyProtection="0">
      <alignment vertical="center"/>
    </xf>
    <xf numFmtId="0" fontId="30" fillId="0" borderId="0" applyNumberFormat="0" applyFill="0" applyBorder="0" applyAlignment="0" applyProtection="0">
      <alignment vertical="center"/>
    </xf>
    <xf numFmtId="0" fontId="37" fillId="5" borderId="52" applyNumberFormat="0" applyAlignment="0" applyProtection="0">
      <alignment vertical="center"/>
    </xf>
    <xf numFmtId="0" fontId="0" fillId="0" borderId="0"/>
    <xf numFmtId="0" fontId="44" fillId="20" borderId="0" applyNumberFormat="0" applyBorder="0" applyAlignment="0" applyProtection="0">
      <alignment vertical="center"/>
    </xf>
    <xf numFmtId="0" fontId="54" fillId="19" borderId="0" applyNumberFormat="0" applyBorder="0" applyAlignment="0" applyProtection="0">
      <alignment vertical="center"/>
    </xf>
    <xf numFmtId="197" fontId="0" fillId="0" borderId="0" applyFont="0" applyFill="0" applyBorder="0" applyAlignment="0" applyProtection="0"/>
    <xf numFmtId="0" fontId="41" fillId="7" borderId="0" applyNumberFormat="0" applyBorder="0" applyAlignment="0" applyProtection="0">
      <alignment vertical="center"/>
    </xf>
    <xf numFmtId="0" fontId="0" fillId="3" borderId="48" applyNumberFormat="0" applyFont="0" applyAlignment="0" applyProtection="0">
      <alignment vertical="center"/>
    </xf>
    <xf numFmtId="0" fontId="44" fillId="14" borderId="0" applyNumberFormat="0" applyBorder="0" applyAlignment="0" applyProtection="0">
      <alignment vertical="center"/>
    </xf>
    <xf numFmtId="0" fontId="44" fillId="22" borderId="0" applyNumberFormat="0" applyBorder="0" applyAlignment="0" applyProtection="0">
      <alignment vertical="center"/>
    </xf>
    <xf numFmtId="0" fontId="44" fillId="20" borderId="0" applyNumberFormat="0" applyBorder="0" applyAlignment="0" applyProtection="0">
      <alignment vertical="center"/>
    </xf>
    <xf numFmtId="0" fontId="34" fillId="0" borderId="0" applyNumberFormat="0" applyFill="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1" fillId="21" borderId="0" applyNumberFormat="0" applyBorder="0" applyAlignment="0" applyProtection="0">
      <alignment vertical="center"/>
    </xf>
    <xf numFmtId="0" fontId="38" fillId="6" borderId="54" applyNumberFormat="0" applyAlignment="0" applyProtection="0">
      <alignment vertical="center"/>
    </xf>
    <xf numFmtId="0" fontId="0" fillId="0" borderId="0"/>
    <xf numFmtId="0" fontId="33" fillId="0" borderId="50" applyNumberFormat="0" applyFill="0" applyAlignment="0" applyProtection="0">
      <alignment vertical="center"/>
    </xf>
    <xf numFmtId="0" fontId="52" fillId="19" borderId="0" applyNumberFormat="0" applyBorder="0" applyAlignment="0" applyProtection="0">
      <alignment vertical="center"/>
    </xf>
    <xf numFmtId="0" fontId="51" fillId="21" borderId="0" applyNumberFormat="0" applyBorder="0" applyAlignment="0" applyProtection="0">
      <alignment vertical="center"/>
    </xf>
    <xf numFmtId="0" fontId="41" fillId="7" borderId="0" applyNumberFormat="0" applyBorder="0" applyAlignment="0" applyProtection="0">
      <alignment vertical="center"/>
    </xf>
    <xf numFmtId="0" fontId="32" fillId="0" borderId="49" applyNumberFormat="0" applyFill="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39" fillId="0" borderId="55" applyNumberFormat="0" applyFill="0" applyAlignment="0" applyProtection="0">
      <alignment vertical="center"/>
    </xf>
    <xf numFmtId="0" fontId="41" fillId="7" borderId="0" applyNumberFormat="0" applyBorder="0" applyAlignment="0" applyProtection="0">
      <alignment vertical="center"/>
    </xf>
    <xf numFmtId="0" fontId="31" fillId="0" borderId="0" applyNumberFormat="0" applyFill="0" applyBorder="0" applyAlignment="0" applyProtection="0">
      <alignment vertical="center"/>
    </xf>
    <xf numFmtId="0" fontId="41" fillId="7" borderId="0" applyNumberFormat="0" applyBorder="0" applyAlignment="0" applyProtection="0">
      <alignment vertical="center"/>
    </xf>
    <xf numFmtId="0" fontId="43" fillId="9" borderId="0" applyNumberFormat="0" applyBorder="0" applyAlignment="0" applyProtection="0">
      <alignment vertical="center"/>
    </xf>
    <xf numFmtId="0" fontId="31" fillId="0" borderId="0" applyNumberFormat="0" applyFill="0" applyBorder="0" applyAlignment="0" applyProtection="0">
      <alignment vertical="center"/>
    </xf>
    <xf numFmtId="0" fontId="54" fillId="19" borderId="0" applyNumberFormat="0" applyBorder="0" applyAlignment="0" applyProtection="0">
      <alignment vertical="center"/>
    </xf>
    <xf numFmtId="0" fontId="42" fillId="8" borderId="0" applyNumberFormat="0" applyBorder="0" applyAlignment="0" applyProtection="0">
      <alignment vertical="center"/>
    </xf>
    <xf numFmtId="0" fontId="36" fillId="5" borderId="53" applyNumberFormat="0" applyAlignment="0" applyProtection="0">
      <alignment vertical="center"/>
    </xf>
    <xf numFmtId="0" fontId="52" fillId="8" borderId="0" applyNumberFormat="0" applyBorder="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0" fillId="3" borderId="48" applyNumberFormat="0" applyFont="0" applyAlignment="0" applyProtection="0">
      <alignment vertical="center"/>
    </xf>
    <xf numFmtId="0" fontId="58" fillId="8" borderId="0" applyNumberFormat="0" applyBorder="0" applyAlignment="0" applyProtection="0"/>
    <xf numFmtId="0" fontId="44" fillId="17" borderId="0" applyNumberFormat="0" applyBorder="0" applyAlignment="0" applyProtection="0">
      <alignment vertical="center"/>
    </xf>
    <xf numFmtId="0" fontId="42" fillId="19" borderId="0" applyNumberFormat="0" applyBorder="0" applyAlignment="0" applyProtection="0">
      <alignment vertical="center"/>
    </xf>
    <xf numFmtId="0" fontId="42" fillId="8" borderId="0" applyNumberFormat="0" applyBorder="0" applyAlignment="0" applyProtection="0">
      <alignment vertical="center"/>
    </xf>
    <xf numFmtId="0" fontId="49" fillId="11" borderId="0" applyNumberFormat="0" applyBorder="0" applyAlignment="0" applyProtection="0"/>
    <xf numFmtId="0" fontId="42" fillId="8" borderId="0" applyNumberFormat="0" applyBorder="0" applyAlignment="0" applyProtection="0">
      <alignment vertical="center"/>
    </xf>
    <xf numFmtId="0" fontId="42" fillId="8" borderId="0" applyNumberFormat="0" applyBorder="0" applyAlignment="0" applyProtection="0">
      <alignment vertical="center"/>
    </xf>
    <xf numFmtId="43" fontId="0" fillId="0" borderId="0" applyFont="0" applyFill="0" applyBorder="0" applyAlignment="0" applyProtection="0"/>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5" fillId="17" borderId="0" applyNumberFormat="0" applyBorder="0" applyAlignment="0" applyProtection="0">
      <alignment vertical="center"/>
    </xf>
    <xf numFmtId="0" fontId="49" fillId="11" borderId="0" applyNumberFormat="0" applyBorder="0" applyAlignment="0" applyProtection="0"/>
    <xf numFmtId="0" fontId="44" fillId="20" borderId="0" applyNumberFormat="0" applyBorder="0" applyAlignment="0" applyProtection="0">
      <alignment vertical="center"/>
    </xf>
    <xf numFmtId="0" fontId="42" fillId="8" borderId="0" applyNumberFormat="0" applyBorder="0" applyAlignment="0" applyProtection="0">
      <alignment vertical="center"/>
    </xf>
    <xf numFmtId="0" fontId="45" fillId="21" borderId="0" applyNumberFormat="0" applyBorder="0" applyAlignment="0" applyProtection="0">
      <alignment vertical="center"/>
    </xf>
    <xf numFmtId="0" fontId="42" fillId="8" borderId="0" applyNumberFormat="0" applyBorder="0" applyAlignment="0" applyProtection="0">
      <alignment vertical="center"/>
    </xf>
    <xf numFmtId="0" fontId="45" fillId="0" borderId="0">
      <alignment vertical="center"/>
    </xf>
    <xf numFmtId="0" fontId="59" fillId="21" borderId="0" applyNumberFormat="0" applyBorder="0" applyAlignment="0" applyProtection="0">
      <alignment vertical="center"/>
    </xf>
    <xf numFmtId="0" fontId="44" fillId="14" borderId="0" applyNumberFormat="0" applyBorder="0" applyAlignment="0" applyProtection="0">
      <alignment vertical="center"/>
    </xf>
    <xf numFmtId="0" fontId="41" fillId="7" borderId="0" applyNumberFormat="0" applyBorder="0" applyAlignment="0" applyProtection="0">
      <alignment vertical="center"/>
    </xf>
    <xf numFmtId="0" fontId="45" fillId="4" borderId="0" applyNumberFormat="0" applyBorder="0" applyAlignment="0" applyProtection="0">
      <alignment vertical="center"/>
    </xf>
    <xf numFmtId="0" fontId="42" fillId="8" borderId="0" applyNumberFormat="0" applyBorder="0" applyAlignment="0" applyProtection="0">
      <alignment vertical="center"/>
    </xf>
    <xf numFmtId="0" fontId="0" fillId="0" borderId="0"/>
    <xf numFmtId="0" fontId="0" fillId="0" borderId="0"/>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1" fillId="21" borderId="0" applyNumberFormat="0" applyBorder="0" applyAlignment="0" applyProtection="0">
      <alignment vertical="center"/>
    </xf>
    <xf numFmtId="0" fontId="52" fillId="19" borderId="0" applyNumberFormat="0" applyBorder="0" applyAlignment="0" applyProtection="0">
      <alignment vertical="center"/>
    </xf>
    <xf numFmtId="0" fontId="32" fillId="0" borderId="49" applyNumberFormat="0" applyFill="0" applyAlignment="0" applyProtection="0">
      <alignment vertical="center"/>
    </xf>
    <xf numFmtId="0" fontId="54" fillId="19" borderId="0" applyNumberFormat="0" applyBorder="0" applyAlignment="0" applyProtection="0">
      <alignment vertical="center"/>
    </xf>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40" fillId="0" borderId="56" applyNumberFormat="0" applyFill="0" applyAlignment="0" applyProtection="0">
      <alignment vertical="center"/>
    </xf>
    <xf numFmtId="185" fontId="0" fillId="0" borderId="0" applyFont="0" applyFill="0" applyBorder="0" applyAlignment="0" applyProtection="0"/>
    <xf numFmtId="0" fontId="45" fillId="8" borderId="0" applyNumberFormat="0" applyBorder="0" applyAlignment="0" applyProtection="0">
      <alignment vertical="center"/>
    </xf>
    <xf numFmtId="0" fontId="50" fillId="7" borderId="0" applyNumberFormat="0" applyBorder="0" applyAlignment="0" applyProtection="0">
      <alignment vertical="center"/>
    </xf>
    <xf numFmtId="0" fontId="60" fillId="7" borderId="0" applyNumberFormat="0" applyBorder="0" applyAlignment="0" applyProtection="0">
      <alignment vertical="center"/>
    </xf>
    <xf numFmtId="0" fontId="42" fillId="8" borderId="0" applyNumberFormat="0" applyBorder="0" applyAlignment="0" applyProtection="0">
      <alignment vertical="center"/>
    </xf>
    <xf numFmtId="179" fontId="18" fillId="0" borderId="15">
      <alignment vertical="center"/>
      <protection locked="0"/>
    </xf>
    <xf numFmtId="0" fontId="45" fillId="15" borderId="0" applyNumberFormat="0" applyBorder="0" applyAlignment="0" applyProtection="0">
      <alignment vertical="center"/>
    </xf>
    <xf numFmtId="0" fontId="33" fillId="0" borderId="50" applyNumberFormat="0" applyFill="0" applyAlignment="0" applyProtection="0">
      <alignment vertical="center"/>
    </xf>
    <xf numFmtId="0" fontId="0" fillId="3" borderId="48" applyNumberFormat="0" applyFont="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5" fillId="17" borderId="0" applyNumberFormat="0" applyBorder="0" applyAlignment="0" applyProtection="0">
      <alignment vertical="center"/>
    </xf>
    <xf numFmtId="0" fontId="50" fillId="7" borderId="0" applyNumberFormat="0" applyBorder="0" applyAlignment="0" applyProtection="0"/>
    <xf numFmtId="0" fontId="75" fillId="0" borderId="16">
      <alignment horizontal="left" vertical="center"/>
    </xf>
    <xf numFmtId="0" fontId="45" fillId="8" borderId="0" applyNumberFormat="0" applyBorder="0" applyAlignment="0" applyProtection="0">
      <alignment vertical="center"/>
    </xf>
    <xf numFmtId="0" fontId="32" fillId="0" borderId="49" applyNumberFormat="0" applyFill="0" applyAlignment="0" applyProtection="0">
      <alignment vertical="center"/>
    </xf>
    <xf numFmtId="0" fontId="44" fillId="14" borderId="0" applyNumberFormat="0" applyBorder="0" applyAlignment="0" applyProtection="0">
      <alignment vertical="center"/>
    </xf>
    <xf numFmtId="0" fontId="38" fillId="6" borderId="54" applyNumberFormat="0" applyAlignment="0" applyProtection="0">
      <alignment vertical="center"/>
    </xf>
    <xf numFmtId="0" fontId="33" fillId="0" borderId="50" applyNumberFormat="0" applyFill="0" applyAlignment="0" applyProtection="0">
      <alignment vertical="center"/>
    </xf>
    <xf numFmtId="0" fontId="45" fillId="8" borderId="0" applyNumberFormat="0" applyBorder="0" applyAlignment="0" applyProtection="0">
      <alignment vertical="center"/>
    </xf>
    <xf numFmtId="0" fontId="68" fillId="8" borderId="0" applyNumberFormat="0" applyBorder="0" applyAlignment="0" applyProtection="0">
      <alignment vertical="center"/>
    </xf>
    <xf numFmtId="0" fontId="45" fillId="0" borderId="0">
      <alignment vertical="center"/>
    </xf>
    <xf numFmtId="0" fontId="51" fillId="21" borderId="0" applyNumberFormat="0" applyBorder="0" applyAlignment="0" applyProtection="0">
      <alignment vertical="center"/>
    </xf>
    <xf numFmtId="0" fontId="44" fillId="16" borderId="0" applyNumberFormat="0" applyBorder="0" applyAlignment="0" applyProtection="0">
      <alignment vertical="center"/>
    </xf>
    <xf numFmtId="0" fontId="41" fillId="7" borderId="0" applyNumberFormat="0" applyBorder="0" applyAlignment="0" applyProtection="0">
      <alignment vertical="center"/>
    </xf>
    <xf numFmtId="198" fontId="0" fillId="0" borderId="0" applyFont="0" applyFill="0" applyBorder="0" applyAlignment="0" applyProtection="0"/>
    <xf numFmtId="0" fontId="44" fillId="20" borderId="0" applyNumberFormat="0" applyBorder="0" applyAlignment="0" applyProtection="0">
      <alignment vertical="center"/>
    </xf>
    <xf numFmtId="49" fontId="0" fillId="0" borderId="0" applyFont="0" applyFill="0" applyBorder="0" applyAlignment="0" applyProtection="0"/>
    <xf numFmtId="0" fontId="53" fillId="5" borderId="0" applyNumberFormat="0" applyBorder="0" applyAlignment="0" applyProtection="0"/>
    <xf numFmtId="0" fontId="44" fillId="16" borderId="0" applyNumberFormat="0" applyBorder="0" applyAlignment="0" applyProtection="0">
      <alignment vertical="center"/>
    </xf>
    <xf numFmtId="0" fontId="51" fillId="21" borderId="0" applyNumberFormat="0" applyBorder="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53" fillId="12" borderId="0" applyNumberFormat="0" applyBorder="0" applyAlignment="0" applyProtection="0"/>
    <xf numFmtId="1" fontId="18" fillId="0" borderId="15">
      <alignment vertical="center"/>
      <protection locked="0"/>
    </xf>
    <xf numFmtId="0" fontId="29" fillId="0" borderId="0" applyNumberFormat="0" applyFill="0" applyBorder="0" applyAlignment="0" applyProtection="0">
      <alignment vertical="center"/>
    </xf>
    <xf numFmtId="0" fontId="50" fillId="7" borderId="0" applyNumberFormat="0" applyBorder="0" applyAlignment="0" applyProtection="0"/>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38" fillId="6" borderId="54" applyNumberFormat="0" applyAlignment="0" applyProtection="0">
      <alignment vertical="center"/>
    </xf>
    <xf numFmtId="0" fontId="42" fillId="8" borderId="0" applyNumberFormat="0" applyBorder="0" applyAlignment="0" applyProtection="0">
      <alignment vertical="center"/>
    </xf>
    <xf numFmtId="0" fontId="0" fillId="0" borderId="0">
      <alignment vertical="center"/>
    </xf>
    <xf numFmtId="0" fontId="44" fillId="15" borderId="0" applyNumberFormat="0" applyBorder="0" applyAlignment="0" applyProtection="0">
      <alignment vertical="center"/>
    </xf>
    <xf numFmtId="0" fontId="0" fillId="0" borderId="0"/>
    <xf numFmtId="43" fontId="0" fillId="0" borderId="0" applyFont="0" applyFill="0" applyBorder="0" applyAlignment="0" applyProtection="0"/>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34" fillId="0" borderId="51" applyNumberFormat="0" applyFill="0" applyAlignment="0" applyProtection="0">
      <alignment vertical="center"/>
    </xf>
    <xf numFmtId="0" fontId="42" fillId="8" borderId="0" applyNumberFormat="0" applyBorder="0" applyAlignment="0" applyProtection="0">
      <alignment vertical="center"/>
    </xf>
    <xf numFmtId="0" fontId="49" fillId="11" borderId="0" applyNumberFormat="0" applyBorder="0" applyAlignment="0" applyProtection="0"/>
    <xf numFmtId="0" fontId="42" fillId="8" borderId="0" applyNumberFormat="0" applyBorder="0" applyAlignment="0" applyProtection="0">
      <alignment vertical="center"/>
    </xf>
    <xf numFmtId="0" fontId="45" fillId="12" borderId="0" applyNumberFormat="0" applyBorder="0" applyAlignment="0" applyProtection="0">
      <alignment vertical="center"/>
    </xf>
    <xf numFmtId="0" fontId="54" fillId="19" borderId="0" applyNumberFormat="0" applyBorder="0" applyAlignment="0" applyProtection="0">
      <alignment vertical="center"/>
    </xf>
    <xf numFmtId="0" fontId="42" fillId="8" borderId="0" applyNumberFormat="0" applyBorder="0" applyAlignment="0" applyProtection="0">
      <alignment vertical="center"/>
    </xf>
    <xf numFmtId="0" fontId="45" fillId="23" borderId="0" applyNumberFormat="0" applyBorder="0" applyAlignment="0" applyProtection="0">
      <alignment vertical="center"/>
    </xf>
    <xf numFmtId="0" fontId="44" fillId="13" borderId="0" applyNumberFormat="0" applyBorder="0" applyAlignment="0" applyProtection="0">
      <alignment vertical="center"/>
    </xf>
    <xf numFmtId="0" fontId="58" fillId="8" borderId="0" applyNumberFormat="0" applyBorder="0" applyAlignment="0" applyProtection="0"/>
    <xf numFmtId="0" fontId="4" fillId="0" borderId="0">
      <alignment vertical="center"/>
    </xf>
    <xf numFmtId="0" fontId="0" fillId="0" borderId="0"/>
    <xf numFmtId="0" fontId="45" fillId="8" borderId="0" applyNumberFormat="0" applyBorder="0" applyAlignment="0" applyProtection="0">
      <alignment vertical="center"/>
    </xf>
    <xf numFmtId="0" fontId="41" fillId="7" borderId="0" applyNumberFormat="0" applyBorder="0" applyAlignment="0" applyProtection="0">
      <alignment vertical="center"/>
    </xf>
    <xf numFmtId="0" fontId="0" fillId="3" borderId="48" applyNumberFormat="0" applyFont="0" applyAlignment="0" applyProtection="0">
      <alignment vertical="center"/>
    </xf>
    <xf numFmtId="0" fontId="0" fillId="0" borderId="0"/>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44" fillId="18" borderId="0" applyNumberFormat="0" applyBorder="0" applyAlignment="0" applyProtection="0">
      <alignment vertical="center"/>
    </xf>
    <xf numFmtId="0" fontId="51" fillId="21" borderId="0" applyNumberFormat="0" applyBorder="0" applyAlignment="0" applyProtection="0">
      <alignment vertical="center"/>
    </xf>
    <xf numFmtId="0" fontId="45" fillId="8" borderId="0" applyNumberFormat="0" applyBorder="0" applyAlignment="0" applyProtection="0">
      <alignment vertical="center"/>
    </xf>
    <xf numFmtId="0" fontId="42" fillId="8" borderId="0" applyNumberFormat="0" applyBorder="0" applyAlignment="0" applyProtection="0">
      <alignment vertical="center"/>
    </xf>
    <xf numFmtId="0" fontId="45" fillId="19" borderId="0" applyNumberFormat="0" applyBorder="0" applyAlignment="0" applyProtection="0">
      <alignment vertical="center"/>
    </xf>
    <xf numFmtId="0" fontId="68" fillId="8" borderId="0" applyNumberFormat="0" applyBorder="0" applyAlignment="0" applyProtection="0">
      <alignment vertical="center"/>
    </xf>
    <xf numFmtId="0" fontId="0" fillId="0" borderId="0"/>
    <xf numFmtId="0" fontId="37" fillId="5" borderId="52" applyNumberFormat="0" applyAlignment="0" applyProtection="0">
      <alignment vertical="center"/>
    </xf>
    <xf numFmtId="0" fontId="49" fillId="11" borderId="0" applyNumberFormat="0" applyBorder="0" applyAlignment="0" applyProtection="0"/>
    <xf numFmtId="0" fontId="39" fillId="0" borderId="55" applyNumberFormat="0" applyFill="0" applyAlignment="0" applyProtection="0">
      <alignment vertical="center"/>
    </xf>
    <xf numFmtId="0" fontId="37" fillId="5" borderId="52" applyNumberFormat="0" applyAlignment="0" applyProtection="0">
      <alignment vertical="center"/>
    </xf>
    <xf numFmtId="0" fontId="0" fillId="0" borderId="0"/>
    <xf numFmtId="0" fontId="0" fillId="0" borderId="0"/>
    <xf numFmtId="0" fontId="46" fillId="18" borderId="0" applyNumberFormat="0" applyBorder="0" applyAlignment="0" applyProtection="0">
      <alignment vertical="center"/>
    </xf>
    <xf numFmtId="0" fontId="0" fillId="0" borderId="0"/>
    <xf numFmtId="0" fontId="50" fillId="21" borderId="0" applyNumberFormat="0" applyBorder="0" applyAlignment="0" applyProtection="0">
      <alignment vertical="center"/>
    </xf>
    <xf numFmtId="0" fontId="36" fillId="5" borderId="53" applyNumberFormat="0" applyAlignment="0" applyProtection="0">
      <alignment vertical="center"/>
    </xf>
    <xf numFmtId="0" fontId="41" fillId="21" borderId="0" applyNumberFormat="0" applyBorder="0" applyAlignment="0" applyProtection="0">
      <alignment vertical="center"/>
    </xf>
    <xf numFmtId="0" fontId="41" fillId="7" borderId="0" applyNumberFormat="0" applyBorder="0" applyAlignment="0" applyProtection="0">
      <alignment vertical="center"/>
    </xf>
    <xf numFmtId="0" fontId="44" fillId="24"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58" fillId="8" borderId="0" applyNumberFormat="0" applyBorder="0" applyAlignment="0" applyProtection="0"/>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58" fillId="8" borderId="0" applyNumberFormat="0" applyBorder="0" applyAlignment="0" applyProtection="0"/>
    <xf numFmtId="0" fontId="53" fillId="29" borderId="0" applyNumberFormat="0" applyBorder="0" applyAlignment="0" applyProtection="0"/>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44" fillId="13" borderId="0" applyNumberFormat="0" applyBorder="0" applyAlignment="0" applyProtection="0">
      <alignment vertical="center"/>
    </xf>
    <xf numFmtId="0" fontId="41" fillId="7" borderId="0" applyNumberFormat="0" applyBorder="0" applyAlignment="0" applyProtection="0">
      <alignment vertical="center"/>
    </xf>
    <xf numFmtId="43" fontId="0" fillId="0" borderId="0" applyFont="0" applyFill="0" applyBorder="0" applyAlignment="0" applyProtection="0"/>
    <xf numFmtId="0" fontId="51" fillId="21" borderId="0" applyNumberFormat="0" applyBorder="0" applyAlignment="0" applyProtection="0">
      <alignment vertical="center"/>
    </xf>
    <xf numFmtId="0" fontId="51" fillId="21" borderId="0" applyNumberFormat="0" applyBorder="0" applyAlignment="0" applyProtection="0">
      <alignment vertical="center"/>
    </xf>
    <xf numFmtId="0" fontId="42" fillId="8" borderId="0" applyNumberFormat="0" applyBorder="0" applyAlignment="0" applyProtection="0">
      <alignment vertical="center"/>
    </xf>
    <xf numFmtId="0" fontId="51" fillId="21" borderId="0" applyNumberFormat="0" applyBorder="0" applyAlignment="0" applyProtection="0">
      <alignment vertical="center"/>
    </xf>
    <xf numFmtId="0" fontId="45" fillId="23" borderId="0" applyNumberFormat="0" applyBorder="0" applyAlignment="0" applyProtection="0">
      <alignment vertical="center"/>
    </xf>
    <xf numFmtId="0" fontId="51" fillId="21" borderId="0" applyNumberFormat="0" applyBorder="0" applyAlignment="0" applyProtection="0">
      <alignment vertical="center"/>
    </xf>
    <xf numFmtId="0" fontId="45" fillId="17" borderId="0" applyNumberFormat="0" applyBorder="0" applyAlignment="0" applyProtection="0">
      <alignment vertical="center"/>
    </xf>
    <xf numFmtId="0" fontId="51" fillId="21" borderId="0" applyNumberFormat="0" applyBorder="0" applyAlignment="0" applyProtection="0">
      <alignment vertical="center"/>
    </xf>
    <xf numFmtId="0" fontId="41" fillId="7" borderId="0" applyNumberFormat="0" applyBorder="0" applyAlignment="0" applyProtection="0">
      <alignment vertical="center"/>
    </xf>
    <xf numFmtId="0" fontId="44" fillId="18" borderId="0" applyNumberFormat="0" applyBorder="0" applyAlignment="0" applyProtection="0">
      <alignment vertical="center"/>
    </xf>
    <xf numFmtId="0" fontId="44" fillId="18"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2" fillId="8" borderId="0" applyNumberFormat="0" applyBorder="0" applyAlignment="0" applyProtection="0">
      <alignment vertical="center"/>
    </xf>
    <xf numFmtId="0" fontId="0" fillId="0" borderId="0"/>
    <xf numFmtId="0" fontId="0" fillId="0" borderId="0">
      <alignment vertical="center"/>
    </xf>
    <xf numFmtId="0" fontId="44" fillId="22" borderId="0" applyNumberFormat="0" applyBorder="0" applyAlignment="0" applyProtection="0">
      <alignment vertical="center"/>
    </xf>
    <xf numFmtId="0" fontId="0" fillId="0" borderId="0"/>
    <xf numFmtId="0" fontId="42" fillId="8" borderId="0" applyNumberFormat="0" applyBorder="0" applyAlignment="0" applyProtection="0">
      <alignment vertical="center"/>
    </xf>
    <xf numFmtId="0" fontId="49" fillId="11" borderId="0" applyNumberFormat="0" applyBorder="0" applyAlignment="0" applyProtection="0"/>
    <xf numFmtId="0" fontId="41" fillId="7" borderId="0" applyNumberFormat="0" applyBorder="0" applyAlignment="0" applyProtection="0">
      <alignment vertical="center"/>
    </xf>
    <xf numFmtId="0" fontId="0" fillId="0" borderId="0">
      <alignment vertical="center"/>
    </xf>
    <xf numFmtId="0" fontId="32" fillId="0" borderId="49" applyNumberFormat="0" applyFill="0" applyAlignment="0" applyProtection="0">
      <alignment vertical="center"/>
    </xf>
    <xf numFmtId="0" fontId="42" fillId="8" borderId="0" applyNumberFormat="0" applyBorder="0" applyAlignment="0" applyProtection="0">
      <alignment vertical="center"/>
    </xf>
    <xf numFmtId="0" fontId="4" fillId="0" borderId="0">
      <alignment vertical="center"/>
    </xf>
    <xf numFmtId="0" fontId="45"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0" fillId="0" borderId="0"/>
    <xf numFmtId="0" fontId="42" fillId="8" borderId="0" applyNumberFormat="0" applyBorder="0" applyAlignment="0" applyProtection="0">
      <alignment vertical="center"/>
    </xf>
    <xf numFmtId="0" fontId="45" fillId="21" borderId="0" applyNumberFormat="0" applyBorder="0" applyAlignment="0" applyProtection="0">
      <alignment vertical="center"/>
    </xf>
    <xf numFmtId="0" fontId="42" fillId="8" borderId="0" applyNumberFormat="0" applyBorder="0" applyAlignment="0" applyProtection="0">
      <alignment vertical="center"/>
    </xf>
    <xf numFmtId="0" fontId="44" fillId="17" borderId="0" applyNumberFormat="0" applyBorder="0" applyAlignment="0" applyProtection="0">
      <alignment vertical="center"/>
    </xf>
    <xf numFmtId="0" fontId="41" fillId="7" borderId="0" applyNumberFormat="0" applyBorder="0" applyAlignment="0" applyProtection="0">
      <alignment vertical="center"/>
    </xf>
    <xf numFmtId="0" fontId="58" fillId="8" borderId="0" applyNumberFormat="0" applyBorder="0" applyAlignment="0" applyProtection="0"/>
    <xf numFmtId="0" fontId="42" fillId="8" borderId="0" applyNumberFormat="0" applyBorder="0" applyAlignment="0" applyProtection="0">
      <alignment vertical="center"/>
    </xf>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49" fillId="5" borderId="0" applyNumberFormat="0" applyBorder="0" applyAlignment="0" applyProtection="0"/>
    <xf numFmtId="0" fontId="60" fillId="7" borderId="0" applyNumberFormat="0" applyBorder="0" applyAlignment="0" applyProtection="0">
      <alignment vertical="center"/>
    </xf>
    <xf numFmtId="0" fontId="29" fillId="0" borderId="0" applyNumberFormat="0" applyFill="0" applyBorder="0" applyAlignment="0" applyProtection="0">
      <alignment vertical="center"/>
    </xf>
    <xf numFmtId="0" fontId="45" fillId="8" borderId="0" applyNumberFormat="0" applyBorder="0" applyAlignment="0" applyProtection="0">
      <alignment vertical="center"/>
    </xf>
    <xf numFmtId="0" fontId="53" fillId="20" borderId="0" applyNumberFormat="0" applyBorder="0" applyAlignment="0" applyProtection="0"/>
    <xf numFmtId="43" fontId="0" fillId="0" borderId="0" applyFont="0" applyFill="0" applyBorder="0" applyAlignment="0" applyProtection="0"/>
    <xf numFmtId="0" fontId="34" fillId="0" borderId="51" applyNumberFormat="0" applyFill="0" applyAlignment="0" applyProtection="0">
      <alignment vertical="center"/>
    </xf>
    <xf numFmtId="41" fontId="0" fillId="0" borderId="0" applyFont="0" applyFill="0" applyBorder="0" applyAlignment="0" applyProtection="0">
      <alignment vertical="center"/>
    </xf>
    <xf numFmtId="0" fontId="41" fillId="7" borderId="0" applyNumberFormat="0" applyBorder="0" applyAlignment="0" applyProtection="0">
      <alignment vertical="center"/>
    </xf>
    <xf numFmtId="0" fontId="50" fillId="7" borderId="0" applyNumberFormat="0" applyBorder="0" applyAlignment="0" applyProtection="0"/>
    <xf numFmtId="0" fontId="38" fillId="6" borderId="54" applyNumberFormat="0" applyAlignment="0" applyProtection="0">
      <alignment vertical="center"/>
    </xf>
    <xf numFmtId="0" fontId="29" fillId="0" borderId="0" applyNumberFormat="0" applyFill="0" applyBorder="0" applyAlignment="0" applyProtection="0">
      <alignment vertical="center"/>
    </xf>
    <xf numFmtId="0" fontId="44" fillId="14" borderId="0" applyNumberFormat="0" applyBorder="0" applyAlignment="0" applyProtection="0">
      <alignment vertical="center"/>
    </xf>
    <xf numFmtId="0" fontId="4" fillId="0" borderId="0">
      <alignment vertical="center"/>
    </xf>
    <xf numFmtId="0" fontId="42" fillId="8" borderId="0" applyNumberFormat="0" applyBorder="0" applyAlignment="0" applyProtection="0">
      <alignment vertical="center"/>
    </xf>
    <xf numFmtId="0" fontId="50" fillId="21" borderId="0" applyNumberFormat="0" applyBorder="0" applyAlignment="0" applyProtection="0">
      <alignment vertical="center"/>
    </xf>
    <xf numFmtId="9" fontId="0" fillId="0" borderId="0" applyFont="0" applyFill="0" applyBorder="0" applyAlignment="0" applyProtection="0">
      <alignment vertical="center"/>
    </xf>
    <xf numFmtId="0" fontId="44" fillId="10" borderId="0" applyNumberFormat="0" applyBorder="0" applyAlignment="0" applyProtection="0">
      <alignment vertical="center"/>
    </xf>
    <xf numFmtId="0" fontId="34" fillId="0" borderId="51" applyNumberFormat="0" applyFill="0" applyAlignment="0" applyProtection="0">
      <alignment vertical="center"/>
    </xf>
    <xf numFmtId="0" fontId="49" fillId="3" borderId="0" applyNumberFormat="0" applyBorder="0" applyAlignment="0" applyProtection="0"/>
    <xf numFmtId="0" fontId="42" fillId="8" borderId="0" applyNumberFormat="0" applyBorder="0" applyAlignment="0" applyProtection="0">
      <alignment vertical="center"/>
    </xf>
    <xf numFmtId="0" fontId="47" fillId="12" borderId="0" applyNumberFormat="0" applyBorder="0" applyAlignment="0" applyProtection="0">
      <alignment vertical="center"/>
    </xf>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42" fillId="8" borderId="0" applyNumberFormat="0" applyBorder="0" applyAlignment="0" applyProtection="0">
      <alignment vertical="center"/>
    </xf>
    <xf numFmtId="0" fontId="39" fillId="0" borderId="55" applyNumberFormat="0" applyFill="0" applyAlignment="0" applyProtection="0">
      <alignment vertical="center"/>
    </xf>
    <xf numFmtId="0" fontId="41" fillId="21"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59" fillId="21" borderId="0" applyNumberFormat="0" applyBorder="0" applyAlignment="0" applyProtection="0">
      <alignment vertical="center"/>
    </xf>
    <xf numFmtId="0" fontId="0" fillId="0" borderId="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0" fillId="3" borderId="48" applyNumberFormat="0" applyFont="0" applyAlignment="0" applyProtection="0">
      <alignment vertical="center"/>
    </xf>
    <xf numFmtId="0" fontId="41" fillId="7" borderId="0" applyNumberFormat="0" applyBorder="0" applyAlignment="0" applyProtection="0">
      <alignment vertical="center"/>
    </xf>
    <xf numFmtId="0" fontId="0" fillId="3" borderId="48" applyNumberFormat="0" applyFont="0" applyAlignment="0" applyProtection="0">
      <alignment vertical="center"/>
    </xf>
    <xf numFmtId="0" fontId="40" fillId="0" borderId="56" applyNumberFormat="0" applyFill="0" applyAlignment="0" applyProtection="0">
      <alignment vertical="center"/>
    </xf>
    <xf numFmtId="0" fontId="41" fillId="7" borderId="0" applyNumberFormat="0" applyBorder="0" applyAlignment="0" applyProtection="0">
      <alignment vertical="center"/>
    </xf>
    <xf numFmtId="0" fontId="0" fillId="0" borderId="0"/>
    <xf numFmtId="0" fontId="44" fillId="18" borderId="0" applyNumberFormat="0" applyBorder="0" applyAlignment="0" applyProtection="0">
      <alignment vertical="center"/>
    </xf>
    <xf numFmtId="0" fontId="0" fillId="0" borderId="0">
      <alignment vertical="center"/>
    </xf>
    <xf numFmtId="0" fontId="51" fillId="21" borderId="0" applyNumberFormat="0" applyBorder="0" applyAlignment="0" applyProtection="0">
      <alignment vertical="center"/>
    </xf>
    <xf numFmtId="0" fontId="0" fillId="0" borderId="0"/>
    <xf numFmtId="0" fontId="42" fillId="19"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37" fillId="5" borderId="52" applyNumberFormat="0" applyAlignment="0" applyProtection="0">
      <alignment vertical="center"/>
    </xf>
    <xf numFmtId="0" fontId="30" fillId="0" borderId="0" applyNumberFormat="0" applyFill="0" applyBorder="0" applyAlignment="0" applyProtection="0">
      <alignment vertical="center"/>
    </xf>
    <xf numFmtId="0" fontId="52" fillId="8" borderId="0" applyNumberFormat="0" applyBorder="0" applyAlignment="0" applyProtection="0">
      <alignment vertical="center"/>
    </xf>
    <xf numFmtId="0" fontId="51" fillId="7" borderId="0" applyNumberFormat="0" applyBorder="0" applyAlignment="0" applyProtection="0">
      <alignment vertical="center"/>
    </xf>
    <xf numFmtId="0" fontId="92" fillId="0" borderId="0"/>
    <xf numFmtId="0" fontId="42" fillId="8" borderId="0" applyNumberFormat="0" applyBorder="0" applyAlignment="0" applyProtection="0">
      <alignment vertical="center"/>
    </xf>
    <xf numFmtId="0" fontId="45" fillId="12" borderId="0" applyNumberFormat="0" applyBorder="0" applyAlignment="0" applyProtection="0">
      <alignment vertical="center"/>
    </xf>
    <xf numFmtId="0" fontId="49" fillId="3" borderId="0" applyNumberFormat="0" applyBorder="0" applyAlignment="0" applyProtection="0"/>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45" fillId="21" borderId="0" applyNumberFormat="0" applyBorder="0" applyAlignment="0" applyProtection="0">
      <alignment vertical="center"/>
    </xf>
    <xf numFmtId="0" fontId="53" fillId="20" borderId="0" applyNumberFormat="0" applyBorder="0" applyAlignment="0" applyProtection="0"/>
    <xf numFmtId="0" fontId="40" fillId="0" borderId="56" applyNumberFormat="0" applyFill="0" applyAlignment="0" applyProtection="0">
      <alignment vertical="center"/>
    </xf>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54" fillId="19" borderId="0" applyNumberFormat="0" applyBorder="0" applyAlignment="0" applyProtection="0">
      <alignment vertical="center"/>
    </xf>
    <xf numFmtId="0" fontId="52" fillId="19"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34" fillId="0" borderId="51"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199" fontId="71" fillId="0" borderId="0"/>
    <xf numFmtId="0" fontId="49" fillId="3" borderId="0" applyNumberFormat="0" applyBorder="0" applyAlignment="0" applyProtection="0"/>
    <xf numFmtId="0" fontId="0" fillId="0" borderId="0"/>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0" fillId="0" borderId="0">
      <alignment vertical="center"/>
    </xf>
    <xf numFmtId="0" fontId="28" fillId="0" borderId="0" applyNumberFormat="0" applyFill="0" applyBorder="0" applyAlignment="0" applyProtection="0">
      <alignment vertical="top"/>
      <protection locked="0"/>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38" fillId="6" borderId="54" applyNumberFormat="0" applyAlignment="0" applyProtection="0">
      <alignment vertical="center"/>
    </xf>
    <xf numFmtId="0" fontId="42" fillId="8" borderId="0" applyNumberFormat="0" applyBorder="0" applyAlignment="0" applyProtection="0">
      <alignment vertical="center"/>
    </xf>
    <xf numFmtId="0" fontId="49" fillId="11" borderId="0" applyNumberFormat="0" applyBorder="0" applyAlignment="0" applyProtection="0"/>
    <xf numFmtId="0" fontId="42" fillId="8" borderId="0" applyNumberFormat="0" applyBorder="0" applyAlignment="0" applyProtection="0">
      <alignment vertical="center"/>
    </xf>
    <xf numFmtId="0" fontId="0" fillId="0" borderId="0"/>
    <xf numFmtId="0" fontId="42" fillId="19" borderId="0" applyNumberFormat="0" applyBorder="0" applyAlignment="0" applyProtection="0">
      <alignment vertical="center"/>
    </xf>
    <xf numFmtId="0" fontId="44" fillId="22" borderId="0" applyNumberFormat="0" applyBorder="0" applyAlignment="0" applyProtection="0">
      <alignment vertical="center"/>
    </xf>
    <xf numFmtId="9"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42" fillId="8" borderId="0" applyNumberFormat="0" applyBorder="0" applyAlignment="0" applyProtection="0">
      <alignment vertical="center"/>
    </xf>
    <xf numFmtId="0" fontId="45" fillId="17" borderId="0" applyNumberFormat="0" applyBorder="0" applyAlignment="0" applyProtection="0">
      <alignment vertical="center"/>
    </xf>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 fillId="0" borderId="0">
      <alignment vertical="center"/>
    </xf>
    <xf numFmtId="0" fontId="51" fillId="7" borderId="0" applyNumberFormat="0" applyBorder="0" applyAlignment="0" applyProtection="0">
      <alignment vertical="center"/>
    </xf>
    <xf numFmtId="0" fontId="0" fillId="0" borderId="0"/>
    <xf numFmtId="0" fontId="44" fillId="13" borderId="0" applyNumberFormat="0" applyBorder="0" applyAlignment="0" applyProtection="0">
      <alignment vertical="center"/>
    </xf>
    <xf numFmtId="0" fontId="0" fillId="0" borderId="0"/>
    <xf numFmtId="0" fontId="42" fillId="19" borderId="0" applyNumberFormat="0" applyBorder="0" applyAlignment="0" applyProtection="0">
      <alignment vertical="center"/>
    </xf>
    <xf numFmtId="0" fontId="0" fillId="0" borderId="0">
      <alignment vertical="center"/>
    </xf>
    <xf numFmtId="0" fontId="41" fillId="7" borderId="0" applyNumberFormat="0" applyBorder="0" applyAlignment="0" applyProtection="0">
      <alignment vertical="center"/>
    </xf>
    <xf numFmtId="0" fontId="0" fillId="0" borderId="0">
      <alignment vertical="center"/>
    </xf>
    <xf numFmtId="0" fontId="49" fillId="3" borderId="0" applyNumberFormat="0" applyBorder="0" applyAlignment="0" applyProtection="0"/>
    <xf numFmtId="0" fontId="45" fillId="12" borderId="0" applyNumberFormat="0" applyBorder="0" applyAlignment="0" applyProtection="0">
      <alignment vertical="center"/>
    </xf>
    <xf numFmtId="0" fontId="44" fillId="20" borderId="0" applyNumberFormat="0" applyBorder="0" applyAlignment="0" applyProtection="0">
      <alignment vertical="center"/>
    </xf>
    <xf numFmtId="0" fontId="41" fillId="7" borderId="0" applyNumberFormat="0" applyBorder="0" applyAlignment="0" applyProtection="0">
      <alignment vertical="center"/>
    </xf>
    <xf numFmtId="0" fontId="51" fillId="7" borderId="0" applyNumberFormat="0" applyBorder="0" applyAlignment="0" applyProtection="0">
      <alignment vertical="center"/>
    </xf>
    <xf numFmtId="0" fontId="45" fillId="19" borderId="0" applyNumberFormat="0" applyBorder="0" applyAlignment="0" applyProtection="0">
      <alignment vertical="center"/>
    </xf>
    <xf numFmtId="9" fontId="0" fillId="0" borderId="0" applyFont="0" applyFill="0" applyBorder="0" applyAlignment="0" applyProtection="0">
      <alignment vertical="center"/>
    </xf>
    <xf numFmtId="0" fontId="49" fillId="21" borderId="0" applyNumberFormat="0" applyBorder="0" applyAlignment="0" applyProtection="0"/>
    <xf numFmtId="0" fontId="41" fillId="7"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45" fillId="23" borderId="0" applyNumberFormat="0" applyBorder="0" applyAlignment="0" applyProtection="0">
      <alignment vertical="center"/>
    </xf>
    <xf numFmtId="0" fontId="49" fillId="11" borderId="0" applyNumberFormat="0" applyBorder="0" applyAlignment="0" applyProtection="0"/>
    <xf numFmtId="0" fontId="50" fillId="7" borderId="0" applyNumberFormat="0" applyBorder="0" applyAlignment="0" applyProtection="0">
      <alignment vertical="center"/>
    </xf>
    <xf numFmtId="0" fontId="45" fillId="0" borderId="0">
      <alignment vertical="center"/>
    </xf>
    <xf numFmtId="0" fontId="0" fillId="3" borderId="48" applyNumberFormat="0" applyFont="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4" fillId="20" borderId="0" applyNumberFormat="0" applyBorder="0" applyAlignment="0" applyProtection="0">
      <alignment vertical="center"/>
    </xf>
    <xf numFmtId="0" fontId="34"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9" fontId="0" fillId="0" borderId="0" applyFont="0" applyFill="0" applyBorder="0" applyAlignment="0" applyProtection="0"/>
    <xf numFmtId="0" fontId="41" fillId="7" borderId="0" applyNumberFormat="0" applyBorder="0" applyAlignment="0" applyProtection="0">
      <alignment vertical="center"/>
    </xf>
    <xf numFmtId="0" fontId="58" fillId="8" borderId="0" applyNumberFormat="0" applyBorder="0" applyAlignment="0" applyProtection="0"/>
    <xf numFmtId="0" fontId="42" fillId="8" borderId="0" applyNumberFormat="0" applyBorder="0" applyAlignment="0" applyProtection="0">
      <alignment vertical="center"/>
    </xf>
    <xf numFmtId="0" fontId="54" fillId="19" borderId="0" applyNumberFormat="0" applyBorder="0" applyAlignment="0" applyProtection="0">
      <alignment vertical="center"/>
    </xf>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50" fillId="7" borderId="0" applyNumberFormat="0" applyBorder="0" applyAlignment="0" applyProtection="0"/>
    <xf numFmtId="0" fontId="41" fillId="21" borderId="0" applyNumberFormat="0" applyBorder="0" applyAlignment="0" applyProtection="0">
      <alignment vertical="center"/>
    </xf>
    <xf numFmtId="0" fontId="53" fillId="25" borderId="0" applyNumberFormat="0" applyBorder="0" applyAlignment="0" applyProtection="0"/>
    <xf numFmtId="0" fontId="93" fillId="5" borderId="0" applyNumberFormat="0" applyBorder="0" applyAlignment="0" applyProtection="0"/>
    <xf numFmtId="0" fontId="45" fillId="19"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2" fillId="19" borderId="0" applyNumberFormat="0" applyBorder="0" applyAlignment="0" applyProtection="0">
      <alignment vertical="center"/>
    </xf>
    <xf numFmtId="0" fontId="41" fillId="21" borderId="0" applyNumberFormat="0" applyBorder="0" applyAlignment="0" applyProtection="0">
      <alignment vertical="center"/>
    </xf>
    <xf numFmtId="0" fontId="38" fillId="6" borderId="54" applyNumberFormat="0" applyAlignment="0" applyProtection="0">
      <alignment vertical="center"/>
    </xf>
    <xf numFmtId="0" fontId="0" fillId="0" borderId="0"/>
    <xf numFmtId="0" fontId="44" fillId="13" borderId="0" applyNumberFormat="0" applyBorder="0" applyAlignment="0" applyProtection="0">
      <alignment vertical="center"/>
    </xf>
    <xf numFmtId="0" fontId="41" fillId="7" borderId="0" applyNumberFormat="0" applyBorder="0" applyAlignment="0" applyProtection="0">
      <alignment vertical="center"/>
    </xf>
    <xf numFmtId="0" fontId="38" fillId="6" borderId="54" applyNumberFormat="0" applyAlignment="0" applyProtection="0">
      <alignment vertical="center"/>
    </xf>
    <xf numFmtId="0" fontId="41" fillId="21" borderId="0" applyNumberFormat="0" applyBorder="0" applyAlignment="0" applyProtection="0">
      <alignment vertical="center"/>
    </xf>
    <xf numFmtId="0" fontId="50" fillId="21" borderId="0" applyNumberFormat="0" applyBorder="0" applyAlignment="0" applyProtection="0">
      <alignment vertical="center"/>
    </xf>
    <xf numFmtId="0" fontId="34" fillId="0" borderId="0" applyNumberFormat="0" applyFill="0" applyBorder="0" applyAlignment="0" applyProtection="0">
      <alignment vertical="center"/>
    </xf>
    <xf numFmtId="0" fontId="50" fillId="7" borderId="0" applyNumberFormat="0" applyBorder="0" applyAlignment="0" applyProtection="0">
      <alignment vertical="center"/>
    </xf>
    <xf numFmtId="0" fontId="42" fillId="8" borderId="0" applyNumberFormat="0" applyBorder="0" applyAlignment="0" applyProtection="0">
      <alignment vertical="center"/>
    </xf>
    <xf numFmtId="0" fontId="44" fillId="18" borderId="0" applyNumberFormat="0" applyBorder="0" applyAlignment="0" applyProtection="0">
      <alignment vertical="center"/>
    </xf>
    <xf numFmtId="0" fontId="49" fillId="11" borderId="0" applyNumberFormat="0" applyBorder="0" applyAlignment="0" applyProtection="0"/>
    <xf numFmtId="0" fontId="33" fillId="0" borderId="50" applyNumberFormat="0" applyFill="0" applyAlignment="0" applyProtection="0">
      <alignment vertical="center"/>
    </xf>
    <xf numFmtId="0" fontId="65" fillId="0" borderId="0" applyNumberFormat="0" applyFill="0" applyBorder="0" applyAlignment="0" applyProtection="0">
      <alignment vertical="top"/>
    </xf>
    <xf numFmtId="0" fontId="58" fillId="8" borderId="0" applyNumberFormat="0" applyBorder="0" applyAlignment="0" applyProtection="0"/>
    <xf numFmtId="0" fontId="0" fillId="0" borderId="0"/>
    <xf numFmtId="0" fontId="41" fillId="21" borderId="0" applyNumberFormat="0" applyBorder="0" applyAlignment="0" applyProtection="0">
      <alignment vertical="center"/>
    </xf>
    <xf numFmtId="0" fontId="45" fillId="8" borderId="0" applyNumberFormat="0" applyBorder="0" applyAlignment="0" applyProtection="0">
      <alignment vertical="center"/>
    </xf>
    <xf numFmtId="9" fontId="0" fillId="0" borderId="0" applyFont="0" applyFill="0" applyBorder="0" applyAlignment="0" applyProtection="0"/>
    <xf numFmtId="0" fontId="52" fillId="19" borderId="0" applyNumberFormat="0" applyBorder="0" applyAlignment="0" applyProtection="0">
      <alignment vertical="center"/>
    </xf>
    <xf numFmtId="0" fontId="46" fillId="22"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50" fillId="21" borderId="0" applyNumberFormat="0" applyBorder="0" applyAlignment="0" applyProtection="0">
      <alignment vertical="center"/>
    </xf>
    <xf numFmtId="0" fontId="52" fillId="8" borderId="0" applyNumberFormat="0" applyBorder="0" applyAlignment="0" applyProtection="0">
      <alignment vertical="center"/>
    </xf>
    <xf numFmtId="0" fontId="68" fillId="8" borderId="0" applyNumberFormat="0" applyBorder="0" applyAlignment="0" applyProtection="0">
      <alignment vertical="center"/>
    </xf>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68" fillId="8" borderId="0" applyNumberFormat="0" applyBorder="0" applyAlignment="0" applyProtection="0">
      <alignment vertical="center"/>
    </xf>
    <xf numFmtId="0" fontId="42" fillId="8" borderId="0" applyNumberFormat="0" applyBorder="0" applyAlignment="0" applyProtection="0">
      <alignment vertical="center"/>
    </xf>
    <xf numFmtId="0" fontId="50" fillId="7" borderId="0" applyNumberFormat="0" applyBorder="0" applyAlignment="0" applyProtection="0"/>
    <xf numFmtId="40" fontId="0" fillId="0" borderId="0" applyFont="0" applyFill="0" applyBorder="0" applyAlignment="0" applyProtection="0"/>
    <xf numFmtId="0" fontId="45" fillId="19" borderId="0" applyNumberFormat="0" applyBorder="0" applyAlignment="0" applyProtection="0">
      <alignment vertical="center"/>
    </xf>
    <xf numFmtId="0" fontId="42" fillId="8" borderId="0" applyNumberFormat="0" applyBorder="0" applyAlignment="0" applyProtection="0">
      <alignment vertical="center"/>
    </xf>
    <xf numFmtId="0" fontId="34" fillId="0" borderId="0" applyNumberFormat="0" applyFill="0" applyBorder="0" applyAlignment="0" applyProtection="0">
      <alignment vertical="center"/>
    </xf>
    <xf numFmtId="0" fontId="0" fillId="0" borderId="0"/>
    <xf numFmtId="0" fontId="41" fillId="7" borderId="0" applyNumberFormat="0" applyBorder="0" applyAlignment="0" applyProtection="0">
      <alignment vertical="center"/>
    </xf>
    <xf numFmtId="0" fontId="94" fillId="0" borderId="0" applyNumberFormat="0" applyFill="0" applyBorder="0" applyAlignment="0" applyProtection="0"/>
    <xf numFmtId="0" fontId="35" fillId="4" borderId="52" applyNumberFormat="0" applyAlignment="0" applyProtection="0">
      <alignment vertical="center"/>
    </xf>
    <xf numFmtId="0" fontId="42" fillId="8" borderId="0" applyNumberFormat="0" applyBorder="0" applyAlignment="0" applyProtection="0">
      <alignment vertical="center"/>
    </xf>
    <xf numFmtId="0" fontId="44" fillId="22" borderId="0" applyNumberFormat="0" applyBorder="0" applyAlignment="0" applyProtection="0">
      <alignment vertical="center"/>
    </xf>
    <xf numFmtId="9" fontId="0" fillId="0" borderId="0" applyFont="0" applyFill="0" applyBorder="0" applyAlignment="0" applyProtection="0"/>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2" fillId="19" borderId="0" applyNumberFormat="0" applyBorder="0" applyAlignment="0" applyProtection="0">
      <alignment vertical="center"/>
    </xf>
    <xf numFmtId="0" fontId="44" fillId="15" borderId="0" applyNumberFormat="0" applyBorder="0" applyAlignment="0" applyProtection="0">
      <alignment vertical="center"/>
    </xf>
    <xf numFmtId="0" fontId="32" fillId="0" borderId="49" applyNumberFormat="0" applyFill="0" applyAlignment="0" applyProtection="0">
      <alignment vertical="center"/>
    </xf>
    <xf numFmtId="0" fontId="45" fillId="19" borderId="0" applyNumberFormat="0" applyBorder="0" applyAlignment="0" applyProtection="0">
      <alignment vertical="center"/>
    </xf>
    <xf numFmtId="0" fontId="42" fillId="19" borderId="0" applyNumberFormat="0" applyBorder="0" applyAlignment="0" applyProtection="0">
      <alignment vertical="center"/>
    </xf>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2" fillId="0" borderId="0"/>
    <xf numFmtId="0" fontId="44" fillId="18" borderId="0" applyNumberFormat="0" applyBorder="0" applyAlignment="0" applyProtection="0">
      <alignment vertical="center"/>
    </xf>
    <xf numFmtId="0" fontId="60" fillId="7" borderId="0" applyNumberFormat="0" applyBorder="0" applyAlignment="0" applyProtection="0">
      <alignment vertical="center"/>
    </xf>
    <xf numFmtId="0" fontId="58" fillId="8" borderId="0" applyNumberFormat="0" applyBorder="0" applyAlignment="0" applyProtection="0"/>
    <xf numFmtId="0" fontId="81" fillId="30" borderId="5">
      <protection locked="0"/>
    </xf>
    <xf numFmtId="0" fontId="68" fillId="8" borderId="0" applyNumberFormat="0" applyBorder="0" applyAlignment="0" applyProtection="0">
      <alignment vertical="center"/>
    </xf>
    <xf numFmtId="0" fontId="36" fillId="5" borderId="53" applyNumberFormat="0" applyAlignment="0" applyProtection="0">
      <alignment vertical="center"/>
    </xf>
    <xf numFmtId="0" fontId="41" fillId="7" borderId="0" applyNumberFormat="0" applyBorder="0" applyAlignment="0" applyProtection="0">
      <alignment vertical="center"/>
    </xf>
    <xf numFmtId="0" fontId="34" fillId="0" borderId="0" applyNumberFormat="0" applyFill="0" applyBorder="0" applyAlignment="0" applyProtection="0">
      <alignment vertical="center"/>
    </xf>
    <xf numFmtId="0" fontId="51" fillId="21" borderId="0" applyNumberFormat="0" applyBorder="0" applyAlignment="0" applyProtection="0">
      <alignment vertical="center"/>
    </xf>
    <xf numFmtId="0" fontId="41" fillId="7" borderId="0" applyNumberFormat="0" applyBorder="0" applyAlignment="0" applyProtection="0">
      <alignment vertical="center"/>
    </xf>
    <xf numFmtId="0" fontId="34" fillId="0" borderId="0" applyNumberFormat="0" applyFill="0" applyBorder="0" applyAlignment="0" applyProtection="0">
      <alignment vertical="center"/>
    </xf>
    <xf numFmtId="0" fontId="44" fillId="20" borderId="0" applyNumberFormat="0" applyBorder="0" applyAlignment="0" applyProtection="0">
      <alignment vertical="center"/>
    </xf>
    <xf numFmtId="0" fontId="58" fillId="8" borderId="0" applyNumberFormat="0" applyBorder="0" applyAlignment="0" applyProtection="0"/>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4" fillId="14" borderId="0" applyNumberFormat="0" applyBorder="0" applyAlignment="0" applyProtection="0">
      <alignment vertical="center"/>
    </xf>
    <xf numFmtId="0" fontId="38" fillId="6" borderId="54" applyNumberFormat="0" applyAlignment="0" applyProtection="0">
      <alignment vertical="center"/>
    </xf>
    <xf numFmtId="0" fontId="42" fillId="8" borderId="0" applyNumberFormat="0" applyBorder="0" applyAlignment="0" applyProtection="0">
      <alignment vertical="center"/>
    </xf>
    <xf numFmtId="0" fontId="44" fillId="18"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179" fontId="18" fillId="0" borderId="15">
      <alignment vertical="center"/>
      <protection locked="0"/>
    </xf>
    <xf numFmtId="43" fontId="0" fillId="0" borderId="0" applyFont="0" applyFill="0" applyBorder="0" applyAlignment="0" applyProtection="0"/>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37" fillId="5" borderId="52" applyNumberFormat="0" applyAlignment="0" applyProtection="0">
      <alignment vertical="center"/>
    </xf>
    <xf numFmtId="0" fontId="42" fillId="8" borderId="0" applyNumberFormat="0" applyBorder="0" applyAlignment="0" applyProtection="0">
      <alignment vertical="center"/>
    </xf>
    <xf numFmtId="0" fontId="36" fillId="5" borderId="53" applyNumberFormat="0" applyAlignment="0" applyProtection="0">
      <alignment vertical="center"/>
    </xf>
    <xf numFmtId="0" fontId="54" fillId="19" borderId="0" applyNumberFormat="0" applyBorder="0" applyAlignment="0" applyProtection="0">
      <alignment vertical="center"/>
    </xf>
    <xf numFmtId="0" fontId="44" fillId="20" borderId="0" applyNumberFormat="0" applyBorder="0" applyAlignment="0" applyProtection="0">
      <alignment vertical="center"/>
    </xf>
    <xf numFmtId="0" fontId="45" fillId="12" borderId="0" applyNumberFormat="0" applyBorder="0" applyAlignment="0" applyProtection="0">
      <alignment vertical="center"/>
    </xf>
    <xf numFmtId="0" fontId="42" fillId="8" borderId="0" applyNumberFormat="0" applyBorder="0" applyAlignment="0" applyProtection="0">
      <alignment vertical="center"/>
    </xf>
    <xf numFmtId="0" fontId="30" fillId="0" borderId="0" applyNumberFormat="0" applyFill="0" applyBorder="0" applyAlignment="0" applyProtection="0">
      <alignment vertical="center"/>
    </xf>
    <xf numFmtId="0" fontId="51" fillId="21" borderId="0" applyNumberFormat="0" applyBorder="0" applyAlignment="0" applyProtection="0">
      <alignment vertical="center"/>
    </xf>
    <xf numFmtId="0" fontId="68" fillId="8" borderId="0" applyNumberFormat="0" applyBorder="0" applyAlignment="0" applyProtection="0">
      <alignment vertical="center"/>
    </xf>
    <xf numFmtId="0" fontId="41" fillId="21" borderId="0" applyNumberFormat="0" applyBorder="0" applyAlignment="0" applyProtection="0">
      <alignment vertical="center"/>
    </xf>
    <xf numFmtId="0" fontId="45" fillId="12" borderId="0" applyNumberFormat="0" applyBorder="0" applyAlignment="0" applyProtection="0">
      <alignment vertical="center"/>
    </xf>
    <xf numFmtId="0" fontId="51" fillId="7" borderId="0" applyNumberFormat="0" applyBorder="0" applyAlignment="0" applyProtection="0">
      <alignment vertical="center"/>
    </xf>
    <xf numFmtId="0" fontId="45" fillId="19" borderId="0" applyNumberFormat="0" applyBorder="0" applyAlignment="0" applyProtection="0">
      <alignment vertical="center"/>
    </xf>
    <xf numFmtId="9" fontId="0" fillId="0" borderId="0" applyFont="0" applyFill="0" applyBorder="0" applyAlignment="0" applyProtection="0">
      <alignment vertical="center"/>
    </xf>
    <xf numFmtId="0" fontId="42" fillId="19" borderId="0" applyNumberFormat="0" applyBorder="0" applyAlignment="0" applyProtection="0">
      <alignment vertical="center"/>
    </xf>
    <xf numFmtId="0" fontId="45" fillId="21" borderId="0" applyNumberFormat="0" applyBorder="0" applyAlignment="0" applyProtection="0">
      <alignment vertical="center"/>
    </xf>
    <xf numFmtId="0" fontId="45" fillId="11" borderId="0" applyNumberFormat="0" applyBorder="0" applyAlignment="0" applyProtection="0">
      <alignment vertical="center"/>
    </xf>
    <xf numFmtId="0" fontId="35" fillId="4" borderId="52" applyNumberFormat="0" applyAlignment="0" applyProtection="0">
      <alignment vertical="center"/>
    </xf>
    <xf numFmtId="0" fontId="51" fillId="21" borderId="0" applyNumberFormat="0" applyBorder="0" applyAlignment="0" applyProtection="0">
      <alignment vertical="center"/>
    </xf>
    <xf numFmtId="0" fontId="42" fillId="8" borderId="0" applyNumberFormat="0" applyBorder="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49" fillId="5" borderId="0" applyNumberFormat="0" applyBorder="0" applyAlignment="0" applyProtection="0"/>
    <xf numFmtId="0" fontId="0" fillId="0" borderId="0"/>
    <xf numFmtId="0" fontId="44" fillId="13" borderId="0" applyNumberFormat="0" applyBorder="0" applyAlignment="0" applyProtection="0">
      <alignment vertical="center"/>
    </xf>
    <xf numFmtId="0" fontId="50" fillId="21" borderId="0" applyNumberFormat="0" applyBorder="0" applyAlignment="0" applyProtection="0">
      <alignment vertical="center"/>
    </xf>
    <xf numFmtId="0" fontId="45" fillId="19" borderId="0" applyNumberFormat="0" applyBorder="0" applyAlignment="0" applyProtection="0">
      <alignment vertical="center"/>
    </xf>
    <xf numFmtId="0" fontId="53" fillId="4" borderId="0" applyNumberFormat="0" applyBorder="0" applyAlignment="0" applyProtection="0"/>
    <xf numFmtId="0" fontId="42" fillId="8" borderId="0" applyNumberFormat="0" applyBorder="0" applyAlignment="0" applyProtection="0">
      <alignment vertical="center"/>
    </xf>
    <xf numFmtId="0" fontId="44" fillId="18" borderId="0" applyNumberFormat="0" applyBorder="0" applyAlignment="0" applyProtection="0">
      <alignment vertical="center"/>
    </xf>
    <xf numFmtId="0" fontId="42" fillId="8" borderId="0" applyNumberFormat="0" applyBorder="0" applyAlignment="0" applyProtection="0">
      <alignment vertical="center"/>
    </xf>
    <xf numFmtId="0" fontId="52" fillId="8"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9" fontId="0" fillId="0" borderId="0" applyFont="0" applyFill="0" applyBorder="0" applyAlignment="0" applyProtection="0"/>
    <xf numFmtId="0" fontId="0" fillId="0" borderId="0"/>
    <xf numFmtId="0" fontId="44" fillId="20"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39" fillId="0" borderId="55" applyNumberFormat="0" applyFill="0" applyAlignment="0" applyProtection="0">
      <alignment vertical="center"/>
    </xf>
    <xf numFmtId="0" fontId="45" fillId="8" borderId="0" applyNumberFormat="0" applyBorder="0" applyAlignment="0" applyProtection="0">
      <alignment vertical="center"/>
    </xf>
    <xf numFmtId="0" fontId="41" fillId="7" borderId="0" applyNumberFormat="0" applyBorder="0" applyAlignment="0" applyProtection="0">
      <alignment vertical="center"/>
    </xf>
    <xf numFmtId="0" fontId="44" fillId="14" borderId="0" applyNumberFormat="0" applyBorder="0" applyAlignment="0" applyProtection="0">
      <alignment vertical="center"/>
    </xf>
    <xf numFmtId="0" fontId="41" fillId="7" borderId="0" applyNumberFormat="0" applyBorder="0" applyAlignment="0" applyProtection="0">
      <alignment vertical="center"/>
    </xf>
    <xf numFmtId="0" fontId="38" fillId="6" borderId="54" applyNumberFormat="0" applyAlignment="0" applyProtection="0">
      <alignment vertical="center"/>
    </xf>
    <xf numFmtId="0" fontId="45" fillId="7" borderId="0" applyNumberFormat="0" applyBorder="0" applyAlignment="0" applyProtection="0">
      <alignment vertical="center"/>
    </xf>
    <xf numFmtId="0" fontId="33" fillId="0" borderId="50" applyNumberFormat="0" applyFill="0" applyAlignment="0" applyProtection="0">
      <alignment vertical="center"/>
    </xf>
    <xf numFmtId="0" fontId="41" fillId="7" borderId="0" applyNumberFormat="0" applyBorder="0" applyAlignment="0" applyProtection="0">
      <alignment vertical="center"/>
    </xf>
    <xf numFmtId="0" fontId="44" fillId="16" borderId="0" applyNumberFormat="0" applyBorder="0" applyAlignment="0" applyProtection="0">
      <alignment vertical="center"/>
    </xf>
    <xf numFmtId="43" fontId="0" fillId="0" borderId="0" applyFont="0" applyFill="0" applyBorder="0" applyAlignment="0" applyProtection="0"/>
    <xf numFmtId="0" fontId="31" fillId="0" borderId="0" applyNumberFormat="0" applyFill="0" applyBorder="0" applyAlignment="0" applyProtection="0">
      <alignment vertical="center"/>
    </xf>
    <xf numFmtId="0" fontId="42" fillId="19" borderId="0" applyNumberFormat="0" applyBorder="0" applyAlignment="0" applyProtection="0">
      <alignment vertical="center"/>
    </xf>
    <xf numFmtId="0" fontId="0" fillId="3" borderId="48" applyNumberFormat="0" applyFont="0" applyAlignment="0" applyProtection="0">
      <alignment vertical="center"/>
    </xf>
    <xf numFmtId="0" fontId="41" fillId="21"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86" fillId="0" borderId="0"/>
    <xf numFmtId="0" fontId="95" fillId="0" borderId="0"/>
    <xf numFmtId="0" fontId="53" fillId="12" borderId="0" applyNumberFormat="0" applyBorder="0" applyAlignment="0" applyProtection="0"/>
    <xf numFmtId="0" fontId="45" fillId="17" borderId="0" applyNumberFormat="0" applyBorder="0" applyAlignment="0" applyProtection="0">
      <alignment vertical="center"/>
    </xf>
    <xf numFmtId="0" fontId="45" fillId="0" borderId="0">
      <alignment vertical="center"/>
    </xf>
    <xf numFmtId="0" fontId="44" fillId="24" borderId="0" applyNumberFormat="0" applyBorder="0" applyAlignment="0" applyProtection="0">
      <alignment vertical="center"/>
    </xf>
    <xf numFmtId="0" fontId="36" fillId="5" borderId="53" applyNumberFormat="0" applyAlignment="0" applyProtection="0">
      <alignment vertical="center"/>
    </xf>
    <xf numFmtId="0" fontId="60" fillId="7" borderId="0" applyNumberFormat="0" applyBorder="0" applyAlignment="0" applyProtection="0">
      <alignment vertical="center"/>
    </xf>
    <xf numFmtId="0" fontId="30" fillId="0" borderId="0" applyNumberFormat="0" applyFill="0" applyBorder="0" applyAlignment="0" applyProtection="0">
      <alignment vertical="center"/>
    </xf>
    <xf numFmtId="0" fontId="0" fillId="3" borderId="48" applyNumberFormat="0" applyFont="0" applyAlignment="0" applyProtection="0">
      <alignment vertical="center"/>
    </xf>
    <xf numFmtId="0" fontId="49" fillId="3" borderId="0" applyNumberFormat="0" applyBorder="0" applyAlignment="0" applyProtection="0"/>
    <xf numFmtId="0" fontId="60" fillId="7" borderId="0" applyNumberFormat="0" applyBorder="0" applyAlignment="0" applyProtection="0">
      <alignment vertical="center"/>
    </xf>
    <xf numFmtId="0" fontId="42" fillId="19" borderId="0" applyNumberFormat="0" applyBorder="0" applyAlignment="0" applyProtection="0">
      <alignment vertical="center"/>
    </xf>
    <xf numFmtId="0" fontId="53" fillId="12" borderId="0" applyNumberFormat="0" applyBorder="0" applyAlignment="0" applyProtection="0"/>
    <xf numFmtId="0" fontId="41" fillId="7" borderId="0" applyNumberFormat="0" applyBorder="0" applyAlignment="0" applyProtection="0">
      <alignment vertical="center"/>
    </xf>
    <xf numFmtId="0" fontId="31" fillId="0" borderId="0" applyNumberFormat="0" applyFill="0" applyBorder="0" applyAlignment="0" applyProtection="0">
      <alignment vertical="center"/>
    </xf>
    <xf numFmtId="0" fontId="44" fillId="14" borderId="0" applyNumberFormat="0" applyBorder="0" applyAlignment="0" applyProtection="0">
      <alignment vertical="center"/>
    </xf>
    <xf numFmtId="0" fontId="59" fillId="21" borderId="0" applyNumberFormat="0" applyBorder="0" applyAlignment="0" applyProtection="0">
      <alignment vertical="center"/>
    </xf>
    <xf numFmtId="0" fontId="30" fillId="0" borderId="0" applyNumberFormat="0" applyFill="0" applyBorder="0" applyAlignment="0" applyProtection="0">
      <alignment vertical="center"/>
    </xf>
    <xf numFmtId="0" fontId="45" fillId="15" borderId="0" applyNumberFormat="0" applyBorder="0" applyAlignment="0" applyProtection="0">
      <alignment vertical="center"/>
    </xf>
    <xf numFmtId="0" fontId="44" fillId="20" borderId="0" applyNumberFormat="0" applyBorder="0" applyAlignment="0" applyProtection="0">
      <alignment vertical="center"/>
    </xf>
    <xf numFmtId="0" fontId="42" fillId="8" borderId="0" applyNumberFormat="0" applyBorder="0" applyAlignment="0" applyProtection="0">
      <alignment vertical="center"/>
    </xf>
    <xf numFmtId="0" fontId="45" fillId="12" borderId="0" applyNumberFormat="0" applyBorder="0" applyAlignment="0" applyProtection="0">
      <alignment vertical="center"/>
    </xf>
    <xf numFmtId="0" fontId="49" fillId="5" borderId="0" applyNumberFormat="0" applyBorder="0" applyAlignment="0" applyProtection="0"/>
    <xf numFmtId="0" fontId="44" fillId="18" borderId="0" applyNumberFormat="0" applyBorder="0" applyAlignment="0" applyProtection="0">
      <alignment vertical="center"/>
    </xf>
    <xf numFmtId="0" fontId="49" fillId="4" borderId="0" applyNumberFormat="0" applyBorder="0" applyAlignment="0" applyProtection="0"/>
    <xf numFmtId="0" fontId="50" fillId="21" borderId="0" applyNumberFormat="0" applyBorder="0" applyAlignment="0" applyProtection="0">
      <alignment vertical="center"/>
    </xf>
    <xf numFmtId="0" fontId="34" fillId="0" borderId="0" applyNumberFormat="0" applyFill="0" applyBorder="0" applyAlignment="0" applyProtection="0">
      <alignment vertical="center"/>
    </xf>
    <xf numFmtId="0" fontId="0" fillId="0" borderId="0" applyNumberFormat="0" applyFill="0" applyBorder="0" applyAlignment="0" applyProtection="0"/>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39" fillId="0" borderId="55" applyNumberFormat="0" applyFill="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96" fillId="0" borderId="0"/>
    <xf numFmtId="0" fontId="42" fillId="8"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41" fontId="0" fillId="0" borderId="0" applyFont="0" applyFill="0" applyBorder="0" applyAlignment="0" applyProtection="0"/>
    <xf numFmtId="0" fontId="45" fillId="12" borderId="0" applyNumberFormat="0" applyBorder="0" applyAlignment="0" applyProtection="0">
      <alignment vertical="center"/>
    </xf>
    <xf numFmtId="0" fontId="0" fillId="0" borderId="0">
      <alignment vertical="center"/>
    </xf>
    <xf numFmtId="0" fontId="42" fillId="8" borderId="0" applyNumberFormat="0" applyBorder="0" applyAlignment="0" applyProtection="0">
      <alignment vertical="center"/>
    </xf>
    <xf numFmtId="0" fontId="45" fillId="7" borderId="0" applyNumberFormat="0" applyBorder="0" applyAlignment="0" applyProtection="0">
      <alignment vertical="center"/>
    </xf>
    <xf numFmtId="0" fontId="42" fillId="8" borderId="0" applyNumberFormat="0" applyBorder="0" applyAlignment="0" applyProtection="0">
      <alignment vertical="center"/>
    </xf>
    <xf numFmtId="0" fontId="2" fillId="0" borderId="7" applyNumberFormat="0" applyFill="0" applyProtection="0">
      <alignment horizontal="right"/>
    </xf>
    <xf numFmtId="0" fontId="41" fillId="7" borderId="0" applyNumberFormat="0" applyBorder="0" applyAlignment="0" applyProtection="0">
      <alignment vertical="center"/>
    </xf>
    <xf numFmtId="0" fontId="35" fillId="4" borderId="52" applyNumberFormat="0" applyAlignment="0" applyProtection="0">
      <alignment vertical="center"/>
    </xf>
    <xf numFmtId="0" fontId="45" fillId="21" borderId="0" applyNumberFormat="0" applyBorder="0" applyAlignment="0" applyProtection="0">
      <alignment vertical="center"/>
    </xf>
    <xf numFmtId="9" fontId="0" fillId="0" borderId="0" applyFont="0" applyFill="0" applyBorder="0" applyAlignment="0" applyProtection="0">
      <alignment vertical="center"/>
    </xf>
    <xf numFmtId="0" fontId="42" fillId="8" borderId="0" applyNumberFormat="0" applyBorder="0" applyAlignment="0" applyProtection="0">
      <alignment vertical="center"/>
    </xf>
    <xf numFmtId="0" fontId="0" fillId="0" borderId="0"/>
    <xf numFmtId="0" fontId="42" fillId="19" borderId="0" applyNumberFormat="0" applyBorder="0" applyAlignment="0" applyProtection="0">
      <alignment vertical="center"/>
    </xf>
    <xf numFmtId="0" fontId="54" fillId="19" borderId="0" applyNumberFormat="0" applyBorder="0" applyAlignment="0" applyProtection="0">
      <alignment vertical="center"/>
    </xf>
    <xf numFmtId="0" fontId="42" fillId="8" borderId="0" applyNumberFormat="0" applyBorder="0" applyAlignment="0" applyProtection="0">
      <alignment vertical="center"/>
    </xf>
    <xf numFmtId="0" fontId="53" fillId="29" borderId="0" applyNumberFormat="0" applyBorder="0" applyAlignment="0" applyProtection="0"/>
    <xf numFmtId="0" fontId="77" fillId="0" borderId="0"/>
    <xf numFmtId="0" fontId="45" fillId="17" borderId="0" applyNumberFormat="0" applyBorder="0" applyAlignment="0" applyProtection="0">
      <alignment vertical="center"/>
    </xf>
    <xf numFmtId="9" fontId="0" fillId="0" borderId="0" applyFont="0" applyFill="0" applyBorder="0" applyAlignment="0" applyProtection="0">
      <alignment vertical="center"/>
    </xf>
    <xf numFmtId="0" fontId="42" fillId="8" borderId="0" applyNumberFormat="0" applyBorder="0" applyAlignment="0" applyProtection="0">
      <alignment vertical="center"/>
    </xf>
    <xf numFmtId="0" fontId="48" fillId="0" borderId="0" applyNumberFormat="0" applyFill="0" applyBorder="0" applyAlignment="0" applyProtection="0"/>
    <xf numFmtId="0" fontId="45" fillId="0" borderId="0">
      <alignment vertical="center"/>
    </xf>
    <xf numFmtId="0" fontId="44" fillId="24" borderId="0" applyNumberFormat="0" applyBorder="0" applyAlignment="0" applyProtection="0">
      <alignment vertical="center"/>
    </xf>
    <xf numFmtId="0" fontId="41" fillId="7" borderId="0" applyNumberFormat="0" applyBorder="0" applyAlignment="0" applyProtection="0">
      <alignment vertical="center"/>
    </xf>
    <xf numFmtId="0" fontId="44" fillId="10"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9" fontId="0" fillId="0" borderId="0" applyFont="0" applyFill="0" applyBorder="0" applyAlignment="0" applyProtection="0"/>
    <xf numFmtId="0" fontId="50" fillId="7" borderId="0" applyNumberFormat="0" applyBorder="0" applyAlignment="0" applyProtection="0"/>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0" fillId="0" borderId="0"/>
    <xf numFmtId="0" fontId="52" fillId="19" borderId="0" applyNumberFormat="0" applyBorder="0" applyAlignment="0" applyProtection="0">
      <alignment vertical="center"/>
    </xf>
    <xf numFmtId="0" fontId="42" fillId="8" borderId="0" applyNumberFormat="0" applyBorder="0" applyAlignment="0" applyProtection="0">
      <alignment vertical="center"/>
    </xf>
    <xf numFmtId="0" fontId="34" fillId="0" borderId="51" applyNumberFormat="0" applyFill="0" applyAlignment="0" applyProtection="0">
      <alignment vertical="center"/>
    </xf>
    <xf numFmtId="0" fontId="0" fillId="0" borderId="0"/>
    <xf numFmtId="0" fontId="41" fillId="7" borderId="0" applyNumberFormat="0" applyBorder="0" applyAlignment="0" applyProtection="0">
      <alignment vertical="center"/>
    </xf>
    <xf numFmtId="0" fontId="45" fillId="7" borderId="0" applyNumberFormat="0" applyBorder="0" applyAlignment="0" applyProtection="0">
      <alignment vertical="center"/>
    </xf>
    <xf numFmtId="0" fontId="44" fillId="16" borderId="0" applyNumberFormat="0" applyBorder="0" applyAlignment="0" applyProtection="0">
      <alignment vertical="center"/>
    </xf>
    <xf numFmtId="0" fontId="40" fillId="0" borderId="56" applyNumberFormat="0" applyFill="0" applyAlignment="0" applyProtection="0">
      <alignment vertical="center"/>
    </xf>
    <xf numFmtId="0" fontId="50" fillId="21" borderId="0" applyNumberFormat="0" applyBorder="0" applyAlignment="0" applyProtection="0">
      <alignment vertical="center"/>
    </xf>
    <xf numFmtId="0" fontId="45" fillId="17" borderId="0" applyNumberFormat="0" applyBorder="0" applyAlignment="0" applyProtection="0">
      <alignment vertical="center"/>
    </xf>
    <xf numFmtId="0" fontId="49" fillId="11" borderId="0" applyNumberFormat="0" applyBorder="0" applyAlignment="0" applyProtection="0"/>
    <xf numFmtId="0" fontId="42" fillId="8" borderId="0" applyNumberFormat="0" applyBorder="0" applyAlignment="0" applyProtection="0">
      <alignment vertical="center"/>
    </xf>
    <xf numFmtId="0" fontId="45" fillId="21"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34" fillId="0" borderId="0" applyNumberFormat="0" applyFill="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51" fillId="7" borderId="0" applyNumberFormat="0" applyBorder="0" applyAlignment="0" applyProtection="0">
      <alignment vertical="center"/>
    </xf>
    <xf numFmtId="0" fontId="45" fillId="19" borderId="0" applyNumberFormat="0" applyBorder="0" applyAlignment="0" applyProtection="0">
      <alignment vertical="center"/>
    </xf>
    <xf numFmtId="9" fontId="0" fillId="0" borderId="0" applyFont="0" applyFill="0" applyBorder="0" applyAlignment="0" applyProtection="0">
      <alignment vertical="center"/>
    </xf>
    <xf numFmtId="0" fontId="42" fillId="19" borderId="0" applyNumberFormat="0" applyBorder="0" applyAlignment="0" applyProtection="0">
      <alignment vertical="center"/>
    </xf>
    <xf numFmtId="0" fontId="44" fillId="10" borderId="0" applyNumberFormat="0" applyBorder="0" applyAlignment="0" applyProtection="0">
      <alignment vertical="center"/>
    </xf>
    <xf numFmtId="0" fontId="33" fillId="0" borderId="50" applyNumberFormat="0" applyFill="0" applyAlignment="0" applyProtection="0">
      <alignment vertical="center"/>
    </xf>
    <xf numFmtId="0" fontId="49" fillId="11" borderId="0" applyNumberFormat="0" applyBorder="0" applyAlignment="0" applyProtection="0"/>
    <xf numFmtId="0" fontId="50"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53" fillId="12" borderId="0" applyNumberFormat="0" applyBorder="0" applyAlignment="0" applyProtection="0"/>
    <xf numFmtId="0" fontId="41" fillId="7" borderId="0" applyNumberFormat="0" applyBorder="0" applyAlignment="0" applyProtection="0">
      <alignment vertical="center"/>
    </xf>
    <xf numFmtId="0" fontId="49" fillId="21" borderId="0" applyNumberFormat="0" applyBorder="0" applyAlignment="0" applyProtection="0"/>
    <xf numFmtId="0" fontId="45" fillId="19" borderId="0" applyNumberFormat="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200" fontId="0" fillId="0" borderId="0" applyFont="0" applyFill="0" applyBorder="0" applyAlignment="0" applyProtection="0"/>
    <xf numFmtId="0" fontId="52" fillId="8" borderId="0" applyNumberFormat="0" applyBorder="0" applyAlignment="0" applyProtection="0">
      <alignment vertical="center"/>
    </xf>
    <xf numFmtId="0" fontId="41" fillId="21" borderId="0" applyNumberFormat="0" applyBorder="0" applyAlignment="0" applyProtection="0">
      <alignment vertical="center"/>
    </xf>
    <xf numFmtId="188" fontId="0" fillId="0" borderId="0" applyFont="0" applyFill="0" applyBorder="0" applyAlignment="0" applyProtection="0">
      <alignment vertical="center"/>
    </xf>
    <xf numFmtId="0" fontId="41" fillId="21"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4" fillId="15"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0" fillId="0" borderId="0"/>
    <xf numFmtId="0" fontId="45" fillId="8" borderId="0" applyNumberFormat="0" applyBorder="0" applyAlignment="0" applyProtection="0">
      <alignment vertical="center"/>
    </xf>
    <xf numFmtId="0" fontId="49" fillId="5" borderId="0" applyNumberFormat="0" applyBorder="0" applyAlignment="0" applyProtection="0"/>
    <xf numFmtId="0" fontId="45" fillId="12" borderId="0" applyNumberFormat="0" applyBorder="0" applyAlignment="0" applyProtection="0">
      <alignment vertical="center"/>
    </xf>
    <xf numFmtId="0" fontId="53" fillId="20" borderId="0" applyNumberFormat="0" applyBorder="0" applyAlignment="0" applyProtection="0"/>
    <xf numFmtId="0" fontId="41" fillId="7" borderId="0" applyNumberFormat="0" applyBorder="0" applyAlignment="0" applyProtection="0">
      <alignment vertical="center"/>
    </xf>
    <xf numFmtId="0" fontId="34" fillId="0" borderId="0" applyNumberFormat="0" applyFill="0" applyBorder="0" applyAlignment="0" applyProtection="0">
      <alignment vertical="center"/>
    </xf>
    <xf numFmtId="0" fontId="42" fillId="8" borderId="0" applyNumberFormat="0" applyBorder="0" applyAlignment="0" applyProtection="0">
      <alignment vertical="center"/>
    </xf>
    <xf numFmtId="0" fontId="50" fillId="21" borderId="0" applyNumberFormat="0" applyBorder="0" applyAlignment="0" applyProtection="0">
      <alignment vertical="center"/>
    </xf>
    <xf numFmtId="0" fontId="40" fillId="0" borderId="56" applyNumberFormat="0" applyFill="0" applyAlignment="0" applyProtection="0">
      <alignment vertical="center"/>
    </xf>
    <xf numFmtId="0" fontId="34" fillId="0" borderId="51" applyNumberFormat="0" applyFill="0" applyAlignment="0" applyProtection="0">
      <alignment vertical="center"/>
    </xf>
    <xf numFmtId="0" fontId="41" fillId="7" borderId="0" applyNumberFormat="0" applyBorder="0" applyAlignment="0" applyProtection="0">
      <alignment vertical="center"/>
    </xf>
    <xf numFmtId="0" fontId="68" fillId="8" borderId="0" applyNumberFormat="0" applyBorder="0" applyAlignment="0" applyProtection="0">
      <alignment vertical="center"/>
    </xf>
    <xf numFmtId="0" fontId="42" fillId="8" borderId="0" applyNumberFormat="0" applyBorder="0" applyAlignment="0" applyProtection="0">
      <alignment vertical="center"/>
    </xf>
    <xf numFmtId="0" fontId="0" fillId="0" borderId="0">
      <alignment vertical="center"/>
    </xf>
    <xf numFmtId="0" fontId="51" fillId="21" borderId="0" applyNumberFormat="0" applyBorder="0" applyAlignment="0" applyProtection="0">
      <alignment vertical="center"/>
    </xf>
    <xf numFmtId="0" fontId="44" fillId="16" borderId="0" applyNumberFormat="0" applyBorder="0" applyAlignment="0" applyProtection="0">
      <alignment vertical="center"/>
    </xf>
    <xf numFmtId="0" fontId="41" fillId="7" borderId="0" applyNumberFormat="0" applyBorder="0" applyAlignment="0" applyProtection="0">
      <alignment vertical="center"/>
    </xf>
    <xf numFmtId="0" fontId="44" fillId="20" borderId="0" applyNumberFormat="0" applyBorder="0" applyAlignment="0" applyProtection="0">
      <alignment vertical="center"/>
    </xf>
    <xf numFmtId="0" fontId="0" fillId="0" borderId="0">
      <alignment vertical="center"/>
    </xf>
    <xf numFmtId="0" fontId="34" fillId="0" borderId="0" applyNumberFormat="0" applyFill="0" applyBorder="0" applyAlignment="0" applyProtection="0">
      <alignment vertical="center"/>
    </xf>
    <xf numFmtId="0" fontId="44" fillId="24"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5" fillId="21" borderId="0" applyNumberFormat="0" applyBorder="0" applyAlignment="0" applyProtection="0">
      <alignment vertical="center"/>
    </xf>
    <xf numFmtId="0" fontId="0" fillId="0" borderId="0"/>
    <xf numFmtId="0" fontId="0" fillId="0" borderId="0"/>
    <xf numFmtId="0" fontId="42" fillId="8" borderId="0" applyNumberFormat="0" applyBorder="0" applyAlignment="0" applyProtection="0">
      <alignment vertical="center"/>
    </xf>
    <xf numFmtId="0" fontId="45" fillId="23"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50" fillId="21" borderId="0" applyNumberFormat="0" applyBorder="0" applyAlignment="0" applyProtection="0">
      <alignment vertical="center"/>
    </xf>
    <xf numFmtId="201" fontId="0" fillId="0" borderId="0" applyFont="0" applyFill="0" applyBorder="0" applyAlignment="0" applyProtection="0"/>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49" fillId="11" borderId="0" applyNumberFormat="0" applyBorder="0" applyAlignment="0" applyProtection="0"/>
    <xf numFmtId="0" fontId="39" fillId="0" borderId="55"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1" fillId="21"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5" fillId="21" borderId="0" applyNumberFormat="0" applyBorder="0" applyAlignment="0" applyProtection="0">
      <alignment vertical="center"/>
    </xf>
    <xf numFmtId="0" fontId="0" fillId="0" borderId="0"/>
    <xf numFmtId="0" fontId="0" fillId="0" borderId="0"/>
    <xf numFmtId="0" fontId="39" fillId="0" borderId="55" applyNumberFormat="0" applyFill="0" applyAlignment="0" applyProtection="0">
      <alignment vertical="center"/>
    </xf>
    <xf numFmtId="0" fontId="49" fillId="11" borderId="0" applyNumberFormat="0" applyBorder="0" applyAlignment="0" applyProtection="0"/>
    <xf numFmtId="0" fontId="44" fillId="10" borderId="0" applyNumberFormat="0" applyBorder="0" applyAlignment="0" applyProtection="0">
      <alignment vertical="center"/>
    </xf>
    <xf numFmtId="0" fontId="58" fillId="8" borderId="0" applyNumberFormat="0" applyBorder="0" applyAlignment="0" applyProtection="0"/>
    <xf numFmtId="43" fontId="0" fillId="0" borderId="0" applyFont="0" applyFill="0" applyBorder="0" applyAlignment="0" applyProtection="0"/>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32" fillId="0" borderId="49"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9" fillId="11" borderId="0" applyNumberFormat="0" applyBorder="0" applyAlignment="0" applyProtection="0"/>
    <xf numFmtId="0" fontId="42" fillId="8" borderId="0" applyNumberFormat="0" applyBorder="0" applyAlignment="0" applyProtection="0">
      <alignment vertical="center"/>
    </xf>
    <xf numFmtId="0" fontId="45" fillId="17" borderId="0" applyNumberFormat="0" applyBorder="0" applyAlignment="0" applyProtection="0">
      <alignment vertical="center"/>
    </xf>
    <xf numFmtId="0" fontId="50" fillId="21" borderId="0" applyNumberFormat="0" applyBorder="0" applyAlignment="0" applyProtection="0">
      <alignment vertical="center"/>
    </xf>
    <xf numFmtId="0" fontId="42" fillId="8" borderId="0" applyNumberFormat="0" applyBorder="0" applyAlignment="0" applyProtection="0">
      <alignment vertical="center"/>
    </xf>
    <xf numFmtId="0" fontId="30" fillId="0" borderId="0" applyNumberFormat="0" applyFill="0" applyBorder="0" applyAlignment="0" applyProtection="0">
      <alignment vertical="center"/>
    </xf>
    <xf numFmtId="0" fontId="42" fillId="8" borderId="0" applyNumberFormat="0" applyBorder="0" applyAlignment="0" applyProtection="0">
      <alignment vertical="center"/>
    </xf>
    <xf numFmtId="0" fontId="35" fillId="4" borderId="52" applyNumberFormat="0" applyAlignment="0" applyProtection="0">
      <alignment vertical="center"/>
    </xf>
    <xf numFmtId="0" fontId="42" fillId="8" borderId="0" applyNumberFormat="0" applyBorder="0" applyAlignment="0" applyProtection="0">
      <alignment vertical="center"/>
    </xf>
    <xf numFmtId="0" fontId="44" fillId="16" borderId="0" applyNumberFormat="0" applyBorder="0" applyAlignment="0" applyProtection="0">
      <alignment vertical="center"/>
    </xf>
    <xf numFmtId="0" fontId="45" fillId="8" borderId="0" applyNumberFormat="0" applyBorder="0" applyAlignment="0" applyProtection="0">
      <alignment vertical="center"/>
    </xf>
    <xf numFmtId="0" fontId="44" fillId="14" borderId="0" applyNumberFormat="0" applyBorder="0" applyAlignment="0" applyProtection="0">
      <alignment vertical="center"/>
    </xf>
    <xf numFmtId="43" fontId="0" fillId="0" borderId="0" applyFont="0" applyFill="0" applyBorder="0" applyAlignment="0" applyProtection="0"/>
    <xf numFmtId="0" fontId="45" fillId="8" borderId="0" applyNumberFormat="0" applyBorder="0" applyAlignment="0" applyProtection="0">
      <alignment vertical="center"/>
    </xf>
    <xf numFmtId="0" fontId="53" fillId="12" borderId="0" applyNumberFormat="0" applyBorder="0" applyAlignment="0" applyProtection="0"/>
    <xf numFmtId="0" fontId="41" fillId="7" borderId="0" applyNumberFormat="0" applyBorder="0" applyAlignment="0" applyProtection="0">
      <alignment vertical="center"/>
    </xf>
    <xf numFmtId="0" fontId="44" fillId="16" borderId="0" applyNumberFormat="0" applyBorder="0" applyAlignment="0" applyProtection="0">
      <alignment vertical="center"/>
    </xf>
    <xf numFmtId="0" fontId="45" fillId="7" borderId="0" applyNumberFormat="0" applyBorder="0" applyAlignment="0" applyProtection="0">
      <alignment vertical="center"/>
    </xf>
    <xf numFmtId="0" fontId="0" fillId="0" borderId="0"/>
    <xf numFmtId="0" fontId="52" fillId="19" borderId="0" applyNumberFormat="0" applyBorder="0" applyAlignment="0" applyProtection="0">
      <alignment vertical="center"/>
    </xf>
    <xf numFmtId="0" fontId="97" fillId="0" borderId="7" applyNumberFormat="0" applyFill="0" applyProtection="0">
      <alignment horizontal="center"/>
    </xf>
    <xf numFmtId="0" fontId="36" fillId="5" borderId="53" applyNumberFormat="0" applyAlignment="0" applyProtection="0">
      <alignment vertical="center"/>
    </xf>
    <xf numFmtId="0" fontId="52" fillId="19" borderId="0" applyNumberFormat="0" applyBorder="0" applyAlignment="0" applyProtection="0">
      <alignment vertical="center"/>
    </xf>
    <xf numFmtId="0" fontId="0" fillId="3" borderId="48" applyNumberFormat="0" applyFont="0" applyAlignment="0" applyProtection="0">
      <alignment vertical="center"/>
    </xf>
    <xf numFmtId="0" fontId="44" fillId="24" borderId="0" applyNumberFormat="0" applyBorder="0" applyAlignment="0" applyProtection="0">
      <alignment vertical="center"/>
    </xf>
    <xf numFmtId="0" fontId="42" fillId="8" borderId="0" applyNumberFormat="0" applyBorder="0" applyAlignment="0" applyProtection="0">
      <alignment vertical="center"/>
    </xf>
    <xf numFmtId="0" fontId="45" fillId="4"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53" fillId="24" borderId="0" applyNumberFormat="0" applyBorder="0" applyAlignment="0" applyProtection="0"/>
    <xf numFmtId="0" fontId="45" fillId="7" borderId="0" applyNumberFormat="0" applyBorder="0" applyAlignment="0" applyProtection="0">
      <alignment vertical="center"/>
    </xf>
    <xf numFmtId="0" fontId="50" fillId="21" borderId="0" applyNumberFormat="0" applyBorder="0" applyAlignment="0" applyProtection="0">
      <alignment vertical="center"/>
    </xf>
    <xf numFmtId="0" fontId="0" fillId="0" borderId="0">
      <alignment vertical="center"/>
    </xf>
    <xf numFmtId="0" fontId="45" fillId="11" borderId="0" applyNumberFormat="0" applyBorder="0" applyAlignment="0" applyProtection="0">
      <alignment vertical="center"/>
    </xf>
    <xf numFmtId="0" fontId="42" fillId="8" borderId="0" applyNumberFormat="0" applyBorder="0" applyAlignment="0" applyProtection="0">
      <alignment vertical="center"/>
    </xf>
    <xf numFmtId="43" fontId="0" fillId="0" borderId="0" applyFont="0" applyFill="0" applyBorder="0" applyAlignment="0" applyProtection="0"/>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40" fillId="0" borderId="56" applyNumberFormat="0" applyFill="0" applyAlignment="0" applyProtection="0">
      <alignment vertical="center"/>
    </xf>
    <xf numFmtId="0" fontId="41" fillId="7" borderId="0" applyNumberFormat="0" applyBorder="0" applyAlignment="0" applyProtection="0">
      <alignment vertical="center"/>
    </xf>
    <xf numFmtId="0" fontId="0" fillId="0" borderId="0">
      <alignment vertical="center"/>
    </xf>
    <xf numFmtId="0" fontId="42" fillId="8" borderId="0" applyNumberFormat="0" applyBorder="0" applyAlignment="0" applyProtection="0">
      <alignment vertical="center"/>
    </xf>
    <xf numFmtId="0" fontId="45" fillId="21" borderId="0" applyNumberFormat="0" applyBorder="0" applyAlignment="0" applyProtection="0">
      <alignment vertical="center"/>
    </xf>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44" fillId="10" borderId="0" applyNumberFormat="0" applyBorder="0" applyAlignment="0" applyProtection="0">
      <alignment vertical="center"/>
    </xf>
    <xf numFmtId="0" fontId="0" fillId="0" borderId="0"/>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75" fillId="0" borderId="58" applyNumberFormat="0" applyAlignment="0" applyProtection="0">
      <alignment horizontal="left" vertical="center"/>
    </xf>
    <xf numFmtId="0" fontId="50" fillId="7" borderId="0" applyNumberFormat="0" applyBorder="0" applyAlignment="0" applyProtection="0"/>
    <xf numFmtId="0" fontId="45" fillId="17" borderId="0" applyNumberFormat="0" applyBorder="0" applyAlignment="0" applyProtection="0">
      <alignment vertical="center"/>
    </xf>
    <xf numFmtId="0" fontId="42" fillId="8" borderId="0" applyNumberFormat="0" applyBorder="0" applyAlignment="0" applyProtection="0">
      <alignment vertical="center"/>
    </xf>
    <xf numFmtId="0" fontId="31" fillId="0" borderId="0" applyNumberFormat="0" applyFill="0" applyBorder="0" applyAlignment="0" applyProtection="0">
      <alignment vertical="center"/>
    </xf>
    <xf numFmtId="0" fontId="42" fillId="8" borderId="0" applyNumberFormat="0" applyBorder="0" applyAlignment="0" applyProtection="0">
      <alignment vertical="center"/>
    </xf>
    <xf numFmtId="0" fontId="36" fillId="5" borderId="53" applyNumberFormat="0" applyAlignment="0" applyProtection="0">
      <alignment vertical="center"/>
    </xf>
    <xf numFmtId="0" fontId="43" fillId="9" borderId="0" applyNumberFormat="0" applyBorder="0" applyAlignment="0" applyProtection="0">
      <alignment vertical="center"/>
    </xf>
    <xf numFmtId="0" fontId="41" fillId="7" borderId="0" applyNumberFormat="0" applyBorder="0" applyAlignment="0" applyProtection="0">
      <alignment vertical="center"/>
    </xf>
    <xf numFmtId="0" fontId="53" fillId="4" borderId="0" applyNumberFormat="0" applyBorder="0" applyAlignment="0" applyProtection="0"/>
    <xf numFmtId="0" fontId="42" fillId="8" borderId="0" applyNumberFormat="0" applyBorder="0" applyAlignment="0" applyProtection="0">
      <alignment vertical="center"/>
    </xf>
    <xf numFmtId="0" fontId="44" fillId="17" borderId="0" applyNumberFormat="0" applyBorder="0" applyAlignment="0" applyProtection="0">
      <alignment vertical="center"/>
    </xf>
    <xf numFmtId="0" fontId="0" fillId="0" borderId="0"/>
    <xf numFmtId="0" fontId="42" fillId="8" borderId="0" applyNumberFormat="0" applyBorder="0" applyAlignment="0" applyProtection="0">
      <alignment vertical="center"/>
    </xf>
    <xf numFmtId="0" fontId="44" fillId="15" borderId="0" applyNumberFormat="0" applyBorder="0" applyAlignment="0" applyProtection="0">
      <alignment vertical="center"/>
    </xf>
    <xf numFmtId="0" fontId="52" fillId="19" borderId="0" applyNumberFormat="0" applyBorder="0" applyAlignment="0" applyProtection="0">
      <alignment vertical="center"/>
    </xf>
    <xf numFmtId="0" fontId="42" fillId="8" borderId="0" applyNumberFormat="0" applyBorder="0" applyAlignment="0" applyProtection="0">
      <alignment vertical="center"/>
    </xf>
    <xf numFmtId="0" fontId="51" fillId="21" borderId="0" applyNumberFormat="0" applyBorder="0" applyAlignment="0" applyProtection="0">
      <alignment vertical="center"/>
    </xf>
    <xf numFmtId="0" fontId="81" fillId="30" borderId="5">
      <protection locked="0"/>
    </xf>
    <xf numFmtId="0" fontId="44" fillId="15" borderId="0" applyNumberFormat="0" applyBorder="0" applyAlignment="0" applyProtection="0">
      <alignment vertical="center"/>
    </xf>
    <xf numFmtId="0" fontId="53" fillId="5" borderId="0" applyNumberFormat="0" applyBorder="0" applyAlignment="0" applyProtection="0"/>
    <xf numFmtId="0" fontId="52" fillId="8" borderId="0" applyNumberFormat="0" applyBorder="0" applyAlignment="0" applyProtection="0">
      <alignment vertical="center"/>
    </xf>
    <xf numFmtId="0" fontId="44" fillId="15" borderId="0" applyNumberFormat="0" applyBorder="0" applyAlignment="0" applyProtection="0">
      <alignment vertical="center"/>
    </xf>
    <xf numFmtId="0" fontId="41" fillId="7" borderId="0" applyNumberFormat="0" applyBorder="0" applyAlignment="0" applyProtection="0">
      <alignment vertical="center"/>
    </xf>
    <xf numFmtId="3" fontId="0" fillId="0" borderId="0" applyFont="0" applyFill="0" applyBorder="0" applyAlignment="0" applyProtection="0"/>
    <xf numFmtId="0" fontId="0" fillId="0" borderId="0"/>
    <xf numFmtId="0" fontId="44" fillId="10" borderId="0" applyNumberFormat="0" applyBorder="0" applyAlignment="0" applyProtection="0">
      <alignment vertical="center"/>
    </xf>
    <xf numFmtId="0" fontId="49" fillId="7" borderId="0" applyNumberFormat="0" applyBorder="0" applyAlignment="0" applyProtection="0"/>
    <xf numFmtId="0" fontId="50" fillId="7" borderId="0" applyNumberFormat="0" applyBorder="0" applyAlignment="0" applyProtection="0"/>
    <xf numFmtId="0" fontId="42" fillId="19" borderId="0" applyNumberFormat="0" applyBorder="0" applyAlignment="0" applyProtection="0">
      <alignment vertical="center"/>
    </xf>
    <xf numFmtId="0" fontId="41" fillId="7" borderId="0" applyNumberFormat="0" applyBorder="0" applyAlignment="0" applyProtection="0">
      <alignment vertical="center"/>
    </xf>
    <xf numFmtId="0" fontId="52" fillId="8" borderId="0" applyNumberFormat="0" applyBorder="0" applyAlignment="0" applyProtection="0">
      <alignment vertical="center"/>
    </xf>
    <xf numFmtId="0" fontId="93" fillId="3" borderId="15" applyNumberFormat="0" applyBorder="0" applyAlignment="0" applyProtection="0"/>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4" fillId="15" borderId="0" applyNumberFormat="0" applyBorder="0" applyAlignment="0" applyProtection="0">
      <alignment vertical="center"/>
    </xf>
    <xf numFmtId="0" fontId="31" fillId="0" borderId="0" applyNumberFormat="0" applyFill="0" applyBorder="0" applyAlignment="0" applyProtection="0">
      <alignment vertical="center"/>
    </xf>
    <xf numFmtId="0" fontId="52" fillId="19" borderId="0" applyNumberFormat="0" applyBorder="0" applyAlignment="0" applyProtection="0">
      <alignment vertical="center"/>
    </xf>
    <xf numFmtId="0" fontId="50" fillId="21" borderId="0" applyNumberFormat="0" applyBorder="0" applyAlignment="0" applyProtection="0">
      <alignment vertical="center"/>
    </xf>
    <xf numFmtId="0" fontId="45" fillId="7" borderId="0" applyNumberFormat="0" applyBorder="0" applyAlignment="0" applyProtection="0">
      <alignment vertical="center"/>
    </xf>
    <xf numFmtId="0" fontId="53" fillId="24" borderId="0" applyNumberFormat="0" applyBorder="0" applyAlignment="0" applyProtection="0"/>
    <xf numFmtId="0" fontId="98" fillId="5" borderId="52" applyNumberFormat="0" applyAlignment="0" applyProtection="0">
      <alignment vertical="center"/>
    </xf>
    <xf numFmtId="0" fontId="51" fillId="21" borderId="0" applyNumberFormat="0" applyBorder="0" applyAlignment="0" applyProtection="0">
      <alignment vertical="center"/>
    </xf>
    <xf numFmtId="0" fontId="0" fillId="0" borderId="0"/>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53" fillId="5" borderId="0" applyNumberFormat="0" applyBorder="0" applyAlignment="0" applyProtection="0"/>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4" fillId="0" borderId="0">
      <alignment vertical="center"/>
    </xf>
    <xf numFmtId="0" fontId="42" fillId="8" borderId="0" applyNumberFormat="0" applyBorder="0" applyAlignment="0" applyProtection="0">
      <alignment vertical="center"/>
    </xf>
    <xf numFmtId="0" fontId="44" fillId="22" borderId="0" applyNumberFormat="0" applyBorder="0" applyAlignment="0" applyProtection="0">
      <alignment vertical="center"/>
    </xf>
    <xf numFmtId="0" fontId="42" fillId="8" borderId="0" applyNumberFormat="0" applyBorder="0" applyAlignment="0" applyProtection="0">
      <alignment vertical="center"/>
    </xf>
    <xf numFmtId="0" fontId="44" fillId="16" borderId="0" applyNumberFormat="0" applyBorder="0" applyAlignment="0" applyProtection="0">
      <alignment vertical="center"/>
    </xf>
    <xf numFmtId="0" fontId="0" fillId="0" borderId="0">
      <alignment vertical="center"/>
    </xf>
    <xf numFmtId="0" fontId="42" fillId="8" borderId="0" applyNumberFormat="0" applyBorder="0" applyAlignment="0" applyProtection="0">
      <alignment vertical="center"/>
    </xf>
    <xf numFmtId="0" fontId="36" fillId="5" borderId="53" applyNumberFormat="0" applyAlignment="0" applyProtection="0">
      <alignment vertical="center"/>
    </xf>
    <xf numFmtId="0" fontId="52" fillId="19" borderId="0" applyNumberFormat="0" applyBorder="0" applyAlignment="0" applyProtection="0">
      <alignment vertical="center"/>
    </xf>
    <xf numFmtId="0" fontId="44" fillId="13" borderId="0" applyNumberFormat="0" applyBorder="0" applyAlignment="0" applyProtection="0">
      <alignment vertical="center"/>
    </xf>
    <xf numFmtId="0" fontId="54" fillId="19" borderId="0" applyNumberFormat="0" applyBorder="0" applyAlignment="0" applyProtection="0">
      <alignment vertical="center"/>
    </xf>
    <xf numFmtId="0" fontId="44" fillId="20" borderId="0" applyNumberFormat="0" applyBorder="0" applyAlignment="0" applyProtection="0">
      <alignment vertical="center"/>
    </xf>
    <xf numFmtId="0" fontId="32" fillId="0" borderId="49" applyNumberFormat="0" applyFill="0" applyAlignment="0" applyProtection="0">
      <alignment vertical="center"/>
    </xf>
    <xf numFmtId="0" fontId="0" fillId="0" borderId="0"/>
    <xf numFmtId="0" fontId="46" fillId="20" borderId="0" applyNumberFormat="0" applyBorder="0" applyAlignment="0" applyProtection="0">
      <alignment vertical="center"/>
    </xf>
    <xf numFmtId="0" fontId="37" fillId="5" borderId="52" applyNumberFormat="0" applyAlignment="0" applyProtection="0">
      <alignment vertical="center"/>
    </xf>
    <xf numFmtId="0" fontId="45" fillId="12"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52" fillId="19" borderId="0" applyNumberFormat="0" applyBorder="0" applyAlignment="0" applyProtection="0">
      <alignment vertical="center"/>
    </xf>
    <xf numFmtId="188" fontId="0" fillId="0" borderId="0" applyFont="0" applyFill="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2" fillId="8" borderId="0" applyNumberFormat="0" applyBorder="0" applyAlignment="0" applyProtection="0">
      <alignment vertical="center"/>
    </xf>
    <xf numFmtId="0" fontId="48" fillId="0" borderId="0" applyNumberFormat="0" applyFill="0" applyBorder="0" applyAlignment="0" applyProtection="0"/>
    <xf numFmtId="0" fontId="45" fillId="17" borderId="0" applyNumberFormat="0" applyBorder="0" applyAlignment="0" applyProtection="0">
      <alignment vertical="center"/>
    </xf>
    <xf numFmtId="9" fontId="0" fillId="0" borderId="0" applyFont="0" applyFill="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34" fillId="0" borderId="0" applyNumberFormat="0" applyFill="0" applyBorder="0" applyAlignment="0" applyProtection="0">
      <alignment vertical="center"/>
    </xf>
    <xf numFmtId="0" fontId="42" fillId="8" borderId="0" applyNumberFormat="0" applyBorder="0" applyAlignment="0" applyProtection="0">
      <alignment vertical="center"/>
    </xf>
    <xf numFmtId="0" fontId="51" fillId="21" borderId="0" applyNumberFormat="0" applyBorder="0" applyAlignment="0" applyProtection="0">
      <alignment vertical="center"/>
    </xf>
    <xf numFmtId="0" fontId="30"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44" fillId="24" borderId="0" applyNumberFormat="0" applyBorder="0" applyAlignment="0" applyProtection="0">
      <alignment vertical="center"/>
    </xf>
    <xf numFmtId="0" fontId="68" fillId="8" borderId="0" applyNumberFormat="0" applyBorder="0" applyAlignment="0" applyProtection="0">
      <alignment vertical="center"/>
    </xf>
    <xf numFmtId="0" fontId="56" fillId="0" borderId="0"/>
    <xf numFmtId="0" fontId="42" fillId="8" borderId="0" applyNumberFormat="0" applyBorder="0" applyAlignment="0" applyProtection="0">
      <alignment vertical="center"/>
    </xf>
    <xf numFmtId="181" fontId="99" fillId="33" borderId="0"/>
    <xf numFmtId="0" fontId="41" fillId="21" borderId="0" applyNumberFormat="0" applyBorder="0" applyAlignment="0" applyProtection="0">
      <alignment vertical="center"/>
    </xf>
    <xf numFmtId="0" fontId="49" fillId="5" borderId="0" applyNumberFormat="0" applyBorder="0" applyAlignment="0" applyProtection="0"/>
    <xf numFmtId="0" fontId="45" fillId="8" borderId="0" applyNumberFormat="0" applyBorder="0" applyAlignment="0" applyProtection="0">
      <alignment vertical="center"/>
    </xf>
    <xf numFmtId="0" fontId="45" fillId="12" borderId="0" applyNumberFormat="0" applyBorder="0" applyAlignment="0" applyProtection="0">
      <alignment vertical="center"/>
    </xf>
    <xf numFmtId="0" fontId="53" fillId="20" borderId="0" applyNumberFormat="0" applyBorder="0" applyAlignment="0" applyProtection="0"/>
    <xf numFmtId="0" fontId="41" fillId="7" borderId="0" applyNumberFormat="0" applyBorder="0" applyAlignment="0" applyProtection="0">
      <alignment vertical="center"/>
    </xf>
    <xf numFmtId="0" fontId="29" fillId="0" borderId="0" applyNumberFormat="0" applyFill="0" applyBorder="0" applyAlignment="0" applyProtection="0">
      <alignment vertical="center"/>
    </xf>
    <xf numFmtId="0" fontId="51" fillId="21" borderId="0" applyNumberFormat="0" applyBorder="0" applyAlignment="0" applyProtection="0">
      <alignment vertical="center"/>
    </xf>
    <xf numFmtId="0" fontId="44" fillId="20"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31" fillId="0" borderId="0" applyNumberFormat="0" applyFill="0" applyBorder="0" applyAlignment="0" applyProtection="0">
      <alignment vertical="center"/>
    </xf>
    <xf numFmtId="0" fontId="37" fillId="5" borderId="52" applyNumberFormat="0" applyAlignment="0" applyProtection="0">
      <alignment vertical="center"/>
    </xf>
    <xf numFmtId="0" fontId="0" fillId="0" borderId="0">
      <alignment vertical="center"/>
    </xf>
    <xf numFmtId="0" fontId="42" fillId="8" borderId="0" applyNumberFormat="0" applyBorder="0" applyAlignment="0" applyProtection="0">
      <alignment vertical="center"/>
    </xf>
    <xf numFmtId="0" fontId="34" fillId="0" borderId="51" applyNumberFormat="0" applyFill="0" applyAlignment="0" applyProtection="0">
      <alignment vertical="center"/>
    </xf>
    <xf numFmtId="0" fontId="42" fillId="8" borderId="0" applyNumberFormat="0" applyBorder="0" applyAlignment="0" applyProtection="0">
      <alignment vertical="center"/>
    </xf>
    <xf numFmtId="0" fontId="53" fillId="5" borderId="0" applyNumberFormat="0" applyBorder="0" applyAlignment="0" applyProtection="0"/>
    <xf numFmtId="0" fontId="4" fillId="0" borderId="0">
      <alignment vertical="center"/>
    </xf>
    <xf numFmtId="0" fontId="44" fillId="16"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53" fillId="6" borderId="0" applyNumberFormat="0" applyBorder="0" applyAlignment="0" applyProtection="0"/>
    <xf numFmtId="0" fontId="41" fillId="7" borderId="0" applyNumberFormat="0" applyBorder="0" applyAlignment="0" applyProtection="0">
      <alignment vertical="center"/>
    </xf>
    <xf numFmtId="0" fontId="44" fillId="10" borderId="0" applyNumberFormat="0" applyBorder="0" applyAlignment="0" applyProtection="0">
      <alignment vertical="center"/>
    </xf>
    <xf numFmtId="0" fontId="42" fillId="8" borderId="0" applyNumberFormat="0" applyBorder="0" applyAlignment="0" applyProtection="0">
      <alignment vertical="center"/>
    </xf>
    <xf numFmtId="0" fontId="45" fillId="17" borderId="0" applyNumberFormat="0" applyBorder="0" applyAlignment="0" applyProtection="0">
      <alignment vertical="center"/>
    </xf>
    <xf numFmtId="0" fontId="42" fillId="8" borderId="0" applyNumberFormat="0" applyBorder="0" applyAlignment="0" applyProtection="0">
      <alignment vertical="center"/>
    </xf>
    <xf numFmtId="0" fontId="49" fillId="11" borderId="0" applyNumberFormat="0" applyBorder="0" applyAlignment="0" applyProtection="0"/>
    <xf numFmtId="0" fontId="41" fillId="7" borderId="0" applyNumberFormat="0" applyBorder="0" applyAlignment="0" applyProtection="0">
      <alignment vertical="center"/>
    </xf>
    <xf numFmtId="0" fontId="42" fillId="19" borderId="0" applyNumberFormat="0" applyBorder="0" applyAlignment="0" applyProtection="0">
      <alignment vertical="center"/>
    </xf>
    <xf numFmtId="0" fontId="42" fillId="8" borderId="0" applyNumberFormat="0" applyBorder="0" applyAlignment="0" applyProtection="0">
      <alignment vertical="center"/>
    </xf>
    <xf numFmtId="38" fontId="0" fillId="0" borderId="0" applyFont="0" applyFill="0" applyBorder="0" applyAlignment="0" applyProtection="0"/>
    <xf numFmtId="0" fontId="53" fillId="25" borderId="0" applyNumberFormat="0" applyBorder="0" applyAlignment="0" applyProtection="0"/>
    <xf numFmtId="0" fontId="45" fillId="11" borderId="0" applyNumberFormat="0" applyBorder="0" applyAlignment="0" applyProtection="0">
      <alignment vertical="center"/>
    </xf>
    <xf numFmtId="0" fontId="0" fillId="0" borderId="0">
      <alignment vertical="center"/>
    </xf>
    <xf numFmtId="0" fontId="37" fillId="5" borderId="52" applyNumberFormat="0" applyAlignment="0" applyProtection="0">
      <alignment vertical="center"/>
    </xf>
    <xf numFmtId="0" fontId="42" fillId="8" borderId="0" applyNumberFormat="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49" fillId="21" borderId="0" applyNumberFormat="0" applyBorder="0" applyAlignment="0" applyProtection="0"/>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41" fillId="7" borderId="0" applyNumberFormat="0" applyBorder="0" applyAlignment="0" applyProtection="0">
      <alignment vertical="center"/>
    </xf>
    <xf numFmtId="0" fontId="45" fillId="4"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53" fillId="6" borderId="0" applyNumberFormat="0" applyBorder="0" applyAlignment="0" applyProtection="0"/>
    <xf numFmtId="0" fontId="68" fillId="8" borderId="0" applyNumberFormat="0" applyBorder="0" applyAlignment="0" applyProtection="0">
      <alignment vertical="center"/>
    </xf>
    <xf numFmtId="0" fontId="41" fillId="7" borderId="0" applyNumberFormat="0" applyBorder="0" applyAlignment="0" applyProtection="0">
      <alignment vertical="center"/>
    </xf>
    <xf numFmtId="0" fontId="44" fillId="13" borderId="0" applyNumberFormat="0" applyBorder="0" applyAlignment="0" applyProtection="0">
      <alignment vertical="center"/>
    </xf>
    <xf numFmtId="0" fontId="52" fillId="8"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34" fillId="0" borderId="51" applyNumberFormat="0" applyFill="0" applyAlignment="0" applyProtection="0">
      <alignment vertical="center"/>
    </xf>
    <xf numFmtId="0" fontId="32" fillId="0" borderId="49" applyNumberFormat="0" applyFill="0" applyAlignment="0" applyProtection="0">
      <alignment vertical="center"/>
    </xf>
    <xf numFmtId="0" fontId="41" fillId="21" borderId="0" applyNumberFormat="0" applyBorder="0" applyAlignment="0" applyProtection="0">
      <alignment vertical="center"/>
    </xf>
    <xf numFmtId="0" fontId="41" fillId="7" borderId="0" applyNumberFormat="0" applyBorder="0" applyAlignment="0" applyProtection="0">
      <alignment vertical="center"/>
    </xf>
    <xf numFmtId="0" fontId="0" fillId="0" borderId="0">
      <alignment vertical="center"/>
    </xf>
    <xf numFmtId="0" fontId="60" fillId="7" borderId="0" applyNumberFormat="0" applyBorder="0" applyAlignment="0" applyProtection="0">
      <alignment vertical="center"/>
    </xf>
    <xf numFmtId="0" fontId="41" fillId="7" borderId="0" applyNumberFormat="0" applyBorder="0" applyAlignment="0" applyProtection="0">
      <alignment vertical="center"/>
    </xf>
    <xf numFmtId="0" fontId="35" fillId="4" borderId="52" applyNumberFormat="0" applyAlignment="0" applyProtection="0">
      <alignment vertical="center"/>
    </xf>
    <xf numFmtId="0" fontId="39" fillId="0" borderId="55" applyNumberFormat="0" applyFill="0" applyAlignment="0" applyProtection="0">
      <alignment vertical="center"/>
    </xf>
    <xf numFmtId="0" fontId="38" fillId="6" borderId="54" applyNumberFormat="0" applyAlignment="0" applyProtection="0">
      <alignment vertical="center"/>
    </xf>
    <xf numFmtId="0" fontId="33" fillId="0" borderId="50" applyNumberFormat="0" applyFill="0" applyAlignment="0" applyProtection="0">
      <alignment vertical="center"/>
    </xf>
    <xf numFmtId="0" fontId="53" fillId="25" borderId="0" applyNumberFormat="0" applyBorder="0" applyAlignment="0" applyProtection="0"/>
    <xf numFmtId="0" fontId="0" fillId="0" borderId="0">
      <alignment vertical="center"/>
    </xf>
    <xf numFmtId="0" fontId="45" fillId="11" borderId="0" applyNumberFormat="0" applyBorder="0" applyAlignment="0" applyProtection="0">
      <alignment vertical="center"/>
    </xf>
    <xf numFmtId="0" fontId="44" fillId="10"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34" fillId="0" borderId="0" applyNumberFormat="0" applyFill="0" applyBorder="0" applyAlignment="0" applyProtection="0">
      <alignment vertical="center"/>
    </xf>
    <xf numFmtId="0" fontId="43" fillId="9" borderId="0" applyNumberFormat="0" applyBorder="0" applyAlignment="0" applyProtection="0">
      <alignment vertical="center"/>
    </xf>
    <xf numFmtId="0" fontId="43" fillId="9"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43" fontId="0" fillId="0" borderId="0" applyFont="0" applyFill="0" applyBorder="0" applyAlignment="0" applyProtection="0"/>
    <xf numFmtId="0" fontId="50" fillId="7" borderId="0" applyNumberFormat="0" applyBorder="0" applyAlignment="0" applyProtection="0"/>
    <xf numFmtId="0" fontId="0" fillId="0" borderId="0">
      <alignment vertical="center"/>
    </xf>
    <xf numFmtId="0" fontId="0" fillId="0" borderId="0">
      <alignment vertical="center"/>
    </xf>
  </cellStyleXfs>
  <cellXfs count="356">
    <xf numFmtId="0" fontId="0" fillId="0" borderId="0" xfId="0"/>
    <xf numFmtId="0" fontId="1" fillId="0" borderId="0" xfId="0" applyFont="1"/>
    <xf numFmtId="0" fontId="2" fillId="0" borderId="0" xfId="0" applyFont="1"/>
    <xf numFmtId="0" fontId="3" fillId="0" borderId="0" xfId="0" applyFont="1" applyBorder="1" applyAlignment="1">
      <alignment horizontal="center" vertical="center"/>
    </xf>
    <xf numFmtId="0" fontId="4" fillId="0" borderId="1" xfId="0" applyFont="1" applyBorder="1"/>
    <xf numFmtId="0" fontId="2" fillId="0" borderId="1" xfId="0" applyFont="1" applyBorder="1"/>
    <xf numFmtId="0" fontId="4" fillId="0" borderId="1" xfId="0" applyFont="1" applyBorder="1" applyAlignment="1">
      <alignment horizontal="right"/>
    </xf>
    <xf numFmtId="187" fontId="0" fillId="0" borderId="2" xfId="807" applyNumberFormat="1" applyFont="1" applyFill="1" applyBorder="1" applyAlignment="1">
      <alignment horizontal="center" vertical="center"/>
    </xf>
    <xf numFmtId="187" fontId="0" fillId="0" borderId="3" xfId="807" applyNumberFormat="1" applyFont="1" applyFill="1" applyBorder="1" applyAlignment="1">
      <alignment horizontal="center" vertical="center"/>
    </xf>
    <xf numFmtId="0" fontId="5" fillId="0" borderId="4" xfId="0" applyFont="1" applyBorder="1" applyAlignment="1">
      <alignment horizontal="center" vertical="center"/>
    </xf>
    <xf numFmtId="202" fontId="0" fillId="0" borderId="5" xfId="0" applyNumberFormat="1" applyFont="1" applyFill="1" applyBorder="1" applyAlignment="1">
      <alignment horizontal="right" vertical="center"/>
    </xf>
    <xf numFmtId="203" fontId="0" fillId="0" borderId="6" xfId="807" applyNumberFormat="1" applyFont="1" applyFill="1" applyBorder="1" applyAlignment="1">
      <alignment horizontal="right" vertical="center"/>
    </xf>
    <xf numFmtId="0" fontId="5" fillId="0" borderId="4" xfId="0" applyFont="1" applyFill="1" applyBorder="1" applyAlignment="1">
      <alignment horizontal="center" vertical="center" wrapText="1"/>
    </xf>
    <xf numFmtId="0" fontId="5" fillId="0" borderId="0" xfId="0" applyFont="1" applyFill="1" applyBorder="1" applyAlignment="1">
      <alignment horizontal="center" vertical="center" wrapText="1"/>
    </xf>
    <xf numFmtId="203" fontId="0" fillId="0" borderId="0" xfId="807" applyNumberFormat="1" applyFont="1" applyFill="1" applyBorder="1" applyAlignment="1">
      <alignment horizontal="right" vertical="center"/>
    </xf>
    <xf numFmtId="0" fontId="5" fillId="0" borderId="4" xfId="0" applyNumberFormat="1" applyFont="1" applyBorder="1" applyAlignment="1">
      <alignment horizontal="center"/>
    </xf>
    <xf numFmtId="0" fontId="0" fillId="0" borderId="4" xfId="0" applyNumberFormat="1" applyBorder="1"/>
    <xf numFmtId="0" fontId="0" fillId="0" borderId="0" xfId="0" applyNumberFormat="1" applyBorder="1"/>
    <xf numFmtId="202" fontId="0" fillId="0" borderId="4" xfId="0" applyNumberFormat="1" applyFont="1" applyFill="1" applyBorder="1" applyAlignment="1">
      <alignment horizontal="right" vertical="center"/>
    </xf>
    <xf numFmtId="202" fontId="0" fillId="0" borderId="0" xfId="0" applyNumberFormat="1" applyFont="1" applyFill="1" applyBorder="1" applyAlignment="1">
      <alignment horizontal="right" vertical="center"/>
    </xf>
    <xf numFmtId="203" fontId="0" fillId="0" borderId="5" xfId="0" applyNumberFormat="1" applyBorder="1"/>
    <xf numFmtId="203" fontId="0" fillId="0" borderId="0" xfId="0" applyNumberFormat="1" applyBorder="1"/>
    <xf numFmtId="0" fontId="5" fillId="0" borderId="2" xfId="0" applyNumberFormat="1" applyFont="1" applyBorder="1" applyAlignment="1">
      <alignment horizontal="center"/>
    </xf>
    <xf numFmtId="203" fontId="0" fillId="0" borderId="7" xfId="0" applyNumberFormat="1" applyBorder="1"/>
    <xf numFmtId="203" fontId="0" fillId="0" borderId="3" xfId="0" applyNumberFormat="1" applyBorder="1"/>
    <xf numFmtId="0" fontId="3" fillId="0" borderId="1" xfId="0" applyFont="1" applyFill="1" applyBorder="1" applyAlignment="1">
      <alignment horizontal="center" vertical="center"/>
    </xf>
    <xf numFmtId="0" fontId="0" fillId="0" borderId="1" xfId="0" applyFont="1" applyFill="1" applyBorder="1" applyAlignment="1">
      <alignment horizontal="center"/>
    </xf>
    <xf numFmtId="204" fontId="0" fillId="0" borderId="5" xfId="0" applyNumberFormat="1" applyFont="1" applyBorder="1" applyAlignment="1">
      <alignment horizontal="right" vertical="center"/>
    </xf>
    <xf numFmtId="205" fontId="0" fillId="0" borderId="5" xfId="0" applyNumberFormat="1" applyFont="1" applyBorder="1" applyAlignment="1">
      <alignment horizontal="right" vertical="center"/>
    </xf>
    <xf numFmtId="203" fontId="0" fillId="0" borderId="6" xfId="0" applyNumberFormat="1" applyFont="1" applyBorder="1" applyAlignment="1">
      <alignment horizontal="right" vertical="center"/>
    </xf>
    <xf numFmtId="203" fontId="0" fillId="0" borderId="6" xfId="0" applyNumberFormat="1" applyFont="1" applyFill="1" applyBorder="1" applyAlignment="1">
      <alignment horizontal="right" vertical="center"/>
    </xf>
    <xf numFmtId="0" fontId="5" fillId="0" borderId="0" xfId="0" applyFont="1" applyBorder="1" applyAlignment="1">
      <alignment horizontal="center" vertical="center"/>
    </xf>
    <xf numFmtId="203" fontId="0" fillId="0" borderId="0" xfId="0" applyNumberFormat="1" applyFont="1" applyFill="1" applyBorder="1" applyAlignment="1">
      <alignment horizontal="right" vertical="center"/>
    </xf>
    <xf numFmtId="205" fontId="0" fillId="0" borderId="4" xfId="0" applyNumberFormat="1" applyFont="1" applyBorder="1" applyAlignment="1">
      <alignment horizontal="right" vertical="center"/>
    </xf>
    <xf numFmtId="203" fontId="0" fillId="0" borderId="0" xfId="0" applyNumberFormat="1" applyBorder="1" applyAlignment="1">
      <alignment horizontal="right"/>
    </xf>
    <xf numFmtId="205" fontId="0" fillId="0" borderId="4" xfId="0" applyNumberFormat="1" applyBorder="1"/>
    <xf numFmtId="203" fontId="0" fillId="0" borderId="0" xfId="1081" applyNumberFormat="1" applyFont="1" applyFill="1" applyBorder="1" applyAlignment="1">
      <alignment horizontal="right" vertical="center"/>
    </xf>
    <xf numFmtId="205" fontId="0" fillId="0" borderId="7" xfId="0" applyNumberFormat="1" applyFont="1" applyBorder="1" applyAlignment="1">
      <alignment horizontal="right" vertical="center"/>
    </xf>
    <xf numFmtId="203" fontId="0" fillId="0" borderId="3" xfId="1081" applyNumberFormat="1" applyFont="1" applyFill="1" applyBorder="1" applyAlignment="1">
      <alignment horizontal="right" vertical="center"/>
    </xf>
    <xf numFmtId="0" fontId="3" fillId="0" borderId="0" xfId="0" applyFont="1" applyFill="1" applyBorder="1" applyAlignment="1">
      <alignment horizontal="center" vertical="center"/>
    </xf>
    <xf numFmtId="204" fontId="0" fillId="0" borderId="4" xfId="0" applyNumberFormat="1" applyFont="1" applyBorder="1" applyAlignment="1">
      <alignment horizontal="right" vertical="center"/>
    </xf>
    <xf numFmtId="0" fontId="0" fillId="0" borderId="5" xfId="0" applyNumberFormat="1" applyBorder="1"/>
    <xf numFmtId="0" fontId="0" fillId="0" borderId="7" xfId="0" applyNumberFormat="1" applyBorder="1"/>
    <xf numFmtId="0" fontId="0" fillId="0" borderId="0" xfId="0" applyFont="1"/>
    <xf numFmtId="0" fontId="4" fillId="0" borderId="0" xfId="0" applyFont="1"/>
    <xf numFmtId="0" fontId="0" fillId="0" borderId="0" xfId="0" applyBorder="1"/>
    <xf numFmtId="0" fontId="3" fillId="0" borderId="1" xfId="0" applyFont="1" applyBorder="1" applyAlignment="1">
      <alignment horizontal="center" vertical="center"/>
    </xf>
    <xf numFmtId="0" fontId="0" fillId="0" borderId="0" xfId="0" applyFont="1" applyFill="1" applyAlignment="1"/>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0" fillId="0" borderId="0" xfId="0" applyFont="1" applyBorder="1"/>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7" fillId="0" borderId="0" xfId="0" applyFont="1" applyBorder="1" applyAlignment="1">
      <alignment horizontal="right" vertical="center"/>
    </xf>
    <xf numFmtId="202" fontId="0" fillId="0" borderId="6" xfId="0" applyNumberFormat="1" applyFont="1" applyBorder="1" applyAlignment="1">
      <alignment horizontal="right" vertical="center"/>
    </xf>
    <xf numFmtId="0" fontId="8" fillId="0" borderId="4" xfId="0" applyFont="1" applyBorder="1" applyAlignment="1">
      <alignment horizontal="center" vertical="center" wrapText="1"/>
    </xf>
    <xf numFmtId="203" fontId="0" fillId="0" borderId="0" xfId="0" applyNumberFormat="1" applyBorder="1" applyAlignment="1">
      <alignment vertical="center"/>
    </xf>
    <xf numFmtId="204" fontId="0" fillId="0" borderId="2" xfId="0" applyNumberFormat="1" applyFont="1" applyBorder="1" applyAlignment="1">
      <alignment horizontal="right" vertical="center"/>
    </xf>
    <xf numFmtId="203" fontId="0" fillId="0" borderId="3" xfId="0" applyNumberFormat="1" applyBorder="1" applyAlignment="1">
      <alignment vertical="center"/>
    </xf>
    <xf numFmtId="204" fontId="0" fillId="0" borderId="5" xfId="241" applyNumberFormat="1" applyFont="1" applyBorder="1" applyAlignment="1">
      <alignment horizontal="right" vertical="center"/>
    </xf>
    <xf numFmtId="204" fontId="0" fillId="0" borderId="5" xfId="241" applyNumberFormat="1" applyFont="1" applyBorder="1" applyAlignment="1">
      <alignment horizontal="right" vertical="center" wrapText="1"/>
    </xf>
    <xf numFmtId="203" fontId="0" fillId="0" borderId="6" xfId="807" applyNumberFormat="1" applyFont="1" applyFill="1" applyBorder="1" applyAlignment="1">
      <alignment horizontal="right" vertical="center" wrapText="1"/>
    </xf>
    <xf numFmtId="206" fontId="0" fillId="0" borderId="5" xfId="0" applyNumberFormat="1" applyBorder="1" applyAlignment="1">
      <alignment wrapText="1"/>
    </xf>
    <xf numFmtId="0" fontId="0" fillId="0" borderId="5" xfId="0" applyBorder="1" applyAlignment="1">
      <alignment wrapText="1"/>
    </xf>
    <xf numFmtId="0" fontId="5" fillId="0" borderId="4" xfId="0" applyNumberFormat="1" applyFont="1" applyBorder="1" applyAlignment="1">
      <alignment horizontal="center" vertical="center"/>
    </xf>
    <xf numFmtId="0" fontId="0" fillId="0" borderId="5" xfId="0" applyNumberFormat="1" applyBorder="1" applyAlignment="1">
      <alignment wrapText="1"/>
    </xf>
    <xf numFmtId="0" fontId="0" fillId="0" borderId="6" xfId="0" applyNumberFormat="1" applyBorder="1" applyAlignment="1">
      <alignment wrapText="1"/>
    </xf>
    <xf numFmtId="203" fontId="0" fillId="0" borderId="6" xfId="0" applyNumberFormat="1" applyBorder="1" applyAlignment="1">
      <alignment wrapText="1"/>
    </xf>
    <xf numFmtId="0" fontId="5" fillId="0" borderId="6" xfId="0" applyNumberFormat="1" applyFont="1" applyBorder="1" applyAlignment="1">
      <alignment horizontal="center" vertical="center"/>
    </xf>
    <xf numFmtId="207" fontId="0" fillId="0" borderId="5" xfId="0" applyNumberFormat="1" applyBorder="1" applyAlignment="1">
      <alignment wrapText="1"/>
    </xf>
    <xf numFmtId="0" fontId="0" fillId="0" borderId="0" xfId="0" applyNumberFormat="1" applyBorder="1" applyAlignment="1">
      <alignment wrapText="1"/>
    </xf>
    <xf numFmtId="203" fontId="0" fillId="0" borderId="0" xfId="0" applyNumberFormat="1" applyBorder="1" applyAlignment="1">
      <alignment wrapText="1"/>
    </xf>
    <xf numFmtId="207" fontId="0" fillId="0" borderId="4" xfId="0" applyNumberFormat="1" applyBorder="1"/>
    <xf numFmtId="207" fontId="0" fillId="0" borderId="11" xfId="0" applyNumberFormat="1" applyBorder="1"/>
    <xf numFmtId="203" fontId="0" fillId="0" borderId="12" xfId="0" applyNumberFormat="1" applyBorder="1"/>
    <xf numFmtId="204" fontId="0" fillId="0" borderId="5" xfId="0" applyNumberFormat="1" applyFont="1" applyFill="1" applyBorder="1" applyAlignment="1">
      <alignment horizontal="right" vertical="center"/>
    </xf>
    <xf numFmtId="202" fontId="0" fillId="0" borderId="6" xfId="0" applyNumberFormat="1" applyFont="1" applyFill="1" applyBorder="1" applyAlignment="1">
      <alignment horizontal="right" vertical="center"/>
    </xf>
    <xf numFmtId="0" fontId="0" fillId="0" borderId="4" xfId="0" applyBorder="1"/>
    <xf numFmtId="0" fontId="0" fillId="0" borderId="6" xfId="0" applyBorder="1"/>
    <xf numFmtId="0" fontId="5" fillId="0" borderId="0" xfId="0" applyNumberFormat="1" applyFont="1" applyBorder="1" applyAlignment="1">
      <alignment horizontal="center" vertical="center"/>
    </xf>
    <xf numFmtId="0" fontId="0" fillId="2" borderId="7" xfId="0" applyFont="1" applyFill="1" applyBorder="1" applyAlignment="1">
      <alignment horizontal="right" vertical="center"/>
    </xf>
    <xf numFmtId="203" fontId="0" fillId="2" borderId="13" xfId="0" applyNumberFormat="1" applyFont="1" applyFill="1" applyBorder="1" applyAlignment="1">
      <alignment horizontal="right" vertical="center"/>
    </xf>
    <xf numFmtId="0" fontId="9" fillId="0" borderId="1"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5" fillId="0" borderId="4" xfId="0" applyFont="1" applyBorder="1" applyAlignment="1">
      <alignment horizontal="center"/>
    </xf>
    <xf numFmtId="0" fontId="0" fillId="0" borderId="5" xfId="0" applyBorder="1"/>
    <xf numFmtId="0" fontId="0" fillId="0" borderId="0" xfId="0" applyFont="1" applyBorder="1" applyAlignment="1">
      <alignment horizontal="right" vertical="center"/>
    </xf>
    <xf numFmtId="203" fontId="0" fillId="0" borderId="6" xfId="0" applyNumberFormat="1" applyBorder="1"/>
    <xf numFmtId="203" fontId="0" fillId="0" borderId="6" xfId="0" applyNumberFormat="1" applyFill="1" applyBorder="1"/>
    <xf numFmtId="0" fontId="5" fillId="0" borderId="0" xfId="0" applyFont="1" applyBorder="1" applyAlignment="1">
      <alignment horizontal="center"/>
    </xf>
    <xf numFmtId="203" fontId="0" fillId="0" borderId="0" xfId="0" applyNumberFormat="1"/>
    <xf numFmtId="0" fontId="5" fillId="0" borderId="0" xfId="0" applyNumberFormat="1" applyFont="1" applyBorder="1" applyAlignment="1">
      <alignment horizontal="center"/>
    </xf>
    <xf numFmtId="0" fontId="5" fillId="0" borderId="5" xfId="0" applyNumberFormat="1" applyFont="1" applyBorder="1" applyAlignment="1">
      <alignment horizontal="center"/>
    </xf>
    <xf numFmtId="0" fontId="0" fillId="0" borderId="0" xfId="629" applyFont="1" applyFill="1">
      <alignment vertical="center"/>
    </xf>
    <xf numFmtId="0" fontId="0" fillId="0" borderId="0" xfId="629" applyFill="1" applyAlignment="1">
      <alignment horizontal="center" vertical="center"/>
    </xf>
    <xf numFmtId="0" fontId="0" fillId="0" borderId="0" xfId="629" applyFill="1">
      <alignment vertical="center"/>
    </xf>
    <xf numFmtId="0" fontId="3" fillId="0" borderId="0" xfId="629" applyFont="1" applyFill="1" applyBorder="1" applyAlignment="1">
      <alignment horizontal="center" vertical="center"/>
    </xf>
    <xf numFmtId="0" fontId="5" fillId="0" borderId="14" xfId="629" applyFont="1" applyFill="1" applyBorder="1" applyAlignment="1">
      <alignment horizontal="center" vertical="center"/>
    </xf>
    <xf numFmtId="0" fontId="0" fillId="0" borderId="15" xfId="629" applyFont="1" applyFill="1" applyBorder="1" applyAlignment="1">
      <alignment horizontal="center" vertical="center" wrapText="1"/>
    </xf>
    <xf numFmtId="0" fontId="0" fillId="0" borderId="16" xfId="629" applyFont="1" applyFill="1" applyBorder="1" applyAlignment="1">
      <alignment horizontal="center" vertical="center" wrapText="1"/>
    </xf>
    <xf numFmtId="0" fontId="0" fillId="0" borderId="17" xfId="629" applyFont="1" applyFill="1" applyBorder="1" applyAlignment="1">
      <alignment horizontal="center" vertical="center" wrapText="1"/>
    </xf>
    <xf numFmtId="0" fontId="0" fillId="0" borderId="0" xfId="629" applyFont="1" applyFill="1" applyAlignment="1">
      <alignment horizontal="center" vertical="center"/>
    </xf>
    <xf numFmtId="0" fontId="0" fillId="0" borderId="0" xfId="629" applyFill="1" applyBorder="1" applyAlignment="1">
      <alignment horizontal="center" vertical="center"/>
    </xf>
    <xf numFmtId="0" fontId="0" fillId="0" borderId="18" xfId="629" applyFont="1" applyFill="1" applyBorder="1" applyAlignment="1" applyProtection="1">
      <alignment horizontal="center" vertical="center"/>
    </xf>
    <xf numFmtId="207" fontId="0" fillId="0" borderId="6" xfId="629" applyNumberFormat="1" applyFont="1" applyFill="1" applyBorder="1" applyAlignment="1" applyProtection="1">
      <alignment horizontal="right" vertical="center"/>
    </xf>
    <xf numFmtId="204" fontId="0" fillId="0" borderId="19" xfId="807" applyNumberFormat="1" applyFont="1" applyFill="1" applyBorder="1" applyAlignment="1">
      <alignment horizontal="right" vertical="center"/>
    </xf>
    <xf numFmtId="204" fontId="0" fillId="0" borderId="0" xfId="807" applyNumberFormat="1" applyFont="1" applyFill="1" applyBorder="1" applyAlignment="1">
      <alignment horizontal="right" vertical="center"/>
    </xf>
    <xf numFmtId="0" fontId="10" fillId="0" borderId="0" xfId="0" applyFont="1" applyAlignment="1">
      <alignment horizontal="right"/>
    </xf>
    <xf numFmtId="0" fontId="11" fillId="0" borderId="0" xfId="0" applyFont="1"/>
    <xf numFmtId="208" fontId="0" fillId="0" borderId="20" xfId="807" applyNumberFormat="1" applyFont="1" applyFill="1" applyBorder="1" applyAlignment="1">
      <alignment horizontal="right" vertical="center"/>
    </xf>
    <xf numFmtId="203" fontId="0" fillId="0" borderId="6" xfId="629" applyNumberFormat="1" applyFont="1" applyFill="1" applyBorder="1" applyAlignment="1" applyProtection="1">
      <alignment horizontal="right" vertical="center"/>
    </xf>
    <xf numFmtId="205" fontId="0" fillId="0" borderId="0" xfId="629" applyNumberFormat="1" applyFill="1" applyAlignment="1">
      <alignment horizontal="center" vertical="center"/>
    </xf>
    <xf numFmtId="0" fontId="12" fillId="0" borderId="0" xfId="629" applyFont="1" applyBorder="1" applyAlignment="1">
      <alignment horizontal="right" vertical="center" wrapText="1"/>
    </xf>
    <xf numFmtId="207" fontId="0" fillId="0" borderId="21" xfId="629" applyNumberFormat="1" applyFont="1" applyFill="1" applyBorder="1" applyAlignment="1" applyProtection="1">
      <alignment horizontal="right" vertical="center"/>
    </xf>
    <xf numFmtId="0" fontId="0" fillId="0" borderId="0" xfId="762">
      <alignment vertical="center"/>
    </xf>
    <xf numFmtId="203" fontId="0" fillId="0" borderId="0" xfId="629" applyNumberFormat="1" applyFill="1" applyAlignment="1">
      <alignment horizontal="center" vertical="center"/>
    </xf>
    <xf numFmtId="203" fontId="13" fillId="0" borderId="0" xfId="807" applyNumberFormat="1" applyFont="1" applyFill="1" applyBorder="1" applyAlignment="1">
      <alignment horizontal="right" vertical="center"/>
    </xf>
    <xf numFmtId="203" fontId="0" fillId="0" borderId="0" xfId="629" applyNumberFormat="1" applyFill="1">
      <alignment vertical="center"/>
    </xf>
    <xf numFmtId="0" fontId="12" fillId="0" borderId="0" xfId="629" applyFont="1" applyAlignment="1">
      <alignment horizontal="right" vertical="center" wrapText="1"/>
    </xf>
    <xf numFmtId="0" fontId="0" fillId="0" borderId="22" xfId="629" applyFont="1" applyFill="1" applyBorder="1" applyAlignment="1" applyProtection="1">
      <alignment horizontal="center" vertical="center"/>
    </xf>
    <xf numFmtId="208" fontId="0" fillId="0" borderId="23" xfId="807" applyNumberFormat="1" applyFont="1" applyFill="1" applyBorder="1" applyAlignment="1">
      <alignment horizontal="right" vertical="center"/>
    </xf>
    <xf numFmtId="203" fontId="0" fillId="0" borderId="10" xfId="807" applyNumberFormat="1" applyFont="1" applyFill="1" applyBorder="1" applyAlignment="1">
      <alignment horizontal="right" vertical="center"/>
    </xf>
    <xf numFmtId="207" fontId="0" fillId="0" borderId="24" xfId="629" applyNumberFormat="1" applyFont="1" applyFill="1" applyBorder="1" applyAlignment="1" applyProtection="1">
      <alignment horizontal="right" vertical="center"/>
    </xf>
    <xf numFmtId="203" fontId="0" fillId="0" borderId="10" xfId="629" applyNumberFormat="1" applyFont="1" applyFill="1" applyBorder="1" applyAlignment="1" applyProtection="1">
      <alignment horizontal="right" vertical="center"/>
    </xf>
    <xf numFmtId="207" fontId="0" fillId="0" borderId="10" xfId="629" applyNumberFormat="1" applyFont="1" applyFill="1" applyBorder="1" applyAlignment="1" applyProtection="1">
      <alignment horizontal="right" vertical="center"/>
    </xf>
    <xf numFmtId="0" fontId="0" fillId="0" borderId="0" xfId="629" applyFill="1" applyBorder="1">
      <alignment vertical="center"/>
    </xf>
    <xf numFmtId="0" fontId="0" fillId="0" borderId="0" xfId="1702" applyFont="1" applyFill="1">
      <alignment vertical="center"/>
    </xf>
    <xf numFmtId="0" fontId="0" fillId="0" borderId="0" xfId="0" applyFont="1" applyFill="1"/>
    <xf numFmtId="0" fontId="14" fillId="0" borderId="0" xfId="0" applyFont="1" applyFill="1" applyAlignment="1">
      <alignment horizontal="center" vertical="center"/>
    </xf>
    <xf numFmtId="0" fontId="15" fillId="0" borderId="25" xfId="241" applyFont="1" applyFill="1" applyBorder="1" applyAlignment="1">
      <alignment horizontal="center" vertical="center" wrapText="1"/>
    </xf>
    <xf numFmtId="0" fontId="15" fillId="0" borderId="26" xfId="1628" applyFont="1" applyFill="1" applyBorder="1" applyAlignment="1">
      <alignment horizontal="center" vertical="center"/>
    </xf>
    <xf numFmtId="0" fontId="15" fillId="0" borderId="27" xfId="1628" applyFont="1" applyFill="1" applyBorder="1" applyAlignment="1">
      <alignment horizontal="center" vertical="center"/>
    </xf>
    <xf numFmtId="0" fontId="16" fillId="0" borderId="28" xfId="241" applyFont="1" applyFill="1" applyBorder="1" applyAlignment="1">
      <alignment horizontal="center" vertical="center" wrapText="1"/>
    </xf>
    <xf numFmtId="0" fontId="15" fillId="0" borderId="15" xfId="241" applyFont="1" applyFill="1" applyBorder="1" applyAlignment="1">
      <alignment horizontal="center" vertical="center" wrapText="1"/>
    </xf>
    <xf numFmtId="0" fontId="15" fillId="0" borderId="17" xfId="241" applyFont="1" applyFill="1" applyBorder="1" applyAlignment="1">
      <alignment horizontal="center" vertical="center" wrapText="1"/>
    </xf>
    <xf numFmtId="0" fontId="16" fillId="0" borderId="29" xfId="0" applyFont="1" applyFill="1" applyBorder="1" applyAlignment="1">
      <alignment vertical="center" wrapText="1"/>
    </xf>
    <xf numFmtId="205" fontId="4" fillId="0" borderId="5" xfId="629" applyNumberFormat="1" applyFont="1" applyFill="1" applyBorder="1" applyAlignment="1" applyProtection="1">
      <alignment horizontal="center" vertical="center" wrapText="1"/>
    </xf>
    <xf numFmtId="203" fontId="4" fillId="0" borderId="6" xfId="629" applyNumberFormat="1" applyFont="1" applyFill="1" applyBorder="1" applyAlignment="1" applyProtection="1">
      <alignment horizontal="center" vertical="center" wrapText="1"/>
    </xf>
    <xf numFmtId="0" fontId="17" fillId="0" borderId="4" xfId="0" applyFont="1" applyFill="1" applyBorder="1" applyAlignment="1">
      <alignment vertical="center" wrapText="1"/>
    </xf>
    <xf numFmtId="205" fontId="18" fillId="0" borderId="5" xfId="629" applyNumberFormat="1" applyFont="1" applyFill="1" applyBorder="1" applyAlignment="1" applyProtection="1">
      <alignment horizontal="right" vertical="center" wrapText="1"/>
    </xf>
    <xf numFmtId="203" fontId="18" fillId="0" borderId="6" xfId="629" applyNumberFormat="1" applyFont="1" applyFill="1" applyBorder="1" applyAlignment="1" applyProtection="1">
      <alignment horizontal="right" vertical="center" wrapText="1"/>
    </xf>
    <xf numFmtId="205" fontId="17" fillId="0" borderId="4" xfId="0" applyNumberFormat="1" applyFont="1" applyFill="1" applyBorder="1" applyAlignment="1">
      <alignment vertical="center" wrapText="1"/>
    </xf>
    <xf numFmtId="205" fontId="16" fillId="0" borderId="4" xfId="0" applyNumberFormat="1" applyFont="1" applyFill="1" applyBorder="1" applyAlignment="1">
      <alignment vertical="center" wrapText="1"/>
    </xf>
    <xf numFmtId="205" fontId="18" fillId="0" borderId="5" xfId="807" applyNumberFormat="1" applyFont="1" applyFill="1" applyBorder="1" applyAlignment="1">
      <alignment horizontal="right" vertical="center" wrapText="1"/>
    </xf>
    <xf numFmtId="203" fontId="18" fillId="0" borderId="6" xfId="807" applyNumberFormat="1" applyFont="1" applyFill="1" applyBorder="1" applyAlignment="1">
      <alignment horizontal="right" vertical="center" wrapText="1"/>
    </xf>
    <xf numFmtId="205" fontId="17" fillId="0" borderId="8" xfId="0" applyNumberFormat="1" applyFont="1" applyFill="1" applyBorder="1" applyAlignment="1">
      <alignment vertical="center" wrapText="1"/>
    </xf>
    <xf numFmtId="205" fontId="18" fillId="0" borderId="9" xfId="629" applyNumberFormat="1" applyFont="1" applyFill="1" applyBorder="1" applyAlignment="1" applyProtection="1">
      <alignment horizontal="right" vertical="center" wrapText="1"/>
    </xf>
    <xf numFmtId="203" fontId="18" fillId="0" borderId="10" xfId="629" applyNumberFormat="1" applyFont="1" applyFill="1" applyBorder="1" applyAlignment="1" applyProtection="1">
      <alignment horizontal="right" vertical="center" wrapText="1"/>
    </xf>
    <xf numFmtId="0" fontId="0" fillId="0" borderId="0" xfId="1702" applyFont="1" applyFill="1" applyAlignment="1">
      <alignment horizontal="left" vertical="center" wrapText="1"/>
    </xf>
    <xf numFmtId="0" fontId="0" fillId="0" borderId="6" xfId="1702" applyFont="1" applyFill="1" applyBorder="1">
      <alignment vertical="center"/>
    </xf>
    <xf numFmtId="205" fontId="4" fillId="0" borderId="6" xfId="629" applyNumberFormat="1" applyFont="1" applyFill="1" applyBorder="1" applyAlignment="1" applyProtection="1">
      <alignment horizontal="center" vertical="center" wrapText="1"/>
    </xf>
    <xf numFmtId="203" fontId="4" fillId="0" borderId="0" xfId="629" applyNumberFormat="1" applyFont="1" applyFill="1" applyBorder="1" applyAlignment="1" applyProtection="1">
      <alignment horizontal="center" vertical="center" wrapText="1"/>
    </xf>
    <xf numFmtId="203" fontId="18" fillId="0" borderId="0" xfId="629" applyNumberFormat="1" applyFont="1" applyFill="1" applyBorder="1" applyAlignment="1" applyProtection="1">
      <alignment horizontal="right" vertical="center" wrapText="1"/>
    </xf>
    <xf numFmtId="203" fontId="18" fillId="0" borderId="6" xfId="629" applyNumberFormat="1" applyFont="1" applyFill="1" applyBorder="1" applyAlignment="1" applyProtection="1">
      <alignment horizontal="center" vertical="center" wrapText="1"/>
    </xf>
    <xf numFmtId="203" fontId="18" fillId="0" borderId="0" xfId="629" applyNumberFormat="1" applyFont="1" applyFill="1" applyBorder="1" applyAlignment="1" applyProtection="1">
      <alignment horizontal="center" vertical="center" wrapText="1"/>
    </xf>
    <xf numFmtId="0" fontId="0" fillId="0" borderId="0" xfId="1702" applyFont="1" applyFill="1" applyBorder="1">
      <alignment vertical="center"/>
    </xf>
    <xf numFmtId="203" fontId="18" fillId="0" borderId="0" xfId="807" applyNumberFormat="1" applyFont="1" applyFill="1" applyBorder="1" applyAlignment="1">
      <alignment horizontal="right" vertical="center" wrapText="1"/>
    </xf>
    <xf numFmtId="205" fontId="18" fillId="0" borderId="5" xfId="629" applyNumberFormat="1" applyFont="1" applyFill="1" applyBorder="1" applyAlignment="1" applyProtection="1">
      <alignment horizontal="center" vertical="center" wrapText="1"/>
    </xf>
    <xf numFmtId="0" fontId="0" fillId="0" borderId="0" xfId="0" applyFont="1" applyFill="1" applyBorder="1" applyAlignment="1"/>
    <xf numFmtId="0" fontId="0" fillId="0" borderId="0" xfId="1702" applyFont="1" applyFill="1" applyBorder="1" applyAlignment="1">
      <alignment vertical="center"/>
    </xf>
    <xf numFmtId="205" fontId="4" fillId="0" borderId="19" xfId="0" applyNumberFormat="1" applyFont="1" applyFill="1" applyBorder="1" applyAlignment="1">
      <alignment horizontal="right" vertical="center" wrapText="1"/>
    </xf>
    <xf numFmtId="203" fontId="4" fillId="0" borderId="30" xfId="0" applyNumberFormat="1" applyFont="1" applyFill="1" applyBorder="1" applyAlignment="1">
      <alignment horizontal="right" vertical="center" wrapText="1"/>
    </xf>
    <xf numFmtId="205" fontId="18" fillId="0" borderId="5" xfId="0" applyNumberFormat="1" applyFont="1" applyFill="1" applyBorder="1" applyAlignment="1">
      <alignment horizontal="right" vertical="center" wrapText="1"/>
    </xf>
    <xf numFmtId="203" fontId="18" fillId="0" borderId="6" xfId="0" applyNumberFormat="1" applyFont="1" applyFill="1" applyBorder="1" applyAlignment="1">
      <alignment horizontal="right" vertical="center" wrapText="1"/>
    </xf>
    <xf numFmtId="203" fontId="18" fillId="0" borderId="6" xfId="1702" applyNumberFormat="1" applyFont="1" applyFill="1" applyBorder="1" applyAlignment="1">
      <alignment horizontal="right" vertical="center" wrapText="1"/>
    </xf>
    <xf numFmtId="205" fontId="18" fillId="0" borderId="9" xfId="0" applyNumberFormat="1" applyFont="1" applyFill="1" applyBorder="1" applyAlignment="1">
      <alignment horizontal="right" vertical="center" wrapText="1"/>
    </xf>
    <xf numFmtId="203" fontId="18" fillId="0" borderId="10" xfId="1702" applyNumberFormat="1" applyFont="1" applyFill="1" applyBorder="1" applyAlignment="1">
      <alignment horizontal="right" vertical="center" wrapText="1"/>
    </xf>
    <xf numFmtId="0" fontId="4" fillId="0" borderId="0" xfId="1702" applyFont="1" applyFill="1" applyAlignment="1">
      <alignment horizontal="left" vertical="center" wrapText="1"/>
    </xf>
    <xf numFmtId="0" fontId="14" fillId="0" borderId="0" xfId="0" applyFont="1" applyFill="1" applyAlignment="1">
      <alignment horizontal="center" vertical="center" wrapText="1"/>
    </xf>
    <xf numFmtId="205" fontId="18" fillId="0" borderId="5" xfId="0" applyNumberFormat="1" applyFont="1" applyFill="1" applyBorder="1" applyAlignment="1">
      <alignment horizontal="center" vertical="center" wrapText="1"/>
    </xf>
    <xf numFmtId="203" fontId="18" fillId="0" borderId="6" xfId="0" applyNumberFormat="1" applyFont="1" applyFill="1" applyBorder="1" applyAlignment="1">
      <alignment horizontal="center" vertical="center" wrapText="1"/>
    </xf>
    <xf numFmtId="205" fontId="18" fillId="0" borderId="5" xfId="0" applyNumberFormat="1" applyFont="1" applyFill="1" applyBorder="1" applyAlignment="1">
      <alignment vertical="center" wrapText="1"/>
    </xf>
    <xf numFmtId="203" fontId="18" fillId="0" borderId="6" xfId="0" applyNumberFormat="1" applyFont="1" applyFill="1" applyBorder="1" applyAlignment="1">
      <alignment vertical="center" wrapText="1"/>
    </xf>
    <xf numFmtId="0" fontId="0" fillId="0" borderId="0" xfId="0" applyFill="1"/>
    <xf numFmtId="207" fontId="15" fillId="0" borderId="31" xfId="1628" applyNumberFormat="1" applyFont="1" applyFill="1" applyBorder="1" applyAlignment="1">
      <alignment horizontal="center" vertical="center" wrapText="1"/>
    </xf>
    <xf numFmtId="203" fontId="15" fillId="0" borderId="32" xfId="1628" applyNumberFormat="1" applyFont="1" applyFill="1" applyBorder="1" applyAlignment="1">
      <alignment horizontal="center" vertical="center" wrapText="1"/>
    </xf>
    <xf numFmtId="207" fontId="15" fillId="0" borderId="31" xfId="1628" applyNumberFormat="1" applyFont="1" applyFill="1" applyBorder="1" applyAlignment="1">
      <alignment horizontal="right" vertical="center" wrapText="1"/>
    </xf>
    <xf numFmtId="203" fontId="15" fillId="0" borderId="32" xfId="1628" applyNumberFormat="1" applyFont="1" applyFill="1" applyBorder="1" applyAlignment="1">
      <alignment horizontal="right" vertical="center" wrapText="1"/>
    </xf>
    <xf numFmtId="207" fontId="18" fillId="0" borderId="33" xfId="0" applyNumberFormat="1" applyFont="1" applyFill="1" applyBorder="1" applyAlignment="1">
      <alignment horizontal="center" vertical="center" wrapText="1"/>
    </xf>
    <xf numFmtId="203" fontId="18" fillId="0" borderId="34" xfId="0" applyNumberFormat="1" applyFont="1" applyFill="1" applyBorder="1" applyAlignment="1">
      <alignment horizontal="center" vertical="center" wrapText="1"/>
    </xf>
    <xf numFmtId="207" fontId="18" fillId="0" borderId="33" xfId="0" applyNumberFormat="1" applyFont="1" applyFill="1" applyBorder="1" applyAlignment="1">
      <alignment horizontal="right" vertical="center" wrapText="1"/>
    </xf>
    <xf numFmtId="203" fontId="18" fillId="0" borderId="34" xfId="0" applyNumberFormat="1" applyFont="1" applyFill="1" applyBorder="1" applyAlignment="1">
      <alignment horizontal="right" vertical="center" wrapText="1"/>
    </xf>
    <xf numFmtId="0" fontId="17" fillId="0" borderId="8" xfId="0" applyFont="1" applyFill="1" applyBorder="1" applyAlignment="1">
      <alignment vertical="center" wrapText="1"/>
    </xf>
    <xf numFmtId="207" fontId="18" fillId="0" borderId="35" xfId="0" applyNumberFormat="1" applyFont="1" applyFill="1" applyBorder="1" applyAlignment="1">
      <alignment horizontal="center" vertical="center" wrapText="1"/>
    </xf>
    <xf numFmtId="203" fontId="18" fillId="0" borderId="36" xfId="0" applyNumberFormat="1" applyFont="1" applyFill="1" applyBorder="1" applyAlignment="1">
      <alignment horizontal="center" vertical="center" wrapText="1"/>
    </xf>
    <xf numFmtId="207" fontId="18" fillId="0" borderId="35" xfId="0" applyNumberFormat="1" applyFont="1" applyFill="1" applyBorder="1" applyAlignment="1">
      <alignment horizontal="right" vertical="center" wrapText="1"/>
    </xf>
    <xf numFmtId="203" fontId="18" fillId="0" borderId="36" xfId="0" applyNumberFormat="1" applyFont="1" applyFill="1" applyBorder="1" applyAlignment="1">
      <alignment horizontal="right" vertical="center" wrapText="1"/>
    </xf>
    <xf numFmtId="0" fontId="14" fillId="0" borderId="0" xfId="0" applyFont="1" applyFill="1" applyBorder="1" applyAlignment="1">
      <alignment horizontal="justify" vertical="center"/>
    </xf>
    <xf numFmtId="0" fontId="19" fillId="0" borderId="28" xfId="241" applyFont="1" applyFill="1" applyBorder="1" applyAlignment="1">
      <alignment horizontal="center" vertical="center" wrapText="1"/>
    </xf>
    <xf numFmtId="203" fontId="15" fillId="0" borderId="5" xfId="629" applyNumberFormat="1" applyFont="1" applyFill="1" applyBorder="1" applyAlignment="1" applyProtection="1">
      <alignment horizontal="right" vertical="center" wrapText="1"/>
    </xf>
    <xf numFmtId="203" fontId="15" fillId="0" borderId="6" xfId="629" applyNumberFormat="1" applyFont="1" applyFill="1" applyBorder="1" applyAlignment="1" applyProtection="1">
      <alignment horizontal="right" vertical="center" wrapText="1"/>
    </xf>
    <xf numFmtId="203" fontId="18" fillId="0" borderId="5" xfId="629" applyNumberFormat="1" applyFont="1" applyFill="1" applyBorder="1" applyAlignment="1" applyProtection="1">
      <alignment horizontal="right" vertical="center" wrapText="1"/>
    </xf>
    <xf numFmtId="203" fontId="18" fillId="0" borderId="5" xfId="807" applyNumberFormat="1" applyFont="1" applyFill="1" applyBorder="1" applyAlignment="1">
      <alignment horizontal="right" vertical="center" wrapText="1"/>
    </xf>
    <xf numFmtId="205" fontId="16" fillId="0" borderId="8" xfId="0" applyNumberFormat="1" applyFont="1" applyFill="1" applyBorder="1" applyAlignment="1">
      <alignment vertical="center" wrapText="1"/>
    </xf>
    <xf numFmtId="203" fontId="15" fillId="0" borderId="9" xfId="629" applyNumberFormat="1" applyFont="1" applyFill="1" applyBorder="1" applyAlignment="1" applyProtection="1">
      <alignment horizontal="right" vertical="center" wrapText="1"/>
    </xf>
    <xf numFmtId="203" fontId="15" fillId="0" borderId="10" xfId="629" applyNumberFormat="1" applyFont="1" applyFill="1" applyBorder="1" applyAlignment="1" applyProtection="1">
      <alignment horizontal="right" vertical="center" wrapText="1"/>
    </xf>
    <xf numFmtId="0" fontId="18" fillId="0" borderId="0" xfId="0" applyFont="1" applyFill="1" applyAlignment="1">
      <alignment horizontal="left" vertical="center" wrapText="1"/>
    </xf>
    <xf numFmtId="205" fontId="16" fillId="0" borderId="29" xfId="0" applyNumberFormat="1" applyFont="1" applyFill="1" applyBorder="1" applyAlignment="1">
      <alignment vertical="center" wrapText="1"/>
    </xf>
    <xf numFmtId="205" fontId="20" fillId="0" borderId="6" xfId="629" applyNumberFormat="1" applyFont="1" applyFill="1" applyBorder="1" applyAlignment="1" applyProtection="1">
      <alignment horizontal="right" vertical="center" wrapText="1"/>
    </xf>
    <xf numFmtId="0" fontId="20" fillId="0" borderId="6" xfId="629" applyNumberFormat="1" applyFont="1" applyFill="1" applyBorder="1" applyAlignment="1" applyProtection="1">
      <alignment horizontal="right" vertical="center" wrapText="1"/>
    </xf>
    <xf numFmtId="203" fontId="20" fillId="0" borderId="6" xfId="629" applyNumberFormat="1" applyFont="1" applyFill="1" applyBorder="1" applyAlignment="1" applyProtection="1">
      <alignment horizontal="right" vertical="center" wrapText="1"/>
    </xf>
    <xf numFmtId="205" fontId="4" fillId="0" borderId="6" xfId="629" applyNumberFormat="1" applyFont="1" applyFill="1" applyBorder="1" applyAlignment="1" applyProtection="1">
      <alignment horizontal="right" vertical="center" wrapText="1"/>
    </xf>
    <xf numFmtId="0" fontId="4" fillId="0" borderId="6" xfId="629" applyNumberFormat="1" applyFont="1" applyFill="1" applyBorder="1" applyAlignment="1" applyProtection="1">
      <alignment horizontal="right" vertical="center" wrapText="1"/>
    </xf>
    <xf numFmtId="203" fontId="4" fillId="0" borderId="6" xfId="629" applyNumberFormat="1" applyFont="1" applyFill="1" applyBorder="1" applyAlignment="1" applyProtection="1">
      <alignment horizontal="right" vertical="center" wrapText="1"/>
    </xf>
    <xf numFmtId="0" fontId="17" fillId="0" borderId="4" xfId="1702" applyFont="1" applyFill="1" applyBorder="1" applyAlignment="1">
      <alignment vertical="center"/>
    </xf>
    <xf numFmtId="0" fontId="16" fillId="0" borderId="4" xfId="1702" applyFont="1" applyFill="1" applyBorder="1" applyAlignment="1">
      <alignment vertical="center"/>
    </xf>
    <xf numFmtId="205" fontId="20" fillId="0" borderId="5" xfId="629" applyNumberFormat="1" applyFont="1" applyFill="1" applyBorder="1" applyAlignment="1" applyProtection="1">
      <alignment horizontal="right" vertical="center" wrapText="1"/>
    </xf>
    <xf numFmtId="207" fontId="4" fillId="0" borderId="6" xfId="629" applyNumberFormat="1" applyFont="1" applyFill="1" applyBorder="1" applyAlignment="1" applyProtection="1">
      <alignment horizontal="right" vertical="center" wrapText="1"/>
    </xf>
    <xf numFmtId="0" fontId="17" fillId="0" borderId="8" xfId="1702" applyFont="1" applyFill="1" applyBorder="1" applyAlignment="1">
      <alignment vertical="center"/>
    </xf>
    <xf numFmtId="205" fontId="4" fillId="0" borderId="9" xfId="0" applyNumberFormat="1" applyFont="1" applyFill="1" applyBorder="1" applyAlignment="1">
      <alignment horizontal="right" vertical="center" wrapText="1"/>
    </xf>
    <xf numFmtId="203" fontId="4" fillId="0" borderId="10" xfId="1702" applyNumberFormat="1" applyFont="1" applyFill="1" applyBorder="1" applyAlignment="1">
      <alignment horizontal="right" vertical="center" wrapText="1"/>
    </xf>
    <xf numFmtId="203" fontId="4" fillId="0" borderId="10" xfId="0" applyNumberFormat="1" applyFont="1" applyFill="1" applyBorder="1" applyAlignment="1">
      <alignment horizontal="right" vertical="center" wrapText="1"/>
    </xf>
    <xf numFmtId="205" fontId="15" fillId="0" borderId="5" xfId="629" applyNumberFormat="1" applyFont="1" applyFill="1" applyBorder="1" applyAlignment="1" applyProtection="1">
      <alignment horizontal="right" vertical="center" wrapText="1"/>
    </xf>
    <xf numFmtId="0" fontId="9" fillId="0" borderId="0" xfId="0" applyFont="1" applyFill="1"/>
    <xf numFmtId="205" fontId="21" fillId="0" borderId="29" xfId="0" applyNumberFormat="1" applyFont="1" applyFill="1" applyBorder="1" applyAlignment="1">
      <alignment vertical="center" wrapText="1"/>
    </xf>
    <xf numFmtId="205" fontId="20" fillId="0" borderId="19" xfId="0" applyNumberFormat="1" applyFont="1" applyFill="1" applyBorder="1" applyAlignment="1">
      <alignment vertical="center" wrapText="1"/>
    </xf>
    <xf numFmtId="203" fontId="20" fillId="0" borderId="30" xfId="0" applyNumberFormat="1" applyFont="1" applyFill="1" applyBorder="1" applyAlignment="1">
      <alignment vertical="center" wrapText="1"/>
    </xf>
    <xf numFmtId="0" fontId="9" fillId="0" borderId="0" xfId="1702" applyFont="1" applyFill="1">
      <alignment vertical="center"/>
    </xf>
    <xf numFmtId="205" fontId="21" fillId="0" borderId="4" xfId="0" applyNumberFormat="1" applyFont="1" applyFill="1" applyBorder="1" applyAlignment="1">
      <alignment vertical="center" wrapText="1"/>
    </xf>
    <xf numFmtId="205" fontId="20" fillId="0" borderId="5" xfId="0" applyNumberFormat="1" applyFont="1" applyFill="1" applyBorder="1" applyAlignment="1">
      <alignment vertical="center" wrapText="1"/>
    </xf>
    <xf numFmtId="205" fontId="20" fillId="0" borderId="6" xfId="0" applyNumberFormat="1" applyFont="1" applyFill="1" applyBorder="1" applyAlignment="1">
      <alignment vertical="center" wrapText="1"/>
    </xf>
    <xf numFmtId="205" fontId="22" fillId="0" borderId="4" xfId="0" applyNumberFormat="1" applyFont="1" applyFill="1" applyBorder="1" applyAlignment="1">
      <alignment vertical="center" wrapText="1"/>
    </xf>
    <xf numFmtId="205" fontId="4" fillId="0" borderId="5" xfId="0" applyNumberFormat="1" applyFont="1" applyFill="1" applyBorder="1" applyAlignment="1">
      <alignment vertical="center" wrapText="1"/>
    </xf>
    <xf numFmtId="203" fontId="4" fillId="0" borderId="6" xfId="0" applyNumberFormat="1" applyFont="1" applyFill="1" applyBorder="1" applyAlignment="1">
      <alignment vertical="center" wrapText="1"/>
    </xf>
    <xf numFmtId="205" fontId="4" fillId="0" borderId="6" xfId="0" applyNumberFormat="1" applyFont="1" applyFill="1" applyBorder="1" applyAlignment="1">
      <alignment horizontal="center" vertical="center" wrapText="1"/>
    </xf>
    <xf numFmtId="205" fontId="22" fillId="0" borderId="5" xfId="0" applyNumberFormat="1" applyFont="1" applyFill="1" applyBorder="1" applyAlignment="1">
      <alignment horizontal="right" vertical="center" wrapText="1"/>
    </xf>
    <xf numFmtId="203" fontId="20" fillId="0" borderId="6" xfId="0" applyNumberFormat="1" applyFont="1" applyFill="1" applyBorder="1" applyAlignment="1">
      <alignment vertical="center" wrapText="1"/>
    </xf>
    <xf numFmtId="0" fontId="22" fillId="0" borderId="4" xfId="1702" applyFont="1" applyFill="1" applyBorder="1" applyAlignment="1">
      <alignment vertical="center"/>
    </xf>
    <xf numFmtId="203" fontId="4" fillId="0" borderId="6" xfId="1702" applyNumberFormat="1" applyFont="1" applyFill="1" applyBorder="1" applyAlignment="1">
      <alignment vertical="center" wrapText="1"/>
    </xf>
    <xf numFmtId="0" fontId="22" fillId="0" borderId="8" xfId="1702" applyFont="1" applyFill="1" applyBorder="1" applyAlignment="1">
      <alignment vertical="center"/>
    </xf>
    <xf numFmtId="205" fontId="4" fillId="0" borderId="9" xfId="0" applyNumberFormat="1" applyFont="1" applyFill="1" applyBorder="1" applyAlignment="1">
      <alignment vertical="center" wrapText="1"/>
    </xf>
    <xf numFmtId="203" fontId="4" fillId="0" borderId="10" xfId="1702" applyNumberFormat="1" applyFont="1" applyFill="1" applyBorder="1" applyAlignment="1">
      <alignment vertical="center" wrapText="1"/>
    </xf>
    <xf numFmtId="0" fontId="0" fillId="0" borderId="0" xfId="1301" applyFont="1" applyFill="1" applyBorder="1" applyAlignment="1">
      <alignment vertical="center"/>
    </xf>
    <xf numFmtId="0" fontId="23" fillId="0" borderId="0" xfId="1301" applyFont="1" applyFill="1" applyBorder="1" applyAlignment="1">
      <alignment vertical="center"/>
    </xf>
    <xf numFmtId="0" fontId="15" fillId="0" borderId="26" xfId="241" applyFont="1" applyFill="1" applyBorder="1" applyAlignment="1">
      <alignment horizontal="center" vertical="center" wrapText="1"/>
    </xf>
    <xf numFmtId="0" fontId="16" fillId="0" borderId="15" xfId="241" applyFont="1" applyFill="1" applyBorder="1" applyAlignment="1">
      <alignment horizontal="center" vertical="center" wrapText="1"/>
    </xf>
    <xf numFmtId="0" fontId="16" fillId="0" borderId="29" xfId="0" applyFont="1" applyFill="1" applyBorder="1" applyAlignment="1">
      <alignment horizontal="justify" vertical="center" wrapText="1"/>
    </xf>
    <xf numFmtId="0" fontId="16" fillId="0" borderId="19" xfId="0" applyFont="1" applyFill="1" applyBorder="1" applyAlignment="1">
      <alignment horizontal="center" vertical="center" wrapText="1"/>
    </xf>
    <xf numFmtId="0" fontId="17" fillId="0" borderId="4" xfId="0" applyFont="1" applyFill="1" applyBorder="1" applyAlignment="1">
      <alignment horizontal="justify" vertical="center" wrapText="1"/>
    </xf>
    <xf numFmtId="0" fontId="17" fillId="0" borderId="5" xfId="0" applyFont="1" applyFill="1" applyBorder="1" applyAlignment="1">
      <alignment horizontal="center" vertical="center" wrapText="1"/>
    </xf>
    <xf numFmtId="0" fontId="16" fillId="0" borderId="4" xfId="0" applyFont="1" applyFill="1" applyBorder="1" applyAlignment="1">
      <alignment horizontal="justify" vertical="center" wrapText="1"/>
    </xf>
    <xf numFmtId="0" fontId="16" fillId="0" borderId="5" xfId="0" applyFont="1" applyFill="1" applyBorder="1" applyAlignment="1">
      <alignment horizontal="center" vertical="center" wrapText="1"/>
    </xf>
    <xf numFmtId="207" fontId="15" fillId="0" borderId="5" xfId="629" applyNumberFormat="1" applyFont="1" applyFill="1" applyBorder="1" applyAlignment="1" applyProtection="1">
      <alignment horizontal="right" vertical="center" wrapText="1"/>
    </xf>
    <xf numFmtId="207" fontId="18" fillId="0" borderId="5" xfId="629" applyNumberFormat="1" applyFont="1" applyFill="1" applyBorder="1" applyAlignment="1" applyProtection="1">
      <alignment horizontal="right" vertical="center" wrapText="1"/>
    </xf>
    <xf numFmtId="205" fontId="9" fillId="0" borderId="6" xfId="1301" applyNumberFormat="1" applyFont="1" applyFill="1" applyBorder="1" applyAlignment="1">
      <alignment vertical="center" wrapText="1"/>
    </xf>
    <xf numFmtId="203" fontId="9" fillId="0" borderId="6" xfId="1301" applyNumberFormat="1" applyFont="1" applyFill="1" applyBorder="1" applyAlignment="1">
      <alignment vertical="center" wrapText="1"/>
    </xf>
    <xf numFmtId="0" fontId="17" fillId="0" borderId="4" xfId="1301" applyFont="1" applyFill="1" applyBorder="1" applyAlignment="1">
      <alignment vertical="center"/>
    </xf>
    <xf numFmtId="0" fontId="17" fillId="0" borderId="5" xfId="1301" applyFont="1" applyFill="1" applyBorder="1" applyAlignment="1">
      <alignment horizontal="center" vertical="center"/>
    </xf>
    <xf numFmtId="205" fontId="0" fillId="0" borderId="6" xfId="1301" applyNumberFormat="1" applyFont="1" applyFill="1" applyBorder="1" applyAlignment="1">
      <alignment vertical="center" wrapText="1"/>
    </xf>
    <xf numFmtId="203" fontId="0" fillId="0" borderId="6" xfId="1301" applyNumberFormat="1" applyFont="1" applyFill="1" applyBorder="1" applyAlignment="1">
      <alignment vertical="center" wrapText="1"/>
    </xf>
    <xf numFmtId="0" fontId="16" fillId="0" borderId="4" xfId="1301" applyFont="1" applyFill="1" applyBorder="1" applyAlignment="1">
      <alignment vertical="center"/>
    </xf>
    <xf numFmtId="0" fontId="16" fillId="0" borderId="5" xfId="1301" applyFont="1" applyFill="1" applyBorder="1" applyAlignment="1">
      <alignment horizontal="center" vertical="center"/>
    </xf>
    <xf numFmtId="0" fontId="17" fillId="0" borderId="8" xfId="1301" applyFont="1" applyFill="1" applyBorder="1" applyAlignment="1">
      <alignment vertical="center"/>
    </xf>
    <xf numFmtId="0" fontId="17" fillId="0" borderId="9" xfId="1301" applyFont="1" applyFill="1" applyBorder="1" applyAlignment="1">
      <alignment horizontal="center" vertical="center"/>
    </xf>
    <xf numFmtId="205" fontId="0" fillId="0" borderId="10" xfId="1301" applyNumberFormat="1" applyFont="1" applyFill="1" applyBorder="1" applyAlignment="1">
      <alignment vertical="center" wrapText="1"/>
    </xf>
    <xf numFmtId="203" fontId="0" fillId="0" borderId="10" xfId="1301" applyNumberFormat="1" applyFont="1" applyFill="1" applyBorder="1" applyAlignment="1">
      <alignment vertical="center" wrapText="1"/>
    </xf>
    <xf numFmtId="0" fontId="0" fillId="0" borderId="0" xfId="1301" applyFont="1" applyFill="1" applyAlignment="1">
      <alignment horizontal="left" vertical="center"/>
    </xf>
    <xf numFmtId="0" fontId="0" fillId="0" borderId="0" xfId="0" applyFont="1" applyFill="1" applyAlignment="1">
      <alignment vertical="center"/>
    </xf>
    <xf numFmtId="0" fontId="0" fillId="0" borderId="0" xfId="1301" applyFont="1" applyFill="1">
      <alignment vertical="center"/>
    </xf>
    <xf numFmtId="0" fontId="24" fillId="0" borderId="0" xfId="0" applyFont="1" applyFill="1" applyBorder="1" applyAlignment="1">
      <alignment vertical="center"/>
    </xf>
    <xf numFmtId="0" fontId="24" fillId="0" borderId="6" xfId="0" applyFont="1" applyFill="1" applyBorder="1" applyAlignment="1">
      <alignment horizontal="center" vertical="center" wrapText="1"/>
    </xf>
    <xf numFmtId="0" fontId="25" fillId="0" borderId="0" xfId="0" applyFont="1" applyFill="1" applyBorder="1" applyAlignment="1">
      <alignment vertical="center"/>
    </xf>
    <xf numFmtId="0" fontId="25" fillId="0" borderId="6" xfId="0" applyFont="1" applyFill="1" applyBorder="1" applyAlignment="1">
      <alignment horizontal="center" vertical="center" wrapText="1"/>
    </xf>
    <xf numFmtId="0" fontId="18" fillId="0" borderId="4" xfId="0" applyFont="1" applyFill="1" applyBorder="1" applyAlignment="1">
      <alignment horizontal="justify" vertical="center" wrapText="1"/>
    </xf>
    <xf numFmtId="0" fontId="18" fillId="0" borderId="5" xfId="0" applyFont="1" applyFill="1" applyBorder="1" applyAlignment="1">
      <alignment horizontal="center" vertical="center" wrapText="1"/>
    </xf>
    <xf numFmtId="0" fontId="18" fillId="0" borderId="8" xfId="0" applyFont="1" applyFill="1" applyBorder="1" applyAlignment="1">
      <alignment horizontal="justify" vertical="center" wrapText="1"/>
    </xf>
    <xf numFmtId="0" fontId="18" fillId="0" borderId="9" xfId="0" applyFont="1" applyFill="1" applyBorder="1" applyAlignment="1">
      <alignment horizontal="center" vertical="center" wrapText="1"/>
    </xf>
    <xf numFmtId="0" fontId="0" fillId="0" borderId="0" xfId="0" applyFill="1" applyAlignment="1">
      <alignment vertical="center"/>
    </xf>
    <xf numFmtId="0" fontId="15" fillId="0" borderId="37" xfId="241" applyFont="1" applyFill="1" applyBorder="1" applyAlignment="1">
      <alignment horizontal="center" vertical="center" wrapText="1"/>
    </xf>
    <xf numFmtId="0" fontId="15" fillId="0" borderId="3" xfId="241" applyFont="1" applyFill="1" applyBorder="1" applyAlignment="1">
      <alignment horizontal="center" vertical="center" wrapText="1"/>
    </xf>
    <xf numFmtId="0" fontId="17" fillId="0" borderId="4" xfId="0" applyFont="1" applyFill="1" applyBorder="1" applyAlignment="1">
      <alignment vertical="center"/>
    </xf>
    <xf numFmtId="207" fontId="18" fillId="0" borderId="5" xfId="807" applyNumberFormat="1" applyFont="1" applyFill="1" applyBorder="1" applyAlignment="1">
      <alignment horizontal="right" vertical="center" wrapText="1"/>
    </xf>
    <xf numFmtId="0" fontId="18" fillId="0" borderId="6" xfId="807" applyNumberFormat="1" applyFont="1" applyFill="1" applyBorder="1" applyAlignment="1">
      <alignment horizontal="right" vertical="center" wrapText="1"/>
    </xf>
    <xf numFmtId="0" fontId="15" fillId="0" borderId="4" xfId="0" applyFont="1" applyFill="1" applyBorder="1" applyAlignment="1">
      <alignment horizontal="justify" vertical="center" wrapText="1"/>
    </xf>
    <xf numFmtId="0" fontId="4" fillId="0" borderId="0" xfId="1301" applyFont="1" applyFill="1" applyAlignment="1">
      <alignment horizontal="left" vertical="center" wrapText="1"/>
    </xf>
    <xf numFmtId="207" fontId="18" fillId="0" borderId="9" xfId="629" applyNumberFormat="1" applyFont="1" applyFill="1" applyBorder="1" applyAlignment="1" applyProtection="1">
      <alignment horizontal="right" vertical="center" wrapText="1"/>
    </xf>
    <xf numFmtId="205" fontId="15" fillId="0" borderId="25" xfId="0" applyNumberFormat="1" applyFont="1" applyFill="1" applyBorder="1" applyAlignment="1">
      <alignment horizontal="center" vertical="center" wrapText="1"/>
    </xf>
    <xf numFmtId="205" fontId="15" fillId="0" borderId="38" xfId="0" applyNumberFormat="1" applyFont="1" applyFill="1" applyBorder="1" applyAlignment="1">
      <alignment horizontal="center" vertical="center" wrapText="1"/>
    </xf>
    <xf numFmtId="205" fontId="17" fillId="0" borderId="29" xfId="0" applyNumberFormat="1" applyFont="1" applyFill="1" applyBorder="1" applyAlignment="1">
      <alignment vertical="center" wrapText="1"/>
    </xf>
    <xf numFmtId="205" fontId="17" fillId="0" borderId="29" xfId="0" applyNumberFormat="1" applyFont="1" applyFill="1" applyBorder="1" applyAlignment="1">
      <alignment horizontal="center" vertical="center" wrapText="1"/>
    </xf>
    <xf numFmtId="205" fontId="18" fillId="0" borderId="30" xfId="629" applyNumberFormat="1" applyFont="1" applyFill="1" applyBorder="1" applyAlignment="1" applyProtection="1">
      <alignment horizontal="right" vertical="center" wrapText="1"/>
    </xf>
    <xf numFmtId="205" fontId="17" fillId="0" borderId="4" xfId="0" applyNumberFormat="1" applyFont="1" applyFill="1" applyBorder="1" applyAlignment="1">
      <alignment horizontal="center" vertical="center" wrapText="1"/>
    </xf>
    <xf numFmtId="205" fontId="18" fillId="0" borderId="6" xfId="629" applyNumberFormat="1" applyFont="1" applyFill="1" applyBorder="1" applyAlignment="1" applyProtection="1">
      <alignment horizontal="right" vertical="center" wrapText="1"/>
    </xf>
    <xf numFmtId="205" fontId="17" fillId="0" borderId="8" xfId="0" applyNumberFormat="1" applyFont="1" applyFill="1" applyBorder="1" applyAlignment="1">
      <alignment horizontal="center" vertical="center" wrapText="1"/>
    </xf>
    <xf numFmtId="205" fontId="16" fillId="0" borderId="28" xfId="0" applyNumberFormat="1" applyFont="1" applyFill="1" applyBorder="1" applyAlignment="1">
      <alignment horizontal="center" vertical="center" wrapText="1"/>
    </xf>
    <xf numFmtId="205" fontId="16" fillId="0" borderId="7" xfId="0" applyNumberFormat="1" applyFont="1" applyFill="1" applyBorder="1" applyAlignment="1">
      <alignment horizontal="center" vertical="center" wrapText="1"/>
    </xf>
    <xf numFmtId="0" fontId="22" fillId="0" borderId="0" xfId="1702" applyFont="1" applyFill="1">
      <alignment vertical="center"/>
    </xf>
    <xf numFmtId="0" fontId="18" fillId="0" borderId="0" xfId="0" applyFont="1" applyFill="1" applyAlignment="1">
      <alignment vertical="center"/>
    </xf>
    <xf numFmtId="0" fontId="18" fillId="0" borderId="0" xfId="1301" applyFont="1" applyFill="1">
      <alignment vertical="center"/>
    </xf>
    <xf numFmtId="0" fontId="15" fillId="0" borderId="39" xfId="241" applyFont="1" applyFill="1" applyBorder="1" applyAlignment="1">
      <alignment horizontal="center" vertical="center" wrapText="1"/>
    </xf>
    <xf numFmtId="0" fontId="15" fillId="0" borderId="38" xfId="241" applyFont="1" applyFill="1" applyBorder="1" applyAlignment="1">
      <alignment horizontal="center" vertical="center" wrapText="1"/>
    </xf>
    <xf numFmtId="0" fontId="16" fillId="0" borderId="2" xfId="241" applyFont="1" applyFill="1" applyBorder="1" applyAlignment="1">
      <alignment horizontal="center" vertical="center" wrapText="1"/>
    </xf>
    <xf numFmtId="0" fontId="16" fillId="0" borderId="7" xfId="241" applyFont="1" applyFill="1" applyBorder="1" applyAlignment="1">
      <alignment horizontal="center" vertical="center" wrapText="1"/>
    </xf>
    <xf numFmtId="205" fontId="18" fillId="0" borderId="40" xfId="1301" applyNumberFormat="1" applyFont="1" applyFill="1" applyBorder="1" applyAlignment="1">
      <alignment horizontal="right" vertical="center" wrapText="1"/>
    </xf>
    <xf numFmtId="203" fontId="18" fillId="0" borderId="41" xfId="1301" applyNumberFormat="1" applyFont="1" applyFill="1" applyBorder="1" applyAlignment="1">
      <alignment horizontal="right" vertical="center" wrapText="1"/>
    </xf>
    <xf numFmtId="205" fontId="18" fillId="0" borderId="40" xfId="1301" applyNumberFormat="1" applyFont="1" applyFill="1" applyBorder="1" applyAlignment="1">
      <alignment horizontal="center" vertical="center" wrapText="1"/>
    </xf>
    <xf numFmtId="203" fontId="18" fillId="0" borderId="41" xfId="1301" applyNumberFormat="1" applyFont="1" applyFill="1" applyBorder="1" applyAlignment="1">
      <alignment horizontal="center" vertical="center" wrapText="1"/>
    </xf>
    <xf numFmtId="205" fontId="18" fillId="0" borderId="42" xfId="1301" applyNumberFormat="1" applyFont="1" applyFill="1" applyBorder="1" applyAlignment="1">
      <alignment horizontal="right" vertical="center" wrapText="1"/>
    </xf>
    <xf numFmtId="203" fontId="18" fillId="0" borderId="43" xfId="1301" applyNumberFormat="1" applyFont="1" applyFill="1" applyBorder="1" applyAlignment="1">
      <alignment horizontal="right" vertical="center" wrapText="1"/>
    </xf>
    <xf numFmtId="0" fontId="4" fillId="0" borderId="0" xfId="0" applyFont="1" applyFill="1" applyAlignment="1">
      <alignment horizontal="left" vertical="center" wrapText="1"/>
    </xf>
    <xf numFmtId="0" fontId="0"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0" fillId="0" borderId="39" xfId="0" applyFont="1" applyFill="1" applyBorder="1" applyAlignment="1">
      <alignment horizontal="center" vertical="center" wrapText="1"/>
    </xf>
    <xf numFmtId="0" fontId="20" fillId="0" borderId="37" xfId="0" applyFont="1" applyFill="1" applyBorder="1" applyAlignment="1">
      <alignment horizontal="center" vertical="center" wrapText="1"/>
    </xf>
    <xf numFmtId="0" fontId="20" fillId="0" borderId="44"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0" xfId="0" applyFont="1" applyFill="1" applyAlignment="1">
      <alignment horizontal="center" vertical="center" wrapText="1"/>
    </xf>
    <xf numFmtId="0" fontId="20" fillId="0" borderId="13"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4" fillId="0" borderId="28" xfId="0" applyFont="1" applyFill="1" applyBorder="1" applyAlignment="1">
      <alignment horizontal="left" vertical="center" wrapText="1"/>
    </xf>
    <xf numFmtId="208" fontId="4" fillId="0" borderId="15" xfId="0" applyNumberFormat="1" applyFont="1" applyFill="1" applyBorder="1" applyAlignment="1">
      <alignment horizontal="center" vertical="center" wrapText="1"/>
    </xf>
    <xf numFmtId="203" fontId="4" fillId="0" borderId="15" xfId="0" applyNumberFormat="1" applyFont="1" applyFill="1" applyBorder="1" applyAlignment="1">
      <alignment horizontal="center" vertical="center" wrapText="1"/>
    </xf>
    <xf numFmtId="203" fontId="4" fillId="0" borderId="17" xfId="0" applyNumberFormat="1" applyFont="1" applyFill="1" applyBorder="1" applyAlignment="1">
      <alignment horizontal="center" vertical="center" wrapText="1"/>
    </xf>
    <xf numFmtId="208" fontId="4" fillId="0" borderId="0" xfId="0" applyNumberFormat="1" applyFont="1" applyFill="1" applyBorder="1" applyAlignment="1">
      <alignment horizontal="center" vertical="center" wrapText="1"/>
    </xf>
    <xf numFmtId="0" fontId="4" fillId="0" borderId="29" xfId="0" applyFont="1" applyFill="1" applyBorder="1" applyAlignment="1">
      <alignment horizontal="left" vertical="center" wrapText="1"/>
    </xf>
    <xf numFmtId="203" fontId="4" fillId="0" borderId="19" xfId="0" applyNumberFormat="1" applyFont="1" applyFill="1" applyBorder="1" applyAlignment="1">
      <alignment horizontal="center" vertical="center" wrapText="1"/>
    </xf>
    <xf numFmtId="203" fontId="4" fillId="0" borderId="30" xfId="0" applyNumberFormat="1" applyFont="1" applyFill="1" applyBorder="1" applyAlignment="1">
      <alignment horizontal="center" vertical="center" wrapText="1"/>
    </xf>
    <xf numFmtId="0" fontId="4" fillId="0" borderId="45" xfId="0" applyFont="1" applyFill="1" applyBorder="1" applyAlignment="1">
      <alignment horizontal="left" vertical="center" wrapText="1"/>
    </xf>
    <xf numFmtId="205" fontId="4" fillId="0" borderId="46" xfId="0" applyNumberFormat="1" applyFont="1" applyFill="1" applyBorder="1" applyAlignment="1">
      <alignment horizontal="center" vertical="center" wrapText="1"/>
    </xf>
    <xf numFmtId="203" fontId="4" fillId="0" borderId="46" xfId="0" applyNumberFormat="1" applyFont="1" applyFill="1" applyBorder="1" applyAlignment="1">
      <alignment horizontal="center" vertical="center" wrapText="1"/>
    </xf>
    <xf numFmtId="208" fontId="4" fillId="0" borderId="46" xfId="0" applyNumberFormat="1" applyFont="1" applyFill="1" applyBorder="1" applyAlignment="1">
      <alignment horizontal="center" vertical="center" wrapText="1"/>
    </xf>
    <xf numFmtId="203" fontId="4" fillId="0" borderId="47" xfId="0" applyNumberFormat="1" applyFont="1" applyFill="1" applyBorder="1" applyAlignment="1">
      <alignment horizontal="center" vertical="center" wrapText="1"/>
    </xf>
    <xf numFmtId="0" fontId="0" fillId="0" borderId="0" xfId="0" applyFont="1" applyFill="1" applyAlignment="1">
      <alignment horizontal="left" vertical="center" wrapText="1"/>
    </xf>
    <xf numFmtId="0" fontId="25" fillId="0" borderId="6" xfId="0" applyFont="1" applyFill="1" applyBorder="1" applyAlignment="1">
      <alignment horizontal="center" vertical="center"/>
    </xf>
    <xf numFmtId="203" fontId="18" fillId="0" borderId="0" xfId="1301" applyNumberFormat="1" applyFont="1" applyFill="1" applyAlignment="1">
      <alignment horizontal="right" vertical="center" wrapText="1"/>
    </xf>
    <xf numFmtId="0" fontId="17" fillId="0" borderId="0" xfId="0" applyFont="1" applyFill="1" applyAlignment="1">
      <alignment horizontal="justify" vertical="center" wrapText="1"/>
    </xf>
    <xf numFmtId="0" fontId="17" fillId="0" borderId="6" xfId="0" applyFont="1" applyFill="1" applyBorder="1" applyAlignment="1">
      <alignment horizontal="center" vertical="center" wrapText="1"/>
    </xf>
    <xf numFmtId="203" fontId="18" fillId="0" borderId="0" xfId="629" applyNumberFormat="1" applyFont="1" applyFill="1" applyAlignment="1" applyProtection="1">
      <alignment horizontal="right" vertical="center" wrapText="1"/>
    </xf>
    <xf numFmtId="0" fontId="18" fillId="0" borderId="6" xfId="629" applyNumberFormat="1" applyFont="1" applyFill="1" applyBorder="1" applyAlignment="1" applyProtection="1">
      <alignment horizontal="right" vertical="center" wrapText="1"/>
    </xf>
    <xf numFmtId="0" fontId="18" fillId="0" borderId="0" xfId="629" applyNumberFormat="1" applyFont="1" applyFill="1" applyAlignment="1" applyProtection="1">
      <alignment horizontal="right" vertical="center" wrapText="1"/>
    </xf>
    <xf numFmtId="208" fontId="18" fillId="0" borderId="9" xfId="629" applyNumberFormat="1" applyFont="1" applyFill="1" applyBorder="1" applyAlignment="1" applyProtection="1">
      <alignment horizontal="right" vertical="center" wrapText="1"/>
    </xf>
    <xf numFmtId="0" fontId="17" fillId="0" borderId="29" xfId="0" applyFont="1" applyFill="1" applyBorder="1" applyAlignment="1">
      <alignment horizontal="justify" vertical="center" wrapText="1"/>
    </xf>
    <xf numFmtId="0" fontId="17" fillId="0" borderId="19" xfId="0" applyFont="1" applyFill="1" applyBorder="1" applyAlignment="1">
      <alignment horizontal="center" vertical="center" wrapText="1"/>
    </xf>
    <xf numFmtId="203" fontId="18" fillId="0" borderId="30" xfId="807" applyNumberFormat="1" applyFont="1" applyFill="1" applyBorder="1" applyAlignment="1">
      <alignment horizontal="right" vertical="center" wrapText="1"/>
    </xf>
    <xf numFmtId="203" fontId="18" fillId="0" borderId="30" xfId="807" applyNumberFormat="1" applyFont="1" applyFill="1" applyBorder="1" applyAlignment="1">
      <alignment horizontal="center" vertical="center" wrapText="1"/>
    </xf>
    <xf numFmtId="208" fontId="18" fillId="0" borderId="6" xfId="807" applyNumberFormat="1" applyFont="1" applyFill="1" applyBorder="1" applyAlignment="1">
      <alignment horizontal="center" vertical="center"/>
    </xf>
    <xf numFmtId="208" fontId="18" fillId="0" borderId="0" xfId="807" applyNumberFormat="1" applyFont="1" applyFill="1" applyBorder="1" applyAlignment="1">
      <alignment horizontal="center" vertical="center"/>
    </xf>
    <xf numFmtId="205" fontId="18" fillId="0" borderId="5" xfId="1301" applyNumberFormat="1" applyFont="1" applyFill="1" applyBorder="1" applyAlignment="1">
      <alignment horizontal="right" vertical="center" wrapText="1"/>
    </xf>
    <xf numFmtId="0" fontId="18" fillId="0" borderId="4" xfId="1301" applyFont="1" applyFill="1" applyBorder="1">
      <alignment vertical="center"/>
    </xf>
    <xf numFmtId="0" fontId="18" fillId="0" borderId="5" xfId="1301" applyFont="1" applyFill="1" applyBorder="1" applyAlignment="1">
      <alignment horizontal="center" vertical="center"/>
    </xf>
    <xf numFmtId="203" fontId="18" fillId="0" borderId="6" xfId="1301" applyNumberFormat="1" applyFont="1" applyFill="1" applyBorder="1" applyAlignment="1">
      <alignment horizontal="right" vertical="center" wrapText="1"/>
    </xf>
    <xf numFmtId="0" fontId="18" fillId="0" borderId="8" xfId="1301" applyFont="1" applyFill="1" applyBorder="1">
      <alignment vertical="center"/>
    </xf>
    <xf numFmtId="0" fontId="18" fillId="0" borderId="9" xfId="1301" applyFont="1" applyFill="1" applyBorder="1" applyAlignment="1">
      <alignment horizontal="center" vertical="center"/>
    </xf>
    <xf numFmtId="205" fontId="18" fillId="0" borderId="9" xfId="1301" applyNumberFormat="1" applyFont="1" applyFill="1" applyBorder="1" applyAlignment="1">
      <alignment horizontal="right" vertical="center" wrapText="1"/>
    </xf>
    <xf numFmtId="203" fontId="18" fillId="0" borderId="10" xfId="1301" applyNumberFormat="1" applyFont="1" applyFill="1" applyBorder="1" applyAlignment="1">
      <alignment horizontal="right" vertical="center" wrapText="1"/>
    </xf>
  </cellXfs>
  <cellStyles count="319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25101195210812" xfId="49"/>
    <cellStyle name="常规_20251011952831" xfId="50"/>
    <cellStyle name="常规_202588172512140" xfId="51"/>
    <cellStyle name="常规_20248611452140" xfId="52"/>
    <cellStyle name="常规_20231259116515" xfId="53"/>
    <cellStyle name="好_2007年检察院案件数 6" xfId="54"/>
    <cellStyle name="常规 6 4" xfId="55"/>
    <cellStyle name="差_2009年一般性转移支付标准工资_奖励补助测算5.23新 7" xfId="56"/>
    <cellStyle name="60% - 强调文字颜色 1 2" xfId="57"/>
    <cellStyle name="常规 2 3 2" xfId="58"/>
    <cellStyle name="40% - 强调文字颜色 3 2" xfId="59"/>
    <cellStyle name="表标题 5" xfId="60"/>
    <cellStyle name="差_2009年一般性转移支付标准工资_地方配套按人均增幅控制8.30xl 8" xfId="61"/>
    <cellStyle name="常规 3 7" xfId="62"/>
    <cellStyle name="Accent4 - 20% 8" xfId="63"/>
    <cellStyle name="差_~5676413 9" xfId="64"/>
    <cellStyle name="差_三季度－表二 9" xfId="65"/>
    <cellStyle name="40% - 强调文字颜色 3 3 6" xfId="66"/>
    <cellStyle name="百分比 9 2" xfId="67"/>
    <cellStyle name="好 3 6" xfId="68"/>
    <cellStyle name="常规 17 3" xfId="69"/>
    <cellStyle name="好_下半年禁吸戒毒经费1000万元 8" xfId="70"/>
    <cellStyle name="常规 22" xfId="71"/>
    <cellStyle name="常规 17" xfId="72"/>
    <cellStyle name="好_2007年政法部门业务指标 3" xfId="73"/>
    <cellStyle name="Note 5" xfId="74"/>
    <cellStyle name="标题 1 10" xfId="75"/>
    <cellStyle name="标题 2 4" xfId="76"/>
    <cellStyle name="常规 5 2 5" xfId="77"/>
    <cellStyle name="差_2009年一般性转移支付标准工资_~4190974 2" xfId="78"/>
    <cellStyle name="20% - 强调文字颜色 4 8 2" xfId="79"/>
    <cellStyle name="60% - 强调文字颜色 6 3 6" xfId="80"/>
    <cellStyle name="60% - 强调文字颜色 4 9 2" xfId="81"/>
    <cellStyle name="好_M01-2(州市补助收入) 9" xfId="82"/>
    <cellStyle name="好_M03 7" xfId="83"/>
    <cellStyle name="60% - 强调文字颜色 4 3 2" xfId="84"/>
    <cellStyle name="差_2008云南省分县市中小学教职工统计表（教育厅提供） 6" xfId="85"/>
    <cellStyle name="好_1110洱源县 3" xfId="86"/>
    <cellStyle name="好_义务教育阶段教职工人数（教育厅提供最终） 4" xfId="87"/>
    <cellStyle name="20% - 强调文字颜色 5 5 2" xfId="88"/>
    <cellStyle name="20% - 强调文字颜色 3 8" xfId="89"/>
    <cellStyle name="好_2007年检察院案件数 9" xfId="90"/>
    <cellStyle name="常规 6 7" xfId="91"/>
    <cellStyle name="差_指标四 3" xfId="92"/>
    <cellStyle name="好_2009年一般性转移支付标准工资_奖励补助测算5.22测试 6" xfId="93"/>
    <cellStyle name="常规 2 6 3" xfId="94"/>
    <cellStyle name="60% - 强调文字颜色 4 3" xfId="95"/>
    <cellStyle name="好_2009年一般性转移支付标准工资_地方配套按人均增幅控制8.30一般预算平均增幅、人均可用财力平均增幅两次控制、社会治安系数调整、案件数调整xl 5" xfId="96"/>
    <cellStyle name="Accent5 - 60% 9" xfId="97"/>
    <cellStyle name="数字 9" xfId="98"/>
    <cellStyle name="差_奖励补助测算7.25 (version 1) (version 1)" xfId="99"/>
    <cellStyle name="常规 3 5" xfId="100"/>
    <cellStyle name="好_2009年一般性转移支付标准工资_奖励补助测算7.25 (version 1) (version 1) 9" xfId="101"/>
    <cellStyle name="Percent [2]" xfId="102"/>
    <cellStyle name="常规 2 2 2 9" xfId="103"/>
    <cellStyle name="差_奖励补助测算7.25 7" xfId="104"/>
    <cellStyle name="差_05玉溪" xfId="105"/>
    <cellStyle name="标题 2 3 2" xfId="106"/>
    <cellStyle name="昗弨_Pacific Region P&amp;L" xfId="107"/>
    <cellStyle name="注释 3 3" xfId="108"/>
    <cellStyle name="好_2009年一般性转移支付标准工资_奖励补助测算5.23新 6" xfId="109"/>
    <cellStyle name="好_2009年一般性转移支付标准工资_奖励补助测算7.25 8" xfId="110"/>
    <cellStyle name="好_2009年一般性转移支付标准工资_奖励补助测算7.25 4" xfId="111"/>
    <cellStyle name="强调文字颜色 1 4 2" xfId="112"/>
    <cellStyle name="Heading 3" xfId="113"/>
    <cellStyle name="Input 8" xfId="114"/>
    <cellStyle name="40% - 强调文字颜色 2 4" xfId="115"/>
    <cellStyle name="好_03昭通 2" xfId="116"/>
    <cellStyle name="40% - 强调文字颜色 3 6" xfId="117"/>
    <cellStyle name="常规_2012年3月月报_2014年10月月报" xfId="118"/>
    <cellStyle name="注释 2 4" xfId="119"/>
    <cellStyle name="40% - 强调文字颜色 1 9 2" xfId="120"/>
    <cellStyle name="解释性文本 4 2" xfId="121"/>
    <cellStyle name="好_2009年一般性转移支付标准工资_奖励补助测算7.25 (version 1) (version 1) 5" xfId="122"/>
    <cellStyle name="好_2009年一般性转移支付标准工资_奖励补助测算5.24冯铸 9" xfId="123"/>
    <cellStyle name="检查单元格 7" xfId="124"/>
    <cellStyle name="强调文字颜色 2 3 7" xfId="125"/>
    <cellStyle name="好_2009年一般性转移支付标准工资_奖励补助测算5.23新 3" xfId="126"/>
    <cellStyle name="标题 6 7" xfId="127"/>
    <cellStyle name="20% - 强调文字颜色 2 3 7" xfId="128"/>
    <cellStyle name="强调文字颜色 2 3 5" xfId="129"/>
    <cellStyle name="好_2、土地面积、人口、粮食产量基本情况 9" xfId="130"/>
    <cellStyle name="差_2009年一般性转移支付标准工资_奖励补助测算5.23新 6" xfId="131"/>
    <cellStyle name="常规 6 3" xfId="132"/>
    <cellStyle name="差_奖励补助测算7.23 6" xfId="133"/>
    <cellStyle name="差_财政供养人员 2" xfId="134"/>
    <cellStyle name="常规 11 2" xfId="135"/>
    <cellStyle name="Accent3 - 20% 4" xfId="136"/>
    <cellStyle name="20% - 强调文字颜色 2 2" xfId="137"/>
    <cellStyle name="好_2、土地面积、人口、粮食产量基本情况" xfId="138"/>
    <cellStyle name="好_03昭通 7" xfId="139"/>
    <cellStyle name="好_指标四 2" xfId="140"/>
    <cellStyle name="常规 2 2 7" xfId="141"/>
    <cellStyle name="好_2009年一般性转移支付标准工资_~5676413 7" xfId="142"/>
    <cellStyle name="常规_2024109104737906" xfId="143"/>
    <cellStyle name="60% - 强调文字颜色 1 7" xfId="144"/>
    <cellStyle name="常规 2 3 7" xfId="145"/>
    <cellStyle name="Milliers_!!!GO" xfId="146"/>
    <cellStyle name="60% - 强调文字颜色 2 3 4" xfId="147"/>
    <cellStyle name="Accent4 - 60% 5" xfId="148"/>
    <cellStyle name="后继超链接" xfId="149"/>
    <cellStyle name="差_2、土地面积、人口、粮食产量基本情况 8" xfId="150"/>
    <cellStyle name="好_~5676413 8" xfId="151"/>
    <cellStyle name="20% - 强调文字颜色 3 7 2" xfId="152"/>
    <cellStyle name="常规 5 6" xfId="153"/>
    <cellStyle name="差_2009年一般性转移支付标准工资_奖励补助测算5.22测试 4" xfId="154"/>
    <cellStyle name="常规 33" xfId="155"/>
    <cellStyle name="常规 28" xfId="156"/>
    <cellStyle name="差_2009年一般性转移支付标准工资_~5676413 3" xfId="157"/>
    <cellStyle name="解释性文本 9" xfId="158"/>
    <cellStyle name="链接单元格 8 2" xfId="159"/>
    <cellStyle name="好_2009年一般性转移支付标准工资_~4190974 5" xfId="160"/>
    <cellStyle name="差 6" xfId="161"/>
    <cellStyle name="链接单元格 3 4" xfId="162"/>
    <cellStyle name="常规 7 6" xfId="163"/>
    <cellStyle name="20% - 强调文字颜色 3 9 2" xfId="164"/>
    <cellStyle name="60% - 强调文字颜色 6 4" xfId="165"/>
    <cellStyle name="常规 2 8 4" xfId="166"/>
    <cellStyle name="差_2007年检察院案件数" xfId="167"/>
    <cellStyle name="好_~5676413 9" xfId="168"/>
    <cellStyle name="差_00省级(定稿) 7" xfId="169"/>
    <cellStyle name="差_第五部分(才淼、饶永宏） 3" xfId="170"/>
    <cellStyle name="好_奖励补助测算7.25 (version 1) (version 1)" xfId="171"/>
    <cellStyle name="Accent6 - 40%" xfId="172"/>
    <cellStyle name="差_2007年政法部门业务指标 9" xfId="173"/>
    <cellStyle name="好_高中教师人数（教育厅1.6日提供） 9" xfId="174"/>
    <cellStyle name="强调文字颜色 3 3 6" xfId="175"/>
    <cellStyle name="适中 3 7" xfId="176"/>
    <cellStyle name="差_2009年一般性转移支付标准工资_~4190974 9" xfId="177"/>
    <cellStyle name="好_2009年一般性转移支付标准工资_地方配套按人均增幅控制8.31（调整结案率后）xl" xfId="178"/>
    <cellStyle name="Neutral 4" xfId="179"/>
    <cellStyle name="常规 2 7 5" xfId="180"/>
    <cellStyle name="60% - 强调文字颜色 5 5" xfId="181"/>
    <cellStyle name="好_不用软件计算9.1不考虑经费管理评价xl 9" xfId="182"/>
    <cellStyle name="好_三季度－表二 3" xfId="183"/>
    <cellStyle name="好_2009年一般性转移支付标准工资 7" xfId="184"/>
    <cellStyle name="差_2009年一般性转移支付标准工资_不用软件计算9.1不考虑经费管理评价xl 3" xfId="185"/>
    <cellStyle name="好_2007年人员分部门统计表" xfId="186"/>
    <cellStyle name="好_530623_2006年县级财政报表附表 4" xfId="187"/>
    <cellStyle name="Explanatory Text 5" xfId="188"/>
    <cellStyle name="好_0605石屏县 9" xfId="189"/>
    <cellStyle name="检查单元格 3 6" xfId="190"/>
    <cellStyle name="标题 10 2" xfId="191"/>
    <cellStyle name="好_财政供养人员" xfId="192"/>
    <cellStyle name="Accent4 - 60% 8" xfId="193"/>
    <cellStyle name="好_2006年全省财力计算表（中央、决算） 4" xfId="194"/>
    <cellStyle name="60% - 强调文字颜色 2 3 7" xfId="195"/>
    <cellStyle name="Total" xfId="196"/>
    <cellStyle name="常规 8 8" xfId="197"/>
    <cellStyle name="Neutral" xfId="198"/>
    <cellStyle name="好_2006年水利统计指标统计表 9" xfId="199"/>
    <cellStyle name="40% - Accent1 6" xfId="200"/>
    <cellStyle name="差_Book2 4" xfId="201"/>
    <cellStyle name="好_地方配套按人均增幅控制8.31（调整结案率后）xl 5" xfId="202"/>
    <cellStyle name="好_Book2 3" xfId="203"/>
    <cellStyle name="好_2009年一般性转移支付标准工资_地方配套按人均增幅控制8.30xl 9" xfId="204"/>
    <cellStyle name="好_2006年在职人员情况 9" xfId="205"/>
    <cellStyle name="链接单元格 3" xfId="206"/>
    <cellStyle name="Accent5 - 40% 2" xfId="207"/>
    <cellStyle name="好_2009年一般性转移支付标准工资_地方配套按人均增幅控制8.30xl 2" xfId="208"/>
    <cellStyle name="好_2006年在职人员情况 2" xfId="209"/>
    <cellStyle name="Neutral 8" xfId="210"/>
    <cellStyle name="差 9" xfId="211"/>
    <cellStyle name="链接单元格 3 7" xfId="212"/>
    <cellStyle name="60% - 强调文字颜色 5 4 2" xfId="213"/>
    <cellStyle name="Good" xfId="214"/>
    <cellStyle name="好_00省级(打印) 3" xfId="215"/>
    <cellStyle name="好_奖励补助测算5.23新 6" xfId="216"/>
    <cellStyle name="常规 10" xfId="217"/>
    <cellStyle name="Accent2 - 60% 3" xfId="218"/>
    <cellStyle name="差_2006年基础数据 6" xfId="219"/>
    <cellStyle name="差_2006年基础数据 4" xfId="220"/>
    <cellStyle name="后继超链接 8" xfId="221"/>
    <cellStyle name="Accent4 6" xfId="222"/>
    <cellStyle name="常规 2 2 2 3" xfId="223"/>
    <cellStyle name="20% - Accent1 4" xfId="224"/>
    <cellStyle name="好_03昭通" xfId="225"/>
    <cellStyle name="输出 3 2" xfId="226"/>
    <cellStyle name="汇总 5" xfId="227"/>
    <cellStyle name="好_2006年水利统计指标统计表 4" xfId="228"/>
    <cellStyle name="Heading 3 7" xfId="229"/>
    <cellStyle name="千位分隔[0] 2 4" xfId="230"/>
    <cellStyle name="输入 3 5" xfId="231"/>
    <cellStyle name="Accent4 - 20% 9" xfId="232"/>
    <cellStyle name="40% - 强调文字颜色 3 3 7" xfId="233"/>
    <cellStyle name="捠壿 [0.00]_Region Orders (2)" xfId="234"/>
    <cellStyle name="Accent4 - 60%" xfId="235"/>
    <cellStyle name="60% - Accent2 6" xfId="236"/>
    <cellStyle name="好_530623_2006年县级财政报表附表 9" xfId="237"/>
    <cellStyle name="适中 7 2" xfId="238"/>
    <cellStyle name="好_Book1_1 4" xfId="239"/>
    <cellStyle name="Accent1 8" xfId="240"/>
    <cellStyle name="样式 1" xfId="241"/>
    <cellStyle name="40% - 强调文字颜色 1 4 2" xfId="242"/>
    <cellStyle name="好_2009年一般性转移支付标准工资_奖励补助测算5.23新 8" xfId="243"/>
    <cellStyle name="注释 3 5" xfId="244"/>
    <cellStyle name="表标题" xfId="245"/>
    <cellStyle name="40% - Accent6 9" xfId="246"/>
    <cellStyle name="百分比 10" xfId="247"/>
    <cellStyle name="好_2009年一般性转移支付标准工资_奖励补助测算7.25 5" xfId="248"/>
    <cellStyle name="标题 3 8 2" xfId="249"/>
    <cellStyle name="差_2006年全省财力计算表（中央、决算） 6" xfId="250"/>
    <cellStyle name="好_卫生部门" xfId="251"/>
    <cellStyle name="Accent5 - 60% 6" xfId="252"/>
    <cellStyle name="Calculation 8" xfId="253"/>
    <cellStyle name="数字 6" xfId="254"/>
    <cellStyle name="好_03昭通 4" xfId="255"/>
    <cellStyle name="40% - 强调文字颜色 3 8" xfId="256"/>
    <cellStyle name="检查单元格 9" xfId="257"/>
    <cellStyle name="小数 7" xfId="258"/>
    <cellStyle name="差_0502通海县 2" xfId="259"/>
    <cellStyle name="60% - 强调文字颜色 4 3 7" xfId="260"/>
    <cellStyle name="常规 25" xfId="261"/>
    <cellStyle name="常规 30" xfId="262"/>
    <cellStyle name="差_Book1_1 8" xfId="263"/>
    <cellStyle name="40% - 强调文字颜色 3 9 2" xfId="264"/>
    <cellStyle name="常规 2 2 3" xfId="265"/>
    <cellStyle name="Currency [0]" xfId="266"/>
    <cellStyle name="20% - 强调文字颜色 4 4" xfId="267"/>
    <cellStyle name="20% - Accent4 3" xfId="268"/>
    <cellStyle name="好_第五部分(才淼、饶永宏） 8" xfId="269"/>
    <cellStyle name="差_2009年一般性转移支付标准工资_奖励补助测算5.22测试 8" xfId="270"/>
    <cellStyle name="差_5334_2006年迪庆县级财政报表附表 9" xfId="271"/>
    <cellStyle name="40% - 强调文字颜色 1 3 3" xfId="272"/>
    <cellStyle name="20% - 强调文字颜色 6 3 2" xfId="273"/>
    <cellStyle name="输入 6" xfId="274"/>
    <cellStyle name="20% - 强调文字颜色 1 8" xfId="275"/>
    <cellStyle name="好_2009年一般性转移支付标准工资 5" xfId="276"/>
    <cellStyle name="好_2008云南省分县市中小学教职工统计表（教育厅提供）" xfId="277"/>
    <cellStyle name="好_汇总-县级财政报表附表 2" xfId="278"/>
    <cellStyle name="Accent4 - 60% 7" xfId="279"/>
    <cellStyle name="好_2006年全省财力计算表（中央、决算） 3" xfId="280"/>
    <cellStyle name="60% - 强调文字颜色 2 3 6" xfId="281"/>
    <cellStyle name="百分比 3" xfId="282"/>
    <cellStyle name="适中 7" xfId="283"/>
    <cellStyle name="20% - 强调文字颜色 3 2" xfId="284"/>
    <cellStyle name="好_2009年一般性转移支付标准工资_奖励补助测算7.25" xfId="285"/>
    <cellStyle name="强调文字颜色 2 10" xfId="286"/>
    <cellStyle name="强调文字颜色 4 3" xfId="287"/>
    <cellStyle name="60% - Accent6" xfId="288"/>
    <cellStyle name="好_2009年一般性转移支付标准工资_奖励补助测算7.25 (version 1) (version 1) 4" xfId="289"/>
    <cellStyle name="好_2009年一般性转移支付标准工资_奖励补助测算5.24冯铸 8" xfId="290"/>
    <cellStyle name="40% - 强调文字颜色 5 4 2" xfId="291"/>
    <cellStyle name="20% - Accent3 4" xfId="292"/>
    <cellStyle name="Accent6 6" xfId="293"/>
    <cellStyle name="好_0502通海县 4" xfId="294"/>
    <cellStyle name="差_2007年人员分部门统计表 8" xfId="295"/>
    <cellStyle name="40% - Accent6 6" xfId="296"/>
    <cellStyle name="40% - Accent4 9" xfId="297"/>
    <cellStyle name="注释 10" xfId="298"/>
    <cellStyle name="强调文字颜色 1 3" xfId="299"/>
    <cellStyle name="60% - Accent1 2" xfId="300"/>
    <cellStyle name="20% - Accent6 4" xfId="301"/>
    <cellStyle name="40% - 强调文字颜色 5 7 2" xfId="302"/>
    <cellStyle name="好_2007年政法部门业务指标 2" xfId="303"/>
    <cellStyle name="Note 4" xfId="304"/>
    <cellStyle name="好_业务工作量指标 2" xfId="305"/>
    <cellStyle name="标题 2 3" xfId="306"/>
    <cellStyle name="常规 5 2 4" xfId="307"/>
    <cellStyle name="Accent6 2" xfId="308"/>
    <cellStyle name="40% - 强调文字颜色 2 3 4" xfId="309"/>
    <cellStyle name="好_00省级(定稿) 6" xfId="310"/>
    <cellStyle name="好_0502通海县 8" xfId="311"/>
    <cellStyle name="20% - Accent3 8" xfId="312"/>
    <cellStyle name="差_2009年一般性转移支付标准工资_~5676413 5" xfId="313"/>
    <cellStyle name="常规 35" xfId="314"/>
    <cellStyle name="常规 40" xfId="315"/>
    <cellStyle name="20% - Accent1" xfId="316"/>
    <cellStyle name="好_2009年一般性转移支付标准工资_地方配套按人均增幅控制8.31（调整结案率后）xl 7" xfId="317"/>
    <cellStyle name="差_云南省2008年中小学教职工情况（教育厅提供20090101加工整理） 3" xfId="318"/>
    <cellStyle name="差_0605石屏县 8" xfId="319"/>
    <cellStyle name="60% - 强调文字颜色 5 8 2" xfId="320"/>
    <cellStyle name="常规 7 5" xfId="321"/>
    <cellStyle name="PSDate" xfId="322"/>
    <cellStyle name="好_~5676413 7" xfId="323"/>
    <cellStyle name="好_云南农村义务教育统计表 4" xfId="324"/>
    <cellStyle name="好_1003牟定县 9" xfId="325"/>
    <cellStyle name="链接单元格 9" xfId="326"/>
    <cellStyle name="Accent5 - 40% 8" xfId="327"/>
    <cellStyle name="20% - 强调文字颜色 6 8 2" xfId="328"/>
    <cellStyle name="60% - Accent1 3" xfId="329"/>
    <cellStyle name="20% - Accent6 5" xfId="330"/>
    <cellStyle name="好_00省级(打印) 2" xfId="331"/>
    <cellStyle name="好_奖励补助测算5.23新 5" xfId="332"/>
    <cellStyle name="20% - 强调文字颜色 4 9 2" xfId="333"/>
    <cellStyle name="Accent2 - 60% 2" xfId="334"/>
    <cellStyle name="差_2006年基础数据 5" xfId="335"/>
    <cellStyle name="好_县级公安机关公用经费标准奖励测算方案（定稿） 3" xfId="336"/>
    <cellStyle name="差_汇总-县级财政报表附表 6" xfId="337"/>
    <cellStyle name="60% - Accent3 5" xfId="338"/>
    <cellStyle name="差_不用软件计算9.1不考虑经费管理评价xl 8" xfId="339"/>
    <cellStyle name="好_2007年人员分部门统计表 7" xfId="340"/>
    <cellStyle name="40% - 强调文字颜色 2 8 2" xfId="341"/>
    <cellStyle name="千位分隔 2 5" xfId="342"/>
    <cellStyle name="好_2009年一般性转移支付标准工资_不用软件计算9.1不考虑经费管理评价xl 3" xfId="343"/>
    <cellStyle name="适中 4" xfId="344"/>
    <cellStyle name="强调文字颜色 4 9" xfId="345"/>
    <cellStyle name="常规 3 2 2" xfId="346"/>
    <cellStyle name="20% - 强调文字颜色 4 7 2" xfId="347"/>
    <cellStyle name="差_530623_2006年县级财政报表附表" xfId="348"/>
    <cellStyle name="40% - Accent4" xfId="349"/>
    <cellStyle name="Accent3 - 40% 4" xfId="350"/>
    <cellStyle name="差_M01-2(州市补助收入) 6" xfId="351"/>
    <cellStyle name="常规_2023101016533984" xfId="352"/>
    <cellStyle name="差_M01-2(州市补助收入) 7" xfId="353"/>
    <cellStyle name="差_1110洱源县 4" xfId="354"/>
    <cellStyle name="差_卫生部门 9" xfId="355"/>
    <cellStyle name="Accent3 - 60% 5" xfId="356"/>
    <cellStyle name="常规 2 8 7" xfId="357"/>
    <cellStyle name="Output 2" xfId="358"/>
    <cellStyle name="60% - 强调文字颜色 6 7" xfId="359"/>
    <cellStyle name="60% - 强调文字颜色 6 5" xfId="360"/>
    <cellStyle name="常规 2 8 5" xfId="361"/>
    <cellStyle name="Heading 3 6" xfId="362"/>
    <cellStyle name="千位分隔[0] 2 3" xfId="363"/>
    <cellStyle name="20% - Accent6 6" xfId="364"/>
    <cellStyle name="60% - Accent1 4" xfId="365"/>
    <cellStyle name="好_2007年人员分部门统计表 9" xfId="366"/>
    <cellStyle name="差_高中教师人数（教育厅1.6日提供） 3" xfId="367"/>
    <cellStyle name="强调文字颜色 4 3 5" xfId="368"/>
    <cellStyle name="常规_yb4000" xfId="369"/>
    <cellStyle name="好_2009年一般性转移支付标准工资_奖励补助测算7.23 6" xfId="370"/>
    <cellStyle name="20% - 强调文字颜色 4 3 7" xfId="371"/>
    <cellStyle name="40% - 强调文字颜色 6 4 2" xfId="372"/>
    <cellStyle name="好_2009年一般性转移支付标准工资_奖励补助测算7.25 (version 1) (version 1) 7" xfId="373"/>
    <cellStyle name="40% - 强调文字颜色 2 9 2" xfId="374"/>
    <cellStyle name="好_云南省2008年转移支付测算——州市本级考核部分及政策性测算 2" xfId="375"/>
    <cellStyle name="常规 3_Book1" xfId="376"/>
    <cellStyle name="强调文字颜色 6 4 2" xfId="377"/>
    <cellStyle name="好_奖励补助测算7.23" xfId="378"/>
    <cellStyle name="差_2006年全省财力计算表（中央、决算） 2" xfId="379"/>
    <cellStyle name="强调文字颜色 2 7" xfId="380"/>
    <cellStyle name="好_Book1 9" xfId="381"/>
    <cellStyle name="好_三季度－表二 7" xfId="382"/>
    <cellStyle name="差_2009年一般性转移支付标准工资_不用软件计算9.1不考虑经费管理评价xl 7" xfId="383"/>
    <cellStyle name="Accent3 - 60% 7" xfId="384"/>
    <cellStyle name="差_1110洱源县 6" xfId="385"/>
    <cellStyle name="常规 9 2" xfId="386"/>
    <cellStyle name="60% - 强调文字颜色 5 9" xfId="387"/>
    <cellStyle name="常规 2 7 9" xfId="388"/>
    <cellStyle name="20% - Accent3 5" xfId="389"/>
    <cellStyle name="Accent6 7" xfId="390"/>
    <cellStyle name="好_0502通海县 5" xfId="391"/>
    <cellStyle name="常规_20231259119531" xfId="392"/>
    <cellStyle name="20% - 强调文字颜色 3 6" xfId="393"/>
    <cellStyle name="40% - 强调文字颜色 6 2" xfId="394"/>
    <cellStyle name="40% - 强调文字颜色 4 4 2" xfId="395"/>
    <cellStyle name="Accent5 - 40%" xfId="396"/>
    <cellStyle name="好_下半年禁毒办案经费分配2544.3万元" xfId="397"/>
    <cellStyle name="千分位[0]_ 白土" xfId="398"/>
    <cellStyle name="警告文本 7" xfId="399"/>
    <cellStyle name="注释 9 2" xfId="400"/>
    <cellStyle name="20% - 强调文字颜色 1 4 2" xfId="401"/>
    <cellStyle name="Heading 1" xfId="402"/>
    <cellStyle name="20% - 强调文字颜色 6 2" xfId="403"/>
    <cellStyle name="好_2007年人员分部门统计表 4" xfId="404"/>
    <cellStyle name="强调文字颜色 1 4" xfId="405"/>
    <cellStyle name="千位分隔[0] 2 2" xfId="406"/>
    <cellStyle name="Heading 3 5" xfId="407"/>
    <cellStyle name="好_财政供养人员 6" xfId="408"/>
    <cellStyle name="注释 7" xfId="409"/>
    <cellStyle name="40% - 强调文字颜色 1 3 2" xfId="410"/>
    <cellStyle name="差_5334_2006年迪庆县级财政报表附表 8" xfId="411"/>
    <cellStyle name="Accent1 - 60% 7" xfId="412"/>
    <cellStyle name="差_2009年一般性转移支付标准工资_地方配套按人均增幅控制8.30一般预算平均增幅、人均可用财力平均增幅两次控制、社会治安系数调整、案件数调整xl" xfId="413"/>
    <cellStyle name="差_Book1" xfId="414"/>
    <cellStyle name="Calculation 3" xfId="415"/>
    <cellStyle name="好_2008云南省分县市中小学教职工统计表（教育厅提供） 4" xfId="416"/>
    <cellStyle name="60% - 强调文字颜色 2 4 2" xfId="417"/>
    <cellStyle name="好_M03 3" xfId="418"/>
    <cellStyle name="60% - Accent4 7" xfId="419"/>
    <cellStyle name="差_奖励补助测算7.25 5" xfId="420"/>
    <cellStyle name="40% - 强调文字颜色 1 3" xfId="421"/>
    <cellStyle name="强调文字颜色 5 8 2" xfId="422"/>
    <cellStyle name="Accent6 - 20% 3" xfId="423"/>
    <cellStyle name="Bad 9" xfId="424"/>
    <cellStyle name="常规 3 2 5" xfId="425"/>
    <cellStyle name="输入 5 2" xfId="426"/>
    <cellStyle name="20% - 强调文字颜色 1 7 2" xfId="427"/>
    <cellStyle name="好_高中教师人数（教育厅1.6日提供） 8" xfId="428"/>
    <cellStyle name="强调文字颜色 3 3 5" xfId="429"/>
    <cellStyle name="20% - 强调文字颜色 3 3 7" xfId="430"/>
    <cellStyle name="差 7" xfId="431"/>
    <cellStyle name="链接单元格 3 5" xfId="432"/>
    <cellStyle name="0,0_x000d__x000a_NA_x000d__x000a_" xfId="433"/>
    <cellStyle name="差_不用软件计算9.1不考虑经费管理评价xl 6" xfId="434"/>
    <cellStyle name="千位分隔[0]_2011年1月份进度表" xfId="435"/>
    <cellStyle name="差_县级公安机关公用经费标准奖励测算方案（定稿） 4" xfId="436"/>
    <cellStyle name="60% - Accent3 3" xfId="437"/>
    <cellStyle name="差_汇总-县级财政报表附表 4" xfId="438"/>
    <cellStyle name="标题 3 10" xfId="439"/>
    <cellStyle name="差_三季度－表二 4" xfId="440"/>
    <cellStyle name="Accent4 - 20% 3" xfId="441"/>
    <cellStyle name="差_~5676413 4" xfId="442"/>
    <cellStyle name="好_M01-2(州市补助收入)" xfId="443"/>
    <cellStyle name="40% - Accent1 3" xfId="444"/>
    <cellStyle name="差_奖励补助测算5.23新 4" xfId="445"/>
    <cellStyle name="Heading 4 7" xfId="446"/>
    <cellStyle name="60% - 强调文字颜色 5 3 6" xfId="447"/>
    <cellStyle name="好_业务工作量指标 8" xfId="448"/>
    <cellStyle name="Accent6 - 40% 5" xfId="449"/>
    <cellStyle name="适中 10" xfId="450"/>
    <cellStyle name="差_2、土地面积、人口、粮食产量基本情况 2" xfId="451"/>
    <cellStyle name="好_指标四 3" xfId="452"/>
    <cellStyle name="解释性文本 5 2" xfId="453"/>
    <cellStyle name="60% - Accent2 7" xfId="454"/>
    <cellStyle name="差_2009年一般性转移支付标准工资_地方配套按人均增幅控制8.30xl 2" xfId="455"/>
    <cellStyle name="标题 9 2" xfId="456"/>
    <cellStyle name="40% - 强调文字颜色 4 4" xfId="457"/>
    <cellStyle name="好_2009年一般性转移支付标准工资_地方配套按人均增幅控制8.30一般预算平均增幅、人均可用财力平均增幅两次控制、社会治安系数调整、案件数调整xl 9" xfId="458"/>
    <cellStyle name="Accent3 - 20% 3" xfId="459"/>
    <cellStyle name="60% - Accent2 8" xfId="460"/>
    <cellStyle name="常规 2 2 8" xfId="461"/>
    <cellStyle name="好_2009年一般性转移支付标准工资_奖励补助测算5.23新 7" xfId="462"/>
    <cellStyle name="注释 3 4" xfId="463"/>
    <cellStyle name="常规 2 6 7" xfId="464"/>
    <cellStyle name="60% - 强调文字颜色 4 7" xfId="465"/>
    <cellStyle name="好_00省级(定稿) 8" xfId="466"/>
    <cellStyle name="40% - 强调文字颜色 5 8" xfId="467"/>
    <cellStyle name="好_2009年一般性转移支付标准工资_奖励补助测算5.24冯铸 4" xfId="468"/>
    <cellStyle name="60% - Accent2" xfId="469"/>
    <cellStyle name="差_2009年一般性转移支付标准工资_奖励补助测算7.25 (version 1) (version 1) 7" xfId="470"/>
    <cellStyle name="警告文本 3 6" xfId="471"/>
    <cellStyle name="差_5334_2006年迪庆县级财政报表附表 3" xfId="472"/>
    <cellStyle name="标题 3 3 3" xfId="473"/>
    <cellStyle name="60% - 强调文字颜色 4 7 2" xfId="474"/>
    <cellStyle name="Input Cells" xfId="475"/>
    <cellStyle name="差_地方配套按人均增幅控制8.30一般预算平均增幅、人均可用财力平均增幅两次控制、社会治安系数调整、案件数调整xl 6" xfId="476"/>
    <cellStyle name="Accent4_公安安全支出补充表5.14" xfId="477"/>
    <cellStyle name="好_义务教育阶段教职工人数（教育厅提供最终） 8" xfId="478"/>
    <cellStyle name="Neutral 7" xfId="479"/>
    <cellStyle name="好_1003牟定县 6" xfId="480"/>
    <cellStyle name="Input 9" xfId="481"/>
    <cellStyle name="40% - 强调文字颜色 2 5" xfId="482"/>
    <cellStyle name="20% - 强调文字颜色 6 4" xfId="483"/>
    <cellStyle name="20% - Accent6 3" xfId="484"/>
    <cellStyle name="好_汇总-县级财政报表附表 5" xfId="485"/>
    <cellStyle name="强调文字颜色 6 5" xfId="486"/>
    <cellStyle name="解释性文本 3 5" xfId="487"/>
    <cellStyle name="差_M01-2(州市补助收入) 2" xfId="488"/>
    <cellStyle name="好_2006年在职人员情况" xfId="489"/>
    <cellStyle name="40% - Accent1 9" xfId="490"/>
    <cellStyle name="好_2007年人员分部门统计表 8" xfId="491"/>
    <cellStyle name="20% - 强调文字颜色 6 6" xfId="492"/>
    <cellStyle name="好_教育厅提供义务教育及高中教师人数（2009年1月6日） 2" xfId="493"/>
    <cellStyle name="强调文字颜色 5 3" xfId="494"/>
    <cellStyle name="差_奖励补助测算5.23新 6" xfId="495"/>
    <cellStyle name="40% - 强调文字颜色 3 6 2" xfId="496"/>
    <cellStyle name="好_教育厅提供义务教育及高中教师人数（2009年1月6日）" xfId="497"/>
    <cellStyle name="20% - Accent1 2" xfId="498"/>
    <cellStyle name="Accent4 4" xfId="499"/>
    <cellStyle name="强调文字颜色 1 3 2" xfId="500"/>
    <cellStyle name="20% - 强调文字颜色 1 3 4" xfId="501"/>
    <cellStyle name="20% - 强调文字颜色 6 3 3" xfId="502"/>
    <cellStyle name="40% - 强调文字颜色 1 3 4" xfId="503"/>
    <cellStyle name="常规 65" xfId="504"/>
    <cellStyle name="40% - Accent1 7" xfId="505"/>
    <cellStyle name="20% - 强调文字颜色 1 3" xfId="506"/>
    <cellStyle name="好_2007年政法部门业务指标 9" xfId="507"/>
    <cellStyle name="no dec" xfId="508"/>
    <cellStyle name="Normal - Style1" xfId="509"/>
    <cellStyle name="60% - Accent6 7" xfId="510"/>
    <cellStyle name="常规 37" xfId="511"/>
    <cellStyle name="常规 42" xfId="512"/>
    <cellStyle name="好_0502通海县" xfId="513"/>
    <cellStyle name="20% - Accent3" xfId="514"/>
    <cellStyle name="差_2009年一般性转移支付标准工资_~5676413 7" xfId="515"/>
    <cellStyle name="40% - 强调文字颜色 4 8" xfId="516"/>
    <cellStyle name="差_2009年一般性转移支付标准工资_奖励补助测算7.23 8" xfId="517"/>
    <cellStyle name="20% - 强调文字颜色 1 8 2" xfId="518"/>
    <cellStyle name="输入 6 2" xfId="519"/>
    <cellStyle name="输出 4 2" xfId="520"/>
    <cellStyle name="好_高中教师人数（教育厅1.6日提供） 4" xfId="521"/>
    <cellStyle name="20% - 强调文字颜色 3 3 3" xfId="522"/>
    <cellStyle name="差_地方配套按人均增幅控制8.30一般预算平均增幅、人均可用财力平均增幅两次控制、社会治安系数调整、案件数调整xl 7" xfId="523"/>
    <cellStyle name="标题 3 3 4" xfId="524"/>
    <cellStyle name="好_~5676413 4" xfId="525"/>
    <cellStyle name="差_奖励补助测算7.23 5" xfId="526"/>
    <cellStyle name="Norma,_laroux_4_营业在建 (2)_E21" xfId="527"/>
    <cellStyle name="好_财政供养人员 3" xfId="528"/>
    <cellStyle name="注释 4" xfId="529"/>
    <cellStyle name="60% - Accent2 2" xfId="530"/>
    <cellStyle name="40% - 强调文字颜色 5 8 2" xfId="531"/>
    <cellStyle name="Accent6 - 60% 5" xfId="532"/>
    <cellStyle name="Calculation 9" xfId="533"/>
    <cellStyle name="数字 7" xfId="534"/>
    <cellStyle name="Accent5 - 60% 7" xfId="535"/>
    <cellStyle name="20% - 强调文字颜色 1 4" xfId="536"/>
    <cellStyle name="输入 2" xfId="537"/>
    <cellStyle name="注释 6" xfId="538"/>
    <cellStyle name="好_财政供养人员 5" xfId="539"/>
    <cellStyle name="Accent1 - 20% 3" xfId="540"/>
    <cellStyle name="差_2009年一般性转移支付标准工资_地方配套按人均增幅控制8.31（调整结案率后）xl 4" xfId="541"/>
    <cellStyle name="Good 8" xfId="542"/>
    <cellStyle name="差_2006年基础数据 2" xfId="543"/>
    <cellStyle name="40% - 强调文字颜色 2 7 2" xfId="544"/>
    <cellStyle name="好_5334_2006年迪庆县级财政报表附表 8" xfId="545"/>
    <cellStyle name="差_2008云南省分县市中小学教职工统计表（教育厅提供） 3" xfId="546"/>
    <cellStyle name="标题 1 4" xfId="547"/>
    <cellStyle name="Heading 1 9" xfId="548"/>
    <cellStyle name="差_地方配套按人均增幅控制8.30xl" xfId="549"/>
    <cellStyle name="差_Book1 9" xfId="550"/>
    <cellStyle name="好_地方配套按人均增幅控制8.31（调整结案率后）xl 9" xfId="551"/>
    <cellStyle name="差_Book2 8" xfId="552"/>
    <cellStyle name="60% - 强调文字颜色 6 9 2" xfId="553"/>
    <cellStyle name="常规 24" xfId="554"/>
    <cellStyle name="常规 19" xfId="555"/>
    <cellStyle name="差_2007年检察院案件数 3" xfId="556"/>
    <cellStyle name="Accent3 3" xfId="557"/>
    <cellStyle name="好_2009年一般性转移支付标准工资_奖励补助测算5.23新 2" xfId="558"/>
    <cellStyle name="标题 6 6" xfId="559"/>
    <cellStyle name="差_1003牟定县 2" xfId="560"/>
    <cellStyle name="好_汇总-县级财政报表附表 7" xfId="561"/>
    <cellStyle name="40% - Accent6" xfId="562"/>
    <cellStyle name="40% - 强调文字颜色 6 7 2" xfId="563"/>
    <cellStyle name="差_第五部分(才淼、饶永宏） 4" xfId="564"/>
    <cellStyle name="差_00省级(定稿) 8" xfId="565"/>
    <cellStyle name="适中 9" xfId="566"/>
    <cellStyle name="20% - 强调文字颜色 3 4" xfId="567"/>
    <cellStyle name="好_2009年一般性转移支付标准工资_不用软件计算9.1不考虑经费管理评价xl" xfId="568"/>
    <cellStyle name="20% - Accent3 3" xfId="569"/>
    <cellStyle name="Accent6 5" xfId="570"/>
    <cellStyle name="好_0502通海县 3" xfId="571"/>
    <cellStyle name="常规 3 2 7" xfId="572"/>
    <cellStyle name="60% - 强调文字颜色 3 9 2" xfId="573"/>
    <cellStyle name="标题 4 4 2" xfId="574"/>
    <cellStyle name="差_基础数据分析 2" xfId="575"/>
    <cellStyle name="差_不用软件计算9.1不考虑经费管理评价xl 5" xfId="576"/>
    <cellStyle name="Heading 1 5" xfId="577"/>
    <cellStyle name="好_11大理 8" xfId="578"/>
    <cellStyle name="Accent3 - 60% 6" xfId="579"/>
    <cellStyle name="差_1110洱源县 5" xfId="580"/>
    <cellStyle name="好_2009年一般性转移支付标准工资_~4190974 6" xfId="581"/>
    <cellStyle name="40% - Accent3 9" xfId="582"/>
    <cellStyle name="差_地方配套按人均增幅控制8.30xl 7" xfId="583"/>
    <cellStyle name="好_奖励补助测算5.24冯铸 4" xfId="584"/>
    <cellStyle name="Bad" xfId="585"/>
    <cellStyle name="常规_202551311112062" xfId="586"/>
    <cellStyle name="标题 3 5" xfId="587"/>
    <cellStyle name="好_地方配套按人均增幅控制8.30xl" xfId="588"/>
    <cellStyle name="40% - Accent2 5" xfId="589"/>
    <cellStyle name="百分比 2 9" xfId="590"/>
    <cellStyle name="差_2006年水利统计指标统计表 5" xfId="591"/>
    <cellStyle name="差_奖励补助测算5.23新 8" xfId="592"/>
    <cellStyle name="强调文字颜色 5 5" xfId="593"/>
    <cellStyle name="常规 3 3 7" xfId="594"/>
    <cellStyle name="差_2006年在职人员情况 7" xfId="595"/>
    <cellStyle name="Calc Currency (0)" xfId="596"/>
    <cellStyle name="60% - 强调文字颜色 5 6" xfId="597"/>
    <cellStyle name="常规 2 7 6" xfId="598"/>
    <cellStyle name="60% - 强调文字颜色 4 3 6" xfId="599"/>
    <cellStyle name="差_00省级(打印) 8" xfId="600"/>
    <cellStyle name="差_奖励补助测算7.25 (version 1) (version 1) 6" xfId="601"/>
    <cellStyle name="好_县级公安机关公用经费标准奖励测算方案（定稿） 4" xfId="602"/>
    <cellStyle name="强调文字颜色 5 2" xfId="603"/>
    <cellStyle name="差_奖励补助测算5.23新 5" xfId="604"/>
    <cellStyle name="差_Book1_1" xfId="605"/>
    <cellStyle name="20% - Accent6 8" xfId="606"/>
    <cellStyle name="60% - Accent1 6" xfId="607"/>
    <cellStyle name="60% - 强调文字颜色 1 8 2" xfId="608"/>
    <cellStyle name="_ET_STYLE_NoName_00__Sheet3" xfId="609"/>
    <cellStyle name="差_Book1_1 9" xfId="610"/>
    <cellStyle name="Moneda [0]_96 Risk" xfId="611"/>
    <cellStyle name="40% - 强调文字颜色 6 5" xfId="612"/>
    <cellStyle name="Good 3" xfId="613"/>
    <cellStyle name="差_2008云南省分县市中小学教职工统计表（教育厅提供） 8" xfId="614"/>
    <cellStyle name="千位分隔 4 3" xfId="615"/>
    <cellStyle name="40% - 强调文字颜色 2 6 2" xfId="616"/>
    <cellStyle name="60% - 强调文字颜色 1 5 2" xfId="617"/>
    <cellStyle name="Accent3_公安安全支出补充表5.14" xfId="618"/>
    <cellStyle name="差_下半年禁吸戒毒经费1000万元 3" xfId="619"/>
    <cellStyle name="40% - 强调文字颜色 5 2" xfId="620"/>
    <cellStyle name="Accent6 - 60%" xfId="621"/>
    <cellStyle name="差_2009年一般性转移支付标准工资_地方配套按人均增幅控制8.30一般预算平均增幅、人均可用财力平均增幅两次控制、社会治安系数调整、案件数调整xl 9" xfId="622"/>
    <cellStyle name="好_云南省2008年中小学教师人数统计表" xfId="623"/>
    <cellStyle name="60% - Accent6 5" xfId="624"/>
    <cellStyle name="后继超链接 3" xfId="625"/>
    <cellStyle name="差_Book1 2" xfId="626"/>
    <cellStyle name="Accent6_公安安全支出补充表5.14" xfId="627"/>
    <cellStyle name="好_地方配套按人均增幅控制8.31（调整结案率后）xl 2" xfId="628"/>
    <cellStyle name="常规_2011年全省各市主要指标排位" xfId="629"/>
    <cellStyle name="好_2009年一般性转移支付标准工资_奖励补助测算7.25 2" xfId="630"/>
    <cellStyle name="差_05玉溪 8" xfId="631"/>
    <cellStyle name="差_1110洱源县 8" xfId="632"/>
    <cellStyle name="Accent3 - 60% 9" xfId="633"/>
    <cellStyle name="Warning Text" xfId="634"/>
    <cellStyle name="好_2009年一般性转移支付标准工资_~4190974 9" xfId="635"/>
    <cellStyle name="Linked Cell 2" xfId="636"/>
    <cellStyle name="差_不用软件计算9.1不考虑经费管理评价xl 3" xfId="637"/>
    <cellStyle name="Heading 1 3" xfId="638"/>
    <cellStyle name="Accent5 - 60% 4" xfId="639"/>
    <cellStyle name="Calculation 6" xfId="640"/>
    <cellStyle name="数字 4" xfId="641"/>
    <cellStyle name="差_地方配套按人均增幅控制8.31（调整结案率后）xl 4" xfId="642"/>
    <cellStyle name="百分比 8" xfId="643"/>
    <cellStyle name="40% - 强调文字颜色 2 3 7" xfId="644"/>
    <cellStyle name="差_下半年禁吸戒毒经费1000万元" xfId="645"/>
    <cellStyle name="40% - 强调文字颜色 2 3 2" xfId="646"/>
    <cellStyle name="60% - 强调文字颜色 3 3 7" xfId="647"/>
    <cellStyle name="输入 7" xfId="648"/>
    <cellStyle name="20% - 强调文字颜色 1 9" xfId="649"/>
    <cellStyle name="差_义务教育阶段教职工人数（教育厅提供最终） 6" xfId="650"/>
    <cellStyle name="好_地方配套按人均增幅控制8.31（调整结案率后）xl" xfId="651"/>
    <cellStyle name="Accent1 - 20% 8" xfId="652"/>
    <cellStyle name="标题 1 4 2" xfId="653"/>
    <cellStyle name="差_2009年一般性转移支付标准工资_地方配套按人均增幅控制8.31（调整结案率后）xl 9" xfId="654"/>
    <cellStyle name="好_Book1_1 9" xfId="655"/>
    <cellStyle name="20% - 强调文字颜色 5 3" xfId="656"/>
    <cellStyle name="差_业务工作量指标" xfId="657"/>
    <cellStyle name="好_云南农村义务教育统计表 8" xfId="658"/>
    <cellStyle name="60% - 强调文字颜色 3 6 2" xfId="659"/>
    <cellStyle name="_分县1" xfId="660"/>
    <cellStyle name="差_0502通海县 3" xfId="661"/>
    <cellStyle name="20% - Accent5 2" xfId="662"/>
    <cellStyle name="百分比 3 7" xfId="663"/>
    <cellStyle name="40% - Accent3 3" xfId="664"/>
    <cellStyle name="_分县2" xfId="665"/>
    <cellStyle name="差_0502通海县 4" xfId="666"/>
    <cellStyle name="好_2009年一般性转移支付标准工资_奖励补助测算7.25 6" xfId="667"/>
    <cellStyle name="差_2009年一般性转移支付标准工资_奖励补助测算7.23 4" xfId="668"/>
    <cellStyle name="注释 3" xfId="669"/>
    <cellStyle name="好_财政供养人员 2" xfId="670"/>
    <cellStyle name="差_奖励补助测算7.23 4" xfId="671"/>
    <cellStyle name="60% - 强调文字颜色 2 3 3" xfId="672"/>
    <cellStyle name="Accent4 - 60% 4" xfId="673"/>
    <cellStyle name="20% - 强调文字颜色 1 9 2" xfId="674"/>
    <cellStyle name="输入 7 2" xfId="675"/>
    <cellStyle name="好_奖励补助测算7.25 (version 1) (version 1) 6" xfId="676"/>
    <cellStyle name="好_汇总 7" xfId="677"/>
    <cellStyle name="60% - Accent4 3" xfId="678"/>
    <cellStyle name="Accent6 - 60% 3" xfId="679"/>
    <cellStyle name="解释性文本 2" xfId="680"/>
    <cellStyle name="强调文字颜色 6 3 5" xfId="681"/>
    <cellStyle name="20% - 强调文字颜色 6 3 7" xfId="682"/>
    <cellStyle name="20% - 强调文字颜色 5 3 7" xfId="683"/>
    <cellStyle name="差_业务工作量指标 7" xfId="684"/>
    <cellStyle name="强调文字颜色 5 3 5" xfId="685"/>
    <cellStyle name="差_奖励补助测算5.24冯铸 8" xfId="686"/>
    <cellStyle name="差_530623_2006年县级财政报表附表 6" xfId="687"/>
    <cellStyle name="Input 2" xfId="688"/>
    <cellStyle name="Mon閠aire_!!!GO" xfId="689"/>
    <cellStyle name="60% - Accent6 9" xfId="690"/>
    <cellStyle name="汇总 3 4" xfId="691"/>
    <cellStyle name="60% - Accent6 2" xfId="692"/>
    <cellStyle name="千位分隔 2 2 7" xfId="693"/>
    <cellStyle name="常规_202247145842125" xfId="694"/>
    <cellStyle name="20% - 强调文字颜色 1 3 5" xfId="695"/>
    <cellStyle name="强调文字颜色 1 3 3" xfId="696"/>
    <cellStyle name="Accent2 - 40% 7" xfId="697"/>
    <cellStyle name="Accent5 - 60% 2" xfId="698"/>
    <cellStyle name="Calculation 4" xfId="699"/>
    <cellStyle name="数字 2" xfId="700"/>
    <cellStyle name="Accent6 3" xfId="701"/>
    <cellStyle name="40% - 强调文字颜色 2 3 5" xfId="702"/>
    <cellStyle name="检查单元格 3 7" xfId="703"/>
    <cellStyle name="40% - 强调文字颜色 2 10" xfId="704"/>
    <cellStyle name="差_基础数据分析 3" xfId="705"/>
    <cellStyle name="Heading 1 6" xfId="706"/>
    <cellStyle name="20% - Accent3 9" xfId="707"/>
    <cellStyle name="20% - 强调文字颜色 3 10" xfId="708"/>
    <cellStyle name="好_0502通海县 9" xfId="709"/>
    <cellStyle name="好_2009年一般性转移支付标准工资_不用软件计算9.1不考虑经费管理评价xl 4" xfId="710"/>
    <cellStyle name="20% - 强调文字颜色 5 4 2" xfId="711"/>
    <cellStyle name="千位分隔 2 6" xfId="712"/>
    <cellStyle name="强调文字颜色 6 3 6" xfId="713"/>
    <cellStyle name="常规 80" xfId="714"/>
    <cellStyle name="好_地方配套按人均增幅控制8.31（调整结案率后）xl 6" xfId="715"/>
    <cellStyle name="差_Book2 5" xfId="716"/>
    <cellStyle name="常规 3 3 8" xfId="717"/>
    <cellStyle name="差_2006年在职人员情况 8" xfId="718"/>
    <cellStyle name="差_Book1 6" xfId="719"/>
    <cellStyle name="差_5334_2006年迪庆县级财政报表附表 7" xfId="720"/>
    <cellStyle name="常规 10 2" xfId="721"/>
    <cellStyle name="好_县级公安机关公用经费标准奖励测算方案（定稿） 5" xfId="722"/>
    <cellStyle name="输入 9" xfId="723"/>
    <cellStyle name="Pourcentage_pldt" xfId="724"/>
    <cellStyle name="差_2、土地面积、人口、粮食产量基本情况 9" xfId="725"/>
    <cellStyle name="40% - 强调文字颜色 1 8" xfId="726"/>
    <cellStyle name="好 10" xfId="727"/>
    <cellStyle name="Accent6 - 20% 8" xfId="728"/>
    <cellStyle name="常规 2 2 5" xfId="729"/>
    <cellStyle name="差_奖励补助测算7.23 2" xfId="730"/>
    <cellStyle name="20% - Accent6 9" xfId="731"/>
    <cellStyle name="60% - Accent1 7" xfId="732"/>
    <cellStyle name="Heading 4 6" xfId="733"/>
    <cellStyle name="60% - 强调文字颜色 5 3 5" xfId="734"/>
    <cellStyle name="好_业务工作量指标 7" xfId="735"/>
    <cellStyle name="60% - 强调文字颜色 2 6 2" xfId="736"/>
    <cellStyle name="Warning Text 4" xfId="737"/>
    <cellStyle name="Accent5 3" xfId="738"/>
    <cellStyle name="20% - 强调文字颜色 6 9" xfId="739"/>
    <cellStyle name="好_教育厅提供义务教育及高中教师人数（2009年1月6日） 5" xfId="740"/>
    <cellStyle name="差_义务教育阶段教职工人数（教育厅提供最终） 3" xfId="741"/>
    <cellStyle name="20% - 强调文字颜色 1 6" xfId="742"/>
    <cellStyle name="输入 4" xfId="743"/>
    <cellStyle name="借出原因" xfId="744"/>
    <cellStyle name="常规 2 4 4" xfId="745"/>
    <cellStyle name="好_2、土地面积、人口、粮食产量基本情况 3" xfId="746"/>
    <cellStyle name="60% - 强调文字颜色 2 4" xfId="747"/>
    <cellStyle name="计算 9" xfId="748"/>
    <cellStyle name="40% - Accent1 5" xfId="749"/>
    <cellStyle name="差_奖励补助测算5.23新" xfId="750"/>
    <cellStyle name="百分比 2 5" xfId="751"/>
    <cellStyle name="Accent1 - 20%" xfId="752"/>
    <cellStyle name="好_2007年人员分部门统计表 2" xfId="753"/>
    <cellStyle name="60% - Accent4 8" xfId="754"/>
    <cellStyle name="好_M03 4" xfId="755"/>
    <cellStyle name="40% - Accent6 2" xfId="756"/>
    <cellStyle name="计算 3 4" xfId="757"/>
    <cellStyle name="差_1003牟定县 8" xfId="758"/>
    <cellStyle name="标题 6 3" xfId="759"/>
    <cellStyle name="Accent3 - 40% 7" xfId="760"/>
    <cellStyle name="常规 19 2" xfId="761"/>
    <cellStyle name="常规_分市5" xfId="762"/>
    <cellStyle name="注释 9" xfId="763"/>
    <cellStyle name="好_财政供养人员 8" xfId="764"/>
    <cellStyle name="好_~4190974 2" xfId="765"/>
    <cellStyle name="差_云南农村义务教育统计表 3" xfId="766"/>
    <cellStyle name="Heading 2 7" xfId="767"/>
    <cellStyle name="常规_2024109104733609" xfId="768"/>
    <cellStyle name="警告文本 3 2" xfId="769"/>
    <cellStyle name="差_县级公安机关公用经费标准奖励测算方案（定稿）" xfId="770"/>
    <cellStyle name="百分比 4 3" xfId="771"/>
    <cellStyle name="警告文本 3" xfId="772"/>
    <cellStyle name="Check Cell 9" xfId="773"/>
    <cellStyle name="Accent5 - 20% 5" xfId="774"/>
    <cellStyle name="40% - 强调文字颜色 5 5" xfId="775"/>
    <cellStyle name="40% - Accent6 8" xfId="776"/>
    <cellStyle name="常规 2 7 4" xfId="777"/>
    <cellStyle name="60% - 强调文字颜色 5 4" xfId="778"/>
    <cellStyle name="好_指标四" xfId="779"/>
    <cellStyle name="40% - Accent4 6" xfId="780"/>
    <cellStyle name="好_530629_2006年县级财政报表附表 6" xfId="781"/>
    <cellStyle name="计算 3 7" xfId="782"/>
    <cellStyle name="40% - Accent6 5" xfId="783"/>
    <cellStyle name="强调文字颜色 3 2" xfId="784"/>
    <cellStyle name="好_Book2 4" xfId="785"/>
    <cellStyle name="Accent2 - 40% 6" xfId="786"/>
    <cellStyle name="40% - Accent5 9" xfId="787"/>
    <cellStyle name="好_1003牟定县" xfId="788"/>
    <cellStyle name="差_下半年禁毒办案经费分配2544.3万元" xfId="789"/>
    <cellStyle name="差_2009年一般性转移支付标准工资_奖励补助测算7.25 (version 1) (version 1) 3" xfId="790"/>
    <cellStyle name="强调文字颜色 1 3 6" xfId="791"/>
    <cellStyle name="标题 3 2" xfId="792"/>
    <cellStyle name="40% - 强调文字颜色 4 3" xfId="793"/>
    <cellStyle name="好_2009年一般性转移支付标准工资_地方配套按人均增幅控制8.30一般预算平均增幅、人均可用财力平均增幅两次控制、社会治安系数调整、案件数调整xl 8" xfId="794"/>
    <cellStyle name="Accent3 - 40% 3" xfId="795"/>
    <cellStyle name="常规 3 2 9" xfId="796"/>
    <cellStyle name="常规 3 10" xfId="797"/>
    <cellStyle name="好_2009年一般性转移支付标准工资_地方配套按人均增幅控制8.30xl 8" xfId="798"/>
    <cellStyle name="好_Book2 2" xfId="799"/>
    <cellStyle name="好_2006年在职人员情况 8" xfId="800"/>
    <cellStyle name="常规 2 2 6" xfId="801"/>
    <cellStyle name="差_县级基础数据" xfId="802"/>
    <cellStyle name="60% - 强调文字颜色 6 3 2" xfId="803"/>
    <cellStyle name="Accent2 - 60% 7" xfId="804"/>
    <cellStyle name="输入 10" xfId="805"/>
    <cellStyle name="注释 2 6" xfId="806"/>
    <cellStyle name="Normal_3H8" xfId="807"/>
    <cellStyle name="20% - 强调文字颜色 5 10" xfId="808"/>
    <cellStyle name="60% - 强调文字颜色 1 3 2" xfId="809"/>
    <cellStyle name="好_第五部分(才淼、饶永宏） 9" xfId="810"/>
    <cellStyle name="警告文本 9 2" xfId="811"/>
    <cellStyle name="20% - 强调文字颜色 4 5" xfId="812"/>
    <cellStyle name="差_2009年一般性转移支付标准工资_奖励补助测算5.22测试 9" xfId="813"/>
    <cellStyle name="差_2009年一般性转移支付标准工资_不用软件计算9.1不考虑经费管理评价xl" xfId="814"/>
    <cellStyle name="强调文字颜色 2 4 2" xfId="815"/>
    <cellStyle name="60% - 强调文字颜色 4 4 2" xfId="816"/>
    <cellStyle name="40% - Accent6 7" xfId="817"/>
    <cellStyle name="差_~4190974 5" xfId="818"/>
    <cellStyle name="标题 5 3" xfId="819"/>
    <cellStyle name="好_2006年全省财力计算表（中央、决算） 8" xfId="820"/>
    <cellStyle name="常规_20258817259187" xfId="821"/>
    <cellStyle name="Accent5 - 20% 3" xfId="822"/>
    <cellStyle name="千位分隔 3 3" xfId="823"/>
    <cellStyle name="40% - 强调文字颜色 2 5 2" xfId="824"/>
    <cellStyle name="好_2009年一般性转移支付标准工资_奖励补助测算5.22测试 3" xfId="825"/>
    <cellStyle name="40% - 强调文字颜色 4 3 5" xfId="826"/>
    <cellStyle name="好_县级公安机关公用经费标准奖励测算方案（定稿） 7" xfId="827"/>
    <cellStyle name="Heading 2 4" xfId="828"/>
    <cellStyle name="Accent2 - 40% 9" xfId="829"/>
    <cellStyle name="好_00省级(打印) 9" xfId="830"/>
    <cellStyle name="差_2007年检察院案件数 5" xfId="831"/>
    <cellStyle name="标题 4 9 2" xfId="832"/>
    <cellStyle name="常规 3 3 6" xfId="833"/>
    <cellStyle name="差_2006年在职人员情况 6" xfId="834"/>
    <cellStyle name="20% - Accent2" xfId="835"/>
    <cellStyle name="差_2009年一般性转移支付标准工资_~5676413 6" xfId="836"/>
    <cellStyle name="Date" xfId="837"/>
    <cellStyle name="常规 41" xfId="838"/>
    <cellStyle name="常规 36" xfId="839"/>
    <cellStyle name="Accent4 - 40%" xfId="840"/>
    <cellStyle name="差_M01-2(州市补助收入) 5" xfId="841"/>
    <cellStyle name="差_00省级(打印) 9" xfId="842"/>
    <cellStyle name="差_奖励补助测算7.25 (version 1) (version 1) 7" xfId="843"/>
    <cellStyle name="40% - 强调文字颜色 3 5" xfId="844"/>
    <cellStyle name="好_奖励补助测算5.23新 8" xfId="845"/>
    <cellStyle name="好_00省级(打印) 5" xfId="846"/>
    <cellStyle name="Accent3 - 40% 8" xfId="847"/>
    <cellStyle name="标题 6 4" xfId="848"/>
    <cellStyle name="20% - Accent5 4" xfId="849"/>
    <cellStyle name="40% - 强调文字颜色 5 6 2" xfId="850"/>
    <cellStyle name="60% - 强调文字颜色 1 9 2" xfId="851"/>
    <cellStyle name="常规 5 2 2" xfId="852"/>
    <cellStyle name="标题 13" xfId="853"/>
    <cellStyle name="20% - 强调文字颜色 1 10" xfId="854"/>
    <cellStyle name="60% - Accent1 9" xfId="855"/>
    <cellStyle name="好_11大理 2" xfId="856"/>
    <cellStyle name="商品名称" xfId="857"/>
    <cellStyle name="解释性文本 10" xfId="858"/>
    <cellStyle name="40% - Accent5 7" xfId="859"/>
    <cellStyle name="Accent2 - 40% 4" xfId="860"/>
    <cellStyle name="差_M03 8" xfId="861"/>
    <cellStyle name="好_M03 2" xfId="862"/>
    <cellStyle name="60% - Accent4 6" xfId="863"/>
    <cellStyle name="差_云南省2008年中小学教职工情况（教育厅提供20090101加工整理） 2" xfId="864"/>
    <cellStyle name="差_0605石屏县 7" xfId="865"/>
    <cellStyle name="好_2009年一般性转移支付标准工资_地方配套按人均增幅控制8.31（调整结案率后）xl 6" xfId="866"/>
    <cellStyle name="常规 45" xfId="867"/>
    <cellStyle name="20% - Accent6" xfId="868"/>
    <cellStyle name="注释 2 8" xfId="869"/>
    <cellStyle name="差_2006年基础数据" xfId="870"/>
    <cellStyle name="40% - 强调文字颜色 2 7" xfId="871"/>
    <cellStyle name="Title 2" xfId="872"/>
    <cellStyle name="Accent4 - 40% 9" xfId="873"/>
    <cellStyle name="40% - 强调文字颜色 5 3 7" xfId="874"/>
    <cellStyle name="好_不用软件计算9.1不考虑经费管理评价xl 8" xfId="875"/>
    <cellStyle name="20% - Accent2 9" xfId="876"/>
    <cellStyle name="差_530629_2006年县级财政报表附表 6" xfId="877"/>
    <cellStyle name="20% - 强调文字颜色 5 5" xfId="878"/>
    <cellStyle name="Accent2 - 20% 9" xfId="879"/>
    <cellStyle name="20% - 强调文字颜色 3 3" xfId="880"/>
    <cellStyle name="Accent4 - 20%" xfId="881"/>
    <cellStyle name="60% - 强调文字颜色 2 3 2" xfId="882"/>
    <cellStyle name="Accent4 - 60% 3" xfId="883"/>
    <cellStyle name="强调文字颜色 4 3 7" xfId="884"/>
    <cellStyle name="好_2009年一般性转移支付标准工资_奖励补助测算7.23 8" xfId="885"/>
    <cellStyle name="差_高中教师人数（教育厅1.6日提供） 5" xfId="886"/>
    <cellStyle name="好_00省级(定稿) 4" xfId="887"/>
    <cellStyle name="comma zerodec" xfId="888"/>
    <cellStyle name="好_卫生部门 5" xfId="889"/>
    <cellStyle name="常规 6" xfId="890"/>
    <cellStyle name="千位分隔 3 6" xfId="891"/>
    <cellStyle name="PSSpacer" xfId="892"/>
    <cellStyle name="好_2008云南省分县市中小学教职工统计表（教育厅提供） 2" xfId="893"/>
    <cellStyle name="百分比 2" xfId="894"/>
    <cellStyle name="百分比 4 4" xfId="895"/>
    <cellStyle name="Accent5 - 20% 6" xfId="896"/>
    <cellStyle name="警告文本 4" xfId="897"/>
    <cellStyle name="标题 1 8" xfId="898"/>
    <cellStyle name="40% - 强调文字颜色 4 6" xfId="899"/>
    <cellStyle name="40% - 强调文字颜色 5 5 2" xfId="900"/>
    <cellStyle name="20% - Accent4 4" xfId="901"/>
    <cellStyle name="Accent3 - 40% 5" xfId="902"/>
    <cellStyle name="60% - Accent5 5" xfId="903"/>
    <cellStyle name="好_汇总-县级财政报表附表 4" xfId="904"/>
    <cellStyle name="强调文字颜色 5 9 2" xfId="905"/>
    <cellStyle name="Input 7" xfId="906"/>
    <cellStyle name="40% - 强调文字颜色 2 3" xfId="907"/>
    <cellStyle name="Accent6 - 60% 6" xfId="908"/>
    <cellStyle name="检查单元格 2" xfId="909"/>
    <cellStyle name="差_奖励补助测算7.25 9" xfId="910"/>
    <cellStyle name="标题 2 3 4" xfId="911"/>
    <cellStyle name="差_云南省2008年中小学教职工情况（教育厅提供20090101加工整理） 4" xfId="912"/>
    <cellStyle name="差_0605石屏县 9" xfId="913"/>
    <cellStyle name="好_2009年一般性转移支付标准工资_地方配套按人均增幅控制8.31（调整结案率后）xl 8" xfId="914"/>
    <cellStyle name="好_2008云南省分县市中小学教职工统计表（教育厅提供） 5" xfId="915"/>
    <cellStyle name="常规_20241515102731" xfId="916"/>
    <cellStyle name="标题 8" xfId="917"/>
    <cellStyle name="好_2006年基础数据 8" xfId="918"/>
    <cellStyle name="20% - 强调文字颜色 2 9 2" xfId="919"/>
    <cellStyle name="好_汇总-县级财政报表附表 3" xfId="920"/>
    <cellStyle name="常规 2" xfId="921"/>
    <cellStyle name="差_云南省2008年中小学教职工情况（教育厅提供20090101加工整理） 9" xfId="922"/>
    <cellStyle name="标题 4 5 2" xfId="923"/>
    <cellStyle name="差_03昭通 5" xfId="924"/>
    <cellStyle name="标题 4 8" xfId="925"/>
    <cellStyle name="Title 7" xfId="926"/>
    <cellStyle name="60% - 强调文字颜色 5 10" xfId="927"/>
    <cellStyle name="60% - Accent6 3" xfId="928"/>
    <cellStyle name="差_云南省2008年中小学教职工情况（教育厅提供20090101加工整理） 8" xfId="929"/>
    <cellStyle name="差_03昭通 4" xfId="930"/>
    <cellStyle name="差_地方配套按人均增幅控制8.30一般预算平均增幅、人均可用财力平均增幅两次控制、社会治安系数调整、案件数调整xl 4" xfId="931"/>
    <cellStyle name="好_业务工作量指标 5" xfId="932"/>
    <cellStyle name="60% - 强调文字颜色 5 3 3" xfId="933"/>
    <cellStyle name="Heading 4 4" xfId="934"/>
    <cellStyle name="计算 6 2" xfId="935"/>
    <cellStyle name="标题 4 3 7" xfId="936"/>
    <cellStyle name="好_05玉溪 9" xfId="937"/>
    <cellStyle name="差_2009年一般性转移支付标准工资_奖励补助测算7.25 2" xfId="938"/>
    <cellStyle name="强调 2" xfId="939"/>
    <cellStyle name="20% - 强调文字颜色 6 7 2" xfId="940"/>
    <cellStyle name="60% - Accent3 4" xfId="941"/>
    <cellStyle name="差_汇总-县级财政报表附表 5" xfId="942"/>
    <cellStyle name="Accent6 - 60% 2" xfId="943"/>
    <cellStyle name="好_第五部分(才淼、饶永宏） 4" xfId="944"/>
    <cellStyle name="Accent1 - 60% 2" xfId="945"/>
    <cellStyle name="差_Book1 5" xfId="946"/>
    <cellStyle name="好_云南农村义务教育统计表" xfId="947"/>
    <cellStyle name="好_Book1 4" xfId="948"/>
    <cellStyle name="强调文字颜色 2 2" xfId="949"/>
    <cellStyle name="Linked Cell 8" xfId="950"/>
    <cellStyle name="好_云南省2008年中小学教职工情况（教育厅提供20090101加工整理） 6" xfId="951"/>
    <cellStyle name="标题 1 5" xfId="952"/>
    <cellStyle name="Linked Cell" xfId="953"/>
    <cellStyle name="常规 3 2 6" xfId="954"/>
    <cellStyle name="60% - 强调文字颜色 1 4 2" xfId="955"/>
    <cellStyle name="Accent3 5" xfId="956"/>
    <cellStyle name="好_5334_2006年迪庆县级财政报表附表" xfId="957"/>
    <cellStyle name="差_Book1_1 7" xfId="958"/>
    <cellStyle name="60% - 强调文字颜色 1 10" xfId="959"/>
    <cellStyle name="小数" xfId="960"/>
    <cellStyle name="差_2009年一般性转移支付标准工资_奖励补助测算7.23 5" xfId="961"/>
    <cellStyle name="好_2009年一般性转移支付标准工资_不用软件计算9.1不考虑经费管理评价xl 9" xfId="962"/>
    <cellStyle name="千分位_ 白土" xfId="963"/>
    <cellStyle name="好_教育厅提供义务教育及高中教师人数（2009年1月6日） 6" xfId="964"/>
    <cellStyle name="解释性文本 3 2" xfId="965"/>
    <cellStyle name="汇总 8 2" xfId="966"/>
    <cellStyle name="好_汇总-县级财政报表附表 6" xfId="967"/>
    <cellStyle name="标题 10" xfId="968"/>
    <cellStyle name="警告文本 3 3" xfId="969"/>
    <cellStyle name="Accent3" xfId="970"/>
    <cellStyle name="20% - 强调文字颜色 5 6" xfId="971"/>
    <cellStyle name="捠壿_Region Orders (2)" xfId="972"/>
    <cellStyle name="差_5334_2006年迪庆县级财政报表附表 4" xfId="973"/>
    <cellStyle name="常规 5 9" xfId="974"/>
    <cellStyle name="差_2009年一般性转移支付标准工资_奖励补助测算5.22测试 7" xfId="975"/>
    <cellStyle name="Title 4" xfId="976"/>
    <cellStyle name="40% - 强调文字颜色 2 9" xfId="977"/>
    <cellStyle name="差_2006年全省财力计算表（中央、决算） 3" xfId="978"/>
    <cellStyle name="强调文字颜色 3 3" xfId="979"/>
    <cellStyle name="好_Book2 5" xfId="980"/>
    <cellStyle name="Neutral 9" xfId="981"/>
    <cellStyle name="差_Book1_1 6" xfId="982"/>
    <cellStyle name="差_云南省2008年转移支付测算——州市本级考核部分及政策性测算 2" xfId="983"/>
    <cellStyle name="常规_20245791243234" xfId="984"/>
    <cellStyle name="差_基础数据分析" xfId="985"/>
    <cellStyle name="强调文字颜色 6 7 2" xfId="986"/>
    <cellStyle name="常规 5 2 3" xfId="987"/>
    <cellStyle name="40% - 强调文字颜色 6 9 2" xfId="988"/>
    <cellStyle name="标题 2 2" xfId="989"/>
    <cellStyle name="差_县级公安机关公用经费标准奖励测算方案（定稿） 8" xfId="990"/>
    <cellStyle name="常规_20245791246125" xfId="991"/>
    <cellStyle name="警告文本 3 4" xfId="992"/>
    <cellStyle name="Accent6 - 20% 4" xfId="993"/>
    <cellStyle name="40% - 强调文字颜色 1 4" xfId="994"/>
    <cellStyle name="好_00省级(定稿) 3" xfId="995"/>
    <cellStyle name="40% - 强调文字颜色 5 3" xfId="996"/>
    <cellStyle name="40% - Accent6 3" xfId="997"/>
    <cellStyle name="差_1003牟定县 9" xfId="998"/>
    <cellStyle name="计算 3 5" xfId="999"/>
    <cellStyle name="好_2007年政法部门业务指标" xfId="1000"/>
    <cellStyle name="40% - 强调文字颜色 6 4" xfId="1001"/>
    <cellStyle name="Good 2" xfId="1002"/>
    <cellStyle name="好_05玉溪 5" xfId="1003"/>
    <cellStyle name="60% - 强调文字颜色 5 7 2" xfId="1004"/>
    <cellStyle name="标题 4 3 3" xfId="1005"/>
    <cellStyle name="60% - Accent6 6" xfId="1006"/>
    <cellStyle name="差_00省级(定稿) 2" xfId="1007"/>
    <cellStyle name="差_2007年政法部门业务指标 4" xfId="1008"/>
    <cellStyle name="Dollar (zero dec)" xfId="1009"/>
    <cellStyle name="注释 2 5" xfId="1010"/>
    <cellStyle name="20% - 强调文字颜色 6 9 2" xfId="1011"/>
    <cellStyle name="60% - Accent4 2" xfId="1012"/>
    <cellStyle name="好_汇总 6" xfId="1013"/>
    <cellStyle name="好_奖励补助测算7.25 (version 1) (version 1) 5" xfId="1014"/>
    <cellStyle name="20% - 强调文字颜色 5 7 2" xfId="1015"/>
    <cellStyle name="好_M03 8" xfId="1016"/>
    <cellStyle name="Accent4 2" xfId="1017"/>
    <cellStyle name="注释 8" xfId="1018"/>
    <cellStyle name="好_财政供养人员 7" xfId="1019"/>
    <cellStyle name="常规 3 2" xfId="1020"/>
    <cellStyle name="差_2009年一般性转移支付标准工资_地方配套按人均增幅控制8.30xl 3" xfId="1021"/>
    <cellStyle name="差_11大理 5" xfId="1022"/>
    <cellStyle name="Heading 2 2" xfId="1023"/>
    <cellStyle name="20% - Accent4 5" xfId="1024"/>
    <cellStyle name="好_基础数据分析 3" xfId="1025"/>
    <cellStyle name="60% - 强调文字颜色 4 6 2" xfId="1026"/>
    <cellStyle name="20% - 强调文字颜色 2 3 2" xfId="1027"/>
    <cellStyle name="Fixed" xfId="1028"/>
    <cellStyle name="20% - 强调文字颜色 6 4 2" xfId="1029"/>
    <cellStyle name="Accent3 - 40% 2" xfId="1030"/>
    <cellStyle name="强调文字颜色 1 6 2" xfId="1031"/>
    <cellStyle name="常规 3 2 8" xfId="1032"/>
    <cellStyle name="常规_2023101016536921" xfId="1033"/>
    <cellStyle name="强调文字颜色 3 8 2" xfId="1034"/>
    <cellStyle name="好_2007年检察院案件数 2" xfId="1035"/>
    <cellStyle name="常规 6 8" xfId="1036"/>
    <cellStyle name="Accent3 - 20% 6" xfId="1037"/>
    <cellStyle name="40% - Accent1" xfId="1038"/>
    <cellStyle name="HEADING2" xfId="1039"/>
    <cellStyle name="好_2009年一般性转移支付标准工资_~5676413 5" xfId="1040"/>
    <cellStyle name="强调文字颜色 6 3 4" xfId="1041"/>
    <cellStyle name="常规 73" xfId="1042"/>
    <cellStyle name="40% - 强调文字颜色 1 3 7" xfId="1043"/>
    <cellStyle name="20% - 强调文字颜色 6 3 6" xfId="1044"/>
    <cellStyle name="警告文本 3 7" xfId="1045"/>
    <cellStyle name="注释 5 2" xfId="1046"/>
    <cellStyle name="Linked Cell 7" xfId="1047"/>
    <cellStyle name="好_云南省2008年中小学教职工情况（教育厅提供20090101加工整理） 5" xfId="1048"/>
    <cellStyle name="好_义务教育阶段教职工人数（教育厅提供最终） 6" xfId="1049"/>
    <cellStyle name="20% - 强调文字颜色 2 3 3" xfId="1050"/>
    <cellStyle name="Note 9" xfId="1051"/>
    <cellStyle name="好_2007年政法部门业务指标 7" xfId="1052"/>
    <cellStyle name="常规 8 4" xfId="1053"/>
    <cellStyle name="差_汇总 4" xfId="1054"/>
    <cellStyle name="20% - Accent5 5" xfId="1055"/>
    <cellStyle name="Accent3 - 40% 9" xfId="1056"/>
    <cellStyle name="标题 6 5" xfId="1057"/>
    <cellStyle name="好_2007年人员分部门统计表 6" xfId="1058"/>
    <cellStyle name="标题 3 9 2" xfId="1059"/>
    <cellStyle name="警告文本 8" xfId="1060"/>
    <cellStyle name="差_云南农村义务教育统计表 2" xfId="1061"/>
    <cellStyle name="통화_BOILER-CO1" xfId="1062"/>
    <cellStyle name="强调文字颜色 1 8 2" xfId="1063"/>
    <cellStyle name="差_2009年一般性转移支付标准工资_奖励补助测算7.23 3" xfId="1064"/>
    <cellStyle name="注释 2" xfId="1065"/>
    <cellStyle name="好_2007年检察院案件数 4" xfId="1066"/>
    <cellStyle name="好_03昭通 8" xfId="1067"/>
    <cellStyle name="Note 2" xfId="1068"/>
    <cellStyle name="好_云南省2008年转移支付测算——州市本级考核部分及政策性测算 8" xfId="1069"/>
    <cellStyle name="60% - Accent2 3" xfId="1070"/>
    <cellStyle name="好_1110洱源县 6" xfId="1071"/>
    <cellStyle name="好_义务教育阶段教职工人数（教育厅提供最终） 7" xfId="1072"/>
    <cellStyle name="Accent2 - 20% 7" xfId="1073"/>
    <cellStyle name="好_地方配套按人均增幅控制8.30xl 4" xfId="1074"/>
    <cellStyle name="40% - 强调文字颜色 6 3" xfId="1075"/>
    <cellStyle name="40% - Accent1 2" xfId="1076"/>
    <cellStyle name="计算 6" xfId="1077"/>
    <cellStyle name="差_2006年全省财力计算表（中央、决算）" xfId="1078"/>
    <cellStyle name="链接单元格 6 2" xfId="1079"/>
    <cellStyle name="差_530623_2006年县级财政报表附表 5" xfId="1080"/>
    <cellStyle name="常规_2001-2002年报表制度" xfId="1081"/>
    <cellStyle name="20% - 强调文字颜色 1 3 2" xfId="1082"/>
    <cellStyle name="差_汇总 6" xfId="1083"/>
    <cellStyle name="Good 6" xfId="1084"/>
    <cellStyle name="Accent3 - 20% 9" xfId="1085"/>
    <cellStyle name="差_2008云南省分县市中小学教职工统计表（教育厅提供） 7" xfId="1086"/>
    <cellStyle name="20% - 强调文字颜色 4 6 2" xfId="1087"/>
    <cellStyle name="差_奖励补助测算7.23 3" xfId="1088"/>
    <cellStyle name="40% - 强调文字颜色 1 9" xfId="1089"/>
    <cellStyle name="Accent6 - 20% 9" xfId="1090"/>
    <cellStyle name="好_2009年一般性转移支付标准工资_地方配套按人均增幅控制8.31（调整结案率后）xl 3" xfId="1091"/>
    <cellStyle name="差_0605石屏县 4" xfId="1092"/>
    <cellStyle name="20% - Accent4 8" xfId="1093"/>
    <cellStyle name="后继超链接 7" xfId="1094"/>
    <cellStyle name="Title 5" xfId="1095"/>
    <cellStyle name="差_2006年全省财力计算表（中央、决算） 4" xfId="1096"/>
    <cellStyle name="40% - 强调文字颜色 6 3 7" xfId="1097"/>
    <cellStyle name="好_530623_2006年县级财政报表附表 7" xfId="1098"/>
    <cellStyle name="20% - 强调文字颜色 6 3" xfId="1099"/>
    <cellStyle name="60% - 强调文字颜色 3 4" xfId="1100"/>
    <cellStyle name="常规 2 5 4" xfId="1101"/>
    <cellStyle name="差_云南省2008年转移支付测算——州市本级考核部分及政策性测算 5" xfId="1102"/>
    <cellStyle name="寘嬫愗傝 [0.00]_Region Orders (2)" xfId="1103"/>
    <cellStyle name="好_530623_2006年县级财政报表附表 3" xfId="1104"/>
    <cellStyle name="好_义务教育阶段教职工人数（教育厅提供最终） 3" xfId="1105"/>
    <cellStyle name="差_教育厅提供义务教育及高中教师人数（2009年1月6日） 9" xfId="1106"/>
    <cellStyle name="差_2009年一般性转移支付标准工资_奖励补助测算5.24冯铸 8" xfId="1107"/>
    <cellStyle name="60% - Accent6 8" xfId="1108"/>
    <cellStyle name="常规 2 5 2" xfId="1109"/>
    <cellStyle name="60% - 强调文字颜色 3 2" xfId="1110"/>
    <cellStyle name="20% - 强调文字颜色 2 9" xfId="1111"/>
    <cellStyle name="20% - 强调文字颜色 2 8" xfId="1112"/>
    <cellStyle name="20% - Accent5 8" xfId="1113"/>
    <cellStyle name="差_2009年一般性转移支付标准工资_不用软件计算9.1不考虑经费管理评价xl 6" xfId="1114"/>
    <cellStyle name="好_三季度－表二 6" xfId="1115"/>
    <cellStyle name="Calculation 5" xfId="1116"/>
    <cellStyle name="数字 3" xfId="1117"/>
    <cellStyle name="Accent5 - 60% 3" xfId="1118"/>
    <cellStyle name="40% - Accent5" xfId="1119"/>
    <cellStyle name="60% - Accent2 5" xfId="1120"/>
    <cellStyle name="Accent4 - 60% 9" xfId="1121"/>
    <cellStyle name="好_2006年全省财力计算表（中央、决算） 5" xfId="1122"/>
    <cellStyle name="Explanatory Text 4" xfId="1123"/>
    <cellStyle name="好_文体广播部门" xfId="1124"/>
    <cellStyle name="好_奖励补助测算7.25 (version 1) (version 1) 7" xfId="1125"/>
    <cellStyle name="好_汇总 8" xfId="1126"/>
    <cellStyle name="好_云南农村义务教育统计表 6" xfId="1127"/>
    <cellStyle name="好_地方配套按人均增幅控制8.30xl 5" xfId="1128"/>
    <cellStyle name="60% - 强调文字颜色 2 8 2" xfId="1129"/>
    <cellStyle name="Accent1 - 20% 9" xfId="1130"/>
    <cellStyle name="60% - Accent3 6" xfId="1131"/>
    <cellStyle name="差_汇总-县级财政报表附表 7" xfId="1132"/>
    <cellStyle name="差_M03" xfId="1133"/>
    <cellStyle name="20% - 强调文字颜色 2 7 2" xfId="1134"/>
    <cellStyle name="好_Book1" xfId="1135"/>
    <cellStyle name="Heading 1 7" xfId="1136"/>
    <cellStyle name="40% - Accent3" xfId="1137"/>
    <cellStyle name="20% - 强调文字颜色 2 3" xfId="1138"/>
    <cellStyle name="20% - 强调文字颜色 5 9" xfId="1139"/>
    <cellStyle name="Accent4 3" xfId="1140"/>
    <cellStyle name="Explanatory Text 6" xfId="1141"/>
    <cellStyle name="好_奖励补助测算7.25 (version 1) (version 1) 9" xfId="1142"/>
    <cellStyle name="常规 2 10" xfId="1143"/>
    <cellStyle name="输出 2" xfId="1144"/>
    <cellStyle name="强调文字颜色 5 6" xfId="1145"/>
    <cellStyle name="差_奖励补助测算5.23新 9" xfId="1146"/>
    <cellStyle name="好_奖励补助测算5.23新 2" xfId="1147"/>
    <cellStyle name="百分比 2 2" xfId="1148"/>
    <cellStyle name="输出 7 2" xfId="1149"/>
    <cellStyle name="好_M01-2(州市补助收入) 2" xfId="1150"/>
    <cellStyle name="千位分隔 2 2 8" xfId="1151"/>
    <cellStyle name="小数 5" xfId="1152"/>
    <cellStyle name="常规 2 7 8" xfId="1153"/>
    <cellStyle name="60% - 强调文字颜色 5 8" xfId="1154"/>
    <cellStyle name="40% - 强调文字颜色 2 2" xfId="1155"/>
    <cellStyle name="Input 6" xfId="1156"/>
    <cellStyle name="20% - 强调文字颜色 4 6" xfId="1157"/>
    <cellStyle name="6mal" xfId="1158"/>
    <cellStyle name="好_2009年一般性转移支付标准工资_~4190974 7" xfId="1159"/>
    <cellStyle name="40% - 强调文字颜色 4 6 2" xfId="1160"/>
    <cellStyle name="差_下半年禁吸戒毒经费1000万元 4" xfId="1161"/>
    <cellStyle name="警告文本 3 5" xfId="1162"/>
    <cellStyle name="好 3 4" xfId="1163"/>
    <cellStyle name="40% - 强调文字颜色 6 10" xfId="1164"/>
    <cellStyle name="常规 2 6 4" xfId="1165"/>
    <cellStyle name="60% - 强调文字颜色 4 4" xfId="1166"/>
    <cellStyle name="好_2009年一般性转移支付标准工资 3" xfId="1167"/>
    <cellStyle name="好_05玉溪" xfId="1168"/>
    <cellStyle name="差_奖励补助测算5.23新 3" xfId="1169"/>
    <cellStyle name="差 3 7" xfId="1170"/>
    <cellStyle name="差_11大理" xfId="1171"/>
    <cellStyle name="百分比 3 5" xfId="1172"/>
    <cellStyle name="40% - 强调文字颜色 4 8 2" xfId="1173"/>
    <cellStyle name="好_奖励补助测算5.24冯铸 9" xfId="1174"/>
    <cellStyle name="Accent1 7" xfId="1175"/>
    <cellStyle name="40% - Accent4 7" xfId="1176"/>
    <cellStyle name="百分比 10 2" xfId="1177"/>
    <cellStyle name="好_2009年一般性转移支付标准工资_奖励补助测算7.23 9" xfId="1178"/>
    <cellStyle name="差_高中教师人数（教育厅1.6日提供） 6" xfId="1179"/>
    <cellStyle name="差_第五部分(才淼、饶永宏） 8" xfId="1180"/>
    <cellStyle name="Accent3 2" xfId="1181"/>
    <cellStyle name="20% - 强调文字颜色 4 8" xfId="1182"/>
    <cellStyle name="输出 9" xfId="1183"/>
    <cellStyle name="标题 2 5 2" xfId="1184"/>
    <cellStyle name="百分比 4" xfId="1185"/>
    <cellStyle name="适中 8" xfId="1186"/>
    <cellStyle name="好_云南省2008年转移支付测算——州市本级考核部分及政策性测算 3" xfId="1187"/>
    <cellStyle name="40% - 强调文字颜色 3 5 2" xfId="1188"/>
    <cellStyle name="40% - 强调文字颜色 2 3 3" xfId="1189"/>
    <cellStyle name="Accent2 - 60% 5" xfId="1190"/>
    <cellStyle name="差_2006年基础数据 8" xfId="1191"/>
    <cellStyle name="差_2009年一般性转移支付标准工资 9" xfId="1192"/>
    <cellStyle name="差_奖励补助测算7.25 (version 1) (version 1) 3" xfId="1193"/>
    <cellStyle name="差_00省级(打印) 5" xfId="1194"/>
    <cellStyle name="Accent2 - 60% 6" xfId="1195"/>
    <cellStyle name="强调文字颜色 6 6 2" xfId="1196"/>
    <cellStyle name="差_M03 9" xfId="1197"/>
    <cellStyle name="差_2、土地面积、人口、粮食产量基本情况" xfId="1198"/>
    <cellStyle name="Input 3" xfId="1199"/>
    <cellStyle name="警告文本 5 2" xfId="1200"/>
    <cellStyle name="Accent2 - 20% 6" xfId="1201"/>
    <cellStyle name="60% - Accent4 5" xfId="1202"/>
    <cellStyle name="Output 5" xfId="1203"/>
    <cellStyle name="Accent2 7" xfId="1204"/>
    <cellStyle name="_ET_STYLE_NoName_00_" xfId="1205"/>
    <cellStyle name="60% - 强调文字颜色 4 3 3" xfId="1206"/>
    <cellStyle name="Accent2 - 20% 5" xfId="1207"/>
    <cellStyle name="差_奖励补助测算7.25 8" xfId="1208"/>
    <cellStyle name="60% - 强调文字颜色 3 7 2" xfId="1209"/>
    <cellStyle name="标题 2 3 3" xfId="1210"/>
    <cellStyle name="好_2009年一般性转移支付标准工资_不用软件计算9.1不考虑经费管理评价xl 2" xfId="1211"/>
    <cellStyle name="适中 3" xfId="1212"/>
    <cellStyle name="强调文字颜色 4 8" xfId="1213"/>
    <cellStyle name="差_2008云南省分县市中小学教职工统计表（教育厅提供） 5" xfId="1214"/>
    <cellStyle name="差_03昭通 9" xfId="1215"/>
    <cellStyle name="差_2009年一般性转移支付标准工资_奖励补助测算7.25 (version 1) (version 1) 6" xfId="1216"/>
    <cellStyle name="常规 8 5" xfId="1217"/>
    <cellStyle name="好_2006年水利统计指标统计表 6" xfId="1218"/>
    <cellStyle name="汇总 7" xfId="1219"/>
    <cellStyle name="Accent3 - 20% 8" xfId="1220"/>
    <cellStyle name="日期" xfId="1221"/>
    <cellStyle name="60% - 强调文字颜色 3 3 5" xfId="1222"/>
    <cellStyle name="표준_0N-HANDLING " xfId="1223"/>
    <cellStyle name="Accent2 6" xfId="1224"/>
    <cellStyle name="60% - 强调文字颜色 1 3 3" xfId="1225"/>
    <cellStyle name="40% - 强调文字颜色 6 3 2" xfId="1226"/>
    <cellStyle name="标题 7" xfId="1227"/>
    <cellStyle name="好_2006年基础数据 7" xfId="1228"/>
    <cellStyle name="差_5334_2006年迪庆县级财政报表附表" xfId="1229"/>
    <cellStyle name="40% - 强调文字颜色 6 7" xfId="1230"/>
    <cellStyle name="Good 5" xfId="1231"/>
    <cellStyle name="好_检验表（调整后）" xfId="1232"/>
    <cellStyle name="标题 9" xfId="1233"/>
    <cellStyle name="好_2006年基础数据 9" xfId="1234"/>
    <cellStyle name="Check Cell 7" xfId="1235"/>
    <cellStyle name="40% - 强调文字颜色 6 5 2" xfId="1236"/>
    <cellStyle name="差_2006年全省财力计算表（中央、决算） 5" xfId="1237"/>
    <cellStyle name="百分比 7" xfId="1238"/>
    <cellStyle name="好_2009年一般性转移支付标准工资_~5676413 8" xfId="1239"/>
    <cellStyle name="差_2008云南省分县市中小学教职工统计表（教育厅提供）" xfId="1240"/>
    <cellStyle name="好_财政供养人员 9" xfId="1241"/>
    <cellStyle name="40% - 强调文字颜色 4 9" xfId="1242"/>
    <cellStyle name="表标题 4" xfId="1243"/>
    <cellStyle name="差_2009年一般性转移支付标准工资_地方配套按人均增幅控制8.30xl 7" xfId="1244"/>
    <cellStyle name="差_11大理 9" xfId="1245"/>
    <cellStyle name="20% - Accent4 9" xfId="1246"/>
    <cellStyle name="好_2009年一般性转移支付标准工资_地方配套按人均增幅控制8.31（调整结案率后）xl 4" xfId="1247"/>
    <cellStyle name="差_0605石屏县 5" xfId="1248"/>
    <cellStyle name="差_奖励补助测算7.25 4" xfId="1249"/>
    <cellStyle name="Comma [0]" xfId="1250"/>
    <cellStyle name="_Book1_1" xfId="1251"/>
    <cellStyle name="60% - 强调文字颜色 3 10" xfId="1252"/>
    <cellStyle name="Warning Text 3" xfId="1253"/>
    <cellStyle name="Accent5 2" xfId="1254"/>
    <cellStyle name="40% - Accent2 3" xfId="1255"/>
    <cellStyle name="差_2006年水利统计指标统计表 3" xfId="1256"/>
    <cellStyle name="百分比 2 7" xfId="1257"/>
    <cellStyle name="20% - 强调文字颜色 3 5 2" xfId="1258"/>
    <cellStyle name="常规 3 6" xfId="1259"/>
    <cellStyle name="标题 1 8 2" xfId="1260"/>
    <cellStyle name="好_第五部分(才淼、饶永宏） 7" xfId="1261"/>
    <cellStyle name="差_0605石屏县 2" xfId="1262"/>
    <cellStyle name="20% - Accent4 6" xfId="1263"/>
    <cellStyle name="_Book1" xfId="1264"/>
    <cellStyle name="输入 4 2" xfId="1265"/>
    <cellStyle name="20% - 强调文字颜色 1 6 2" xfId="1266"/>
    <cellStyle name="Accent2 - 20% 4" xfId="1267"/>
    <cellStyle name="好_530629_2006年县级财政报表附表" xfId="1268"/>
    <cellStyle name="强调文字颜色 2 9 2" xfId="1269"/>
    <cellStyle name="好_11大理 7" xfId="1270"/>
    <cellStyle name="百分比 3 6" xfId="1271"/>
    <cellStyle name="40% - Accent3 2" xfId="1272"/>
    <cellStyle name="标题 1 3" xfId="1273"/>
    <cellStyle name="Accent1 - 60% 9" xfId="1274"/>
    <cellStyle name="60% - 强调文字颜色 6 8 2" xfId="1275"/>
    <cellStyle name="差_2009年一般性转移支付标准工资_奖励补助测算5.22测试 5" xfId="1276"/>
    <cellStyle name="常规 5 7" xfId="1277"/>
    <cellStyle name="PSHeading" xfId="1278"/>
    <cellStyle name="常规 34" xfId="1279"/>
    <cellStyle name="常规 29" xfId="1280"/>
    <cellStyle name="差_2009年一般性转移支付标准工资_~5676413 4" xfId="1281"/>
    <cellStyle name="20% - 强调文字颜色 1 3 3" xfId="1282"/>
    <cellStyle name="适中 3 4" xfId="1283"/>
    <cellStyle name="差_2009年一般性转移支付标准工资_~4190974 6" xfId="1284"/>
    <cellStyle name="好_第五部分(才淼、饶永宏） 6" xfId="1285"/>
    <cellStyle name="20% - 强调文字颜色 4 2" xfId="1286"/>
    <cellStyle name="差_第五部分(才淼、饶永宏） 2" xfId="1287"/>
    <cellStyle name="差_00省级(定稿) 6" xfId="1288"/>
    <cellStyle name="差_2007年政法部门业务指标 8" xfId="1289"/>
    <cellStyle name="好_0605石屏县 8" xfId="1290"/>
    <cellStyle name="检查单元格 3 5" xfId="1291"/>
    <cellStyle name="Accent6 - 40% 6" xfId="1292"/>
    <cellStyle name="常规 7 7" xfId="1293"/>
    <cellStyle name="差_~4190974 8" xfId="1294"/>
    <cellStyle name="标题 5 6" xfId="1295"/>
    <cellStyle name="差_M01-2(州市补助收入) 3" xfId="1296"/>
    <cellStyle name="解释性文本 3 6" xfId="1297"/>
    <cellStyle name="Accent2 - 60% 8" xfId="1298"/>
    <cellStyle name="60% - 强调文字颜色 3 3 3" xfId="1299"/>
    <cellStyle name="输出 6 2" xfId="1300"/>
    <cellStyle name="常规_农业生产情况" xfId="1301"/>
    <cellStyle name="差_2007年人员分部门统计表 3" xfId="1302"/>
    <cellStyle name="差_Book2 2" xfId="1303"/>
    <cellStyle name="好_地方配套按人均增幅控制8.31（调整结案率后）xl 3" xfId="1304"/>
    <cellStyle name="Accent1 - 60%" xfId="1305"/>
    <cellStyle name="Output 9" xfId="1306"/>
    <cellStyle name="60% - 强调文字颜色 6 4 2" xfId="1307"/>
    <cellStyle name="差_2007年检察院案件数 2" xfId="1308"/>
    <cellStyle name="好_~5676413 6" xfId="1309"/>
    <cellStyle name="标题 3 7 2" xfId="1310"/>
    <cellStyle name="Explanatory Text" xfId="1311"/>
    <cellStyle name="差_2006年在职人员情况 5" xfId="1312"/>
    <cellStyle name="常规 3 3 5" xfId="1313"/>
    <cellStyle name="60% - Accent6 4" xfId="1314"/>
    <cellStyle name="Accent5 - 20%" xfId="1315"/>
    <cellStyle name="好_奖励补助测算7.25 8" xfId="1316"/>
    <cellStyle name="20% - 强调文字颜色 4 3" xfId="1317"/>
    <cellStyle name="20% - Accent4 2" xfId="1318"/>
    <cellStyle name="标题 6 2" xfId="1319"/>
    <cellStyle name="Accent3 - 40% 6" xfId="1320"/>
    <cellStyle name="注释 3 7" xfId="1321"/>
    <cellStyle name="差_县级公安机关公用经费标准奖励测算方案（定稿） 7" xfId="1322"/>
    <cellStyle name="40% - 强调文字颜色 3 4 2" xfId="1323"/>
    <cellStyle name="差_2007年检察院案件数 4" xfId="1324"/>
    <cellStyle name="差_地方配套按人均增幅控制8.31（调整结案率后）xl 5" xfId="1325"/>
    <cellStyle name="Calculation 7" xfId="1326"/>
    <cellStyle name="Accent5 - 60% 5" xfId="1327"/>
    <cellStyle name="数字 5" xfId="1328"/>
    <cellStyle name="标题 2 3 7" xfId="1329"/>
    <cellStyle name="检查单元格 5" xfId="1330"/>
    <cellStyle name="标题 2 7 2" xfId="1331"/>
    <cellStyle name="小数 3" xfId="1332"/>
    <cellStyle name="New Times Roman" xfId="1333"/>
    <cellStyle name="60% - 强调文字颜色 3 4 2" xfId="1334"/>
    <cellStyle name="20% - Accent3 2" xfId="1335"/>
    <cellStyle name="好_0502通海县 2" xfId="1336"/>
    <cellStyle name="Accent6 4" xfId="1337"/>
    <cellStyle name="Accent5 4" xfId="1338"/>
    <cellStyle name="20% - Accent2 2" xfId="1339"/>
    <cellStyle name="Accent4 - 40% 2" xfId="1340"/>
    <cellStyle name="Warning Text 5" xfId="1341"/>
    <cellStyle name="60% - 强调文字颜色 3 3 2" xfId="1342"/>
    <cellStyle name="千位分隔 2 4" xfId="1343"/>
    <cellStyle name="常规_2000.07" xfId="1344"/>
    <cellStyle name="40% - 强调文字颜色 3 8 2" xfId="1345"/>
    <cellStyle name="Accent3 - 20% 5" xfId="1346"/>
    <cellStyle name="标题 4 10" xfId="1347"/>
    <cellStyle name="差_下半年禁吸戒毒经费1000万元 2" xfId="1348"/>
    <cellStyle name="Heading 4" xfId="1349"/>
    <cellStyle name="_ET_STYLE_NoName_00__Book1" xfId="1350"/>
    <cellStyle name="Input 4" xfId="1351"/>
    <cellStyle name="Accent1 4" xfId="1352"/>
    <cellStyle name="千位分隔[0] 2 8" xfId="1353"/>
    <cellStyle name="好_汇总 2" xfId="1354"/>
    <cellStyle name="后继超链接 4" xfId="1355"/>
    <cellStyle name="Accent1" xfId="1356"/>
    <cellStyle name="40% - 强调文字颜色 4 3 3" xfId="1357"/>
    <cellStyle name="20% - Accent6 2" xfId="1358"/>
    <cellStyle name="20% - 强调文字颜色 6 6 2" xfId="1359"/>
    <cellStyle name="差_M03 7" xfId="1360"/>
    <cellStyle name="好_2007年人员分部门统计表 5" xfId="1361"/>
    <cellStyle name="Linked Cell 6" xfId="1362"/>
    <cellStyle name="好_云南省2008年中小学教职工情况（教育厅提供20090101加工整理） 4" xfId="1363"/>
    <cellStyle name="Accent1_公安安全支出补充表5.14" xfId="1364"/>
    <cellStyle name="差_11大理 6" xfId="1365"/>
    <cellStyle name="20% - 强调文字颜色 4 7" xfId="1366"/>
    <cellStyle name="Heading 2 3" xfId="1367"/>
    <cellStyle name="Accent2 - 40% 8" xfId="1368"/>
    <cellStyle name="好_00省级(打印) 8" xfId="1369"/>
    <cellStyle name="标题 12 2" xfId="1370"/>
    <cellStyle name="20% - 强调文字颜色 3 5" xfId="1371"/>
    <cellStyle name="40% - 强调文字颜色 4 3 2" xfId="1372"/>
    <cellStyle name="Heading 1 4" xfId="1373"/>
    <cellStyle name="差_M01-2(州市补助收入)" xfId="1374"/>
    <cellStyle name="Accent2 4" xfId="1375"/>
    <cellStyle name="40% - 强调文字颜色 2 4 2" xfId="1376"/>
    <cellStyle name="千位分隔 2 3" xfId="1377"/>
    <cellStyle name="强调文字颜色 3 10" xfId="1378"/>
    <cellStyle name="好_1003牟定县 3" xfId="1379"/>
    <cellStyle name="差_云南省2008年中小学教职工情况（教育厅提供20090101加工整理） 5" xfId="1380"/>
    <cellStyle name="好_2009年一般性转移支付标准工资_地方配套按人均增幅控制8.31（调整结案率后）xl 9" xfId="1381"/>
    <cellStyle name="sstot" xfId="1382"/>
    <cellStyle name="差_2009年一般性转移支付标准工资_~5676413" xfId="1383"/>
    <cellStyle name="注释 8 2" xfId="1384"/>
    <cellStyle name="差_M01-2(州市补助收入) 9" xfId="1385"/>
    <cellStyle name="好_Book1 3" xfId="1386"/>
    <cellStyle name="差_Book1 4" xfId="1387"/>
    <cellStyle name="标题 5 8" xfId="1388"/>
    <cellStyle name="好_下半年禁吸戒毒经费1000万元" xfId="1389"/>
    <cellStyle name="Heading 3 4" xfId="1390"/>
    <cellStyle name="好_奖励补助测算7.25" xfId="1391"/>
    <cellStyle name="计算 3" xfId="1392"/>
    <cellStyle name="强调文字颜色 1 7 2" xfId="1393"/>
    <cellStyle name="好_地方配套按人均增幅控制8.30一般预算平均增幅、人均可用财力平均增幅两次控制、社会治安系数调整、案件数调整xl 2" xfId="1394"/>
    <cellStyle name="好 3 3" xfId="1395"/>
    <cellStyle name="差_M01-2(州市补助收入) 8" xfId="1396"/>
    <cellStyle name="差_Book1 3" xfId="1397"/>
    <cellStyle name="千位分隔 4 4" xfId="1398"/>
    <cellStyle name="差_2008云南省分县市中小学教职工统计表（教育厅提供） 9" xfId="1399"/>
    <cellStyle name="计算 3 6" xfId="1400"/>
    <cellStyle name="40% - Accent6 4" xfId="1401"/>
    <cellStyle name="40% - 强调文字颜色 2 3 6" xfId="1402"/>
    <cellStyle name="好_M03 5" xfId="1403"/>
    <cellStyle name="60% - Accent4 9" xfId="1404"/>
    <cellStyle name="差_2009年一般性转移支付标准工资_奖励补助测算5.24冯铸 9" xfId="1405"/>
    <cellStyle name="差_2006年在职人员情况 9" xfId="1406"/>
    <cellStyle name="常规 3 3 9" xfId="1407"/>
    <cellStyle name="差_2009年一般性转移支付标准工资_地方配套按人均增幅控制8.31（调整结案率后）xl" xfId="1408"/>
    <cellStyle name="20% - 强调文字颜色 2 10" xfId="1409"/>
    <cellStyle name="解释性文本 3" xfId="1410"/>
    <cellStyle name="40% - Accent4 8" xfId="1411"/>
    <cellStyle name="好_530629_2006年县级财政报表附表 8" xfId="1412"/>
    <cellStyle name="Heading 2 5" xfId="1413"/>
    <cellStyle name="差_11大理 8" xfId="1414"/>
    <cellStyle name="强调文字颜色 6 6" xfId="1415"/>
    <cellStyle name="Accent2 8" xfId="1416"/>
    <cellStyle name="60% - 强调文字颜色 1 3 5" xfId="1417"/>
    <cellStyle name="40% - 强调文字颜色 6 3 4" xfId="1418"/>
    <cellStyle name="强调文字颜色 2 7 2" xfId="1419"/>
    <cellStyle name="好_530623_2006年县级财政报表附表 6" xfId="1420"/>
    <cellStyle name="Accent1 5" xfId="1421"/>
    <cellStyle name="千位分隔[0] 2 9" xfId="1422"/>
    <cellStyle name="差_奖励补助测算5.22测试 9" xfId="1423"/>
    <cellStyle name="差_11大理 4" xfId="1424"/>
    <cellStyle name="汇总 3 3" xfId="1425"/>
    <cellStyle name="好_检验表" xfId="1426"/>
    <cellStyle name="60% - Accent5 6" xfId="1427"/>
    <cellStyle name="好_2009年一般性转移支付标准工资_地方配套按人均增幅控制8.30一般预算平均增幅、人均可用财力平均增幅两次控制、社会治安系数调整、案件数调整xl 6" xfId="1428"/>
    <cellStyle name="PSDec" xfId="1429"/>
    <cellStyle name="差_奖励补助测算7.25 6" xfId="1430"/>
    <cellStyle name="千位分隔 2 2" xfId="1431"/>
    <cellStyle name="百分比 9" xfId="1432"/>
    <cellStyle name="好_奖励补助测算7.23 5" xfId="1433"/>
    <cellStyle name="差 4 2" xfId="1434"/>
    <cellStyle name="好_~5676413 3" xfId="1435"/>
    <cellStyle name="解释性文本 7 2" xfId="1436"/>
    <cellStyle name="Accent2 - 60% 4" xfId="1437"/>
    <cellStyle name="20% - 强调文字颜色 3 3 2" xfId="1438"/>
    <cellStyle name="好_高中教师人数（教育厅1.6日提供） 3" xfId="1439"/>
    <cellStyle name="好_义务教育阶段教职工人数（教育厅提供最终） 5" xfId="1440"/>
    <cellStyle name="40% - 强调文字颜色 4 7" xfId="1441"/>
    <cellStyle name="好_地方配套按人均增幅控制8.30一般预算平均增幅、人均可用财力平均增幅两次控制、社会治安系数调整、案件数调整xl 3" xfId="1442"/>
    <cellStyle name="差_530623_2006年县级财政报表附表 2" xfId="1443"/>
    <cellStyle name="好_汇总-县级财政报表附表" xfId="1444"/>
    <cellStyle name="好_义务教育阶段教职工人数（教育厅提供最终） 9" xfId="1445"/>
    <cellStyle name="好_2009年一般性转移支付标准工资_奖励补助测算7.23" xfId="1446"/>
    <cellStyle name="强调文字颜色 6 9 2" xfId="1447"/>
    <cellStyle name="注释 2 7" xfId="1448"/>
    <cellStyle name="Heading 3 3" xfId="1449"/>
    <cellStyle name="20% - Accent5 6" xfId="1450"/>
    <cellStyle name="20% - 强调文字颜色 5 7" xfId="1451"/>
    <cellStyle name="Accent4" xfId="1452"/>
    <cellStyle name="好_2009年一般性转移支付标准工资 2" xfId="1453"/>
    <cellStyle name="标题 1 2" xfId="1454"/>
    <cellStyle name="40% - 强调文字颜色 6 8 2" xfId="1455"/>
    <cellStyle name="强调文字颜色 6 8 2" xfId="1456"/>
    <cellStyle name="注释 2 9" xfId="1457"/>
    <cellStyle name="Check Cell 5" xfId="1458"/>
    <cellStyle name="Check Cell 8" xfId="1459"/>
    <cellStyle name="警告文本 2" xfId="1460"/>
    <cellStyle name="差_2007年人员分部门统计表 7" xfId="1461"/>
    <cellStyle name="强调文字颜色 2 8 2" xfId="1462"/>
    <cellStyle name="输出 3 4" xfId="1463"/>
    <cellStyle name="差_奖励补助测算7.25 3" xfId="1464"/>
    <cellStyle name="Accent2 - 60% 9" xfId="1465"/>
    <cellStyle name="常规 16" xfId="1466"/>
    <cellStyle name="常规 21" xfId="1467"/>
    <cellStyle name="콤마 [0]_BOILER-CO1" xfId="1468"/>
    <cellStyle name="输出 8 2" xfId="1469"/>
    <cellStyle name="百分比 3 2" xfId="1470"/>
    <cellStyle name="好_云南省2008年中小学教职工情况（教育厅提供20090101加工整理） 3" xfId="1471"/>
    <cellStyle name="Linked Cell 5" xfId="1472"/>
    <cellStyle name="Accent2 - 20% 3" xfId="1473"/>
    <cellStyle name="_计财部审批要件" xfId="1474"/>
    <cellStyle name="好_M01-2(州市补助收入) 7" xfId="1475"/>
    <cellStyle name="60% - Accent2 4" xfId="1476"/>
    <cellStyle name="Accent5 - 20% 4" xfId="1477"/>
    <cellStyle name="好_2006年全省财力计算表（中央、决算） 9" xfId="1478"/>
    <cellStyle name="百分比 4 2" xfId="1479"/>
    <cellStyle name="输出 9 2" xfId="1480"/>
    <cellStyle name="差_1003牟定县 5" xfId="1481"/>
    <cellStyle name="链接单元格 5 2" xfId="1482"/>
    <cellStyle name="Output 8" xfId="1483"/>
    <cellStyle name="差_2007年人员分部门统计表 2" xfId="1484"/>
    <cellStyle name="Heading 2" xfId="1485"/>
    <cellStyle name="Accent2 3" xfId="1486"/>
    <cellStyle name="20% - 强调文字颜色 3 9" xfId="1487"/>
    <cellStyle name="60% - 强调文字颜色 5 9 2" xfId="1488"/>
    <cellStyle name="差_03昭通 6" xfId="1489"/>
    <cellStyle name="Accent5 - 20% 2" xfId="1490"/>
    <cellStyle name="差_1003牟定县 3" xfId="1491"/>
    <cellStyle name="好_汇总-县级财政报表附表 8" xfId="1492"/>
    <cellStyle name="强调文字颜色 6 8" xfId="1493"/>
    <cellStyle name="差_1110洱源县 7" xfId="1494"/>
    <cellStyle name="Accent3 - 60% 8" xfId="1495"/>
    <cellStyle name="好_2009年一般性转移支付标准工资_~4190974 8" xfId="1496"/>
    <cellStyle name="Accent2 - 60%" xfId="1497"/>
    <cellStyle name="20% - 强调文字颜色 2 7" xfId="1498"/>
    <cellStyle name="60% - 强调文字颜色 3 3 6" xfId="1499"/>
    <cellStyle name="标题 5 7" xfId="1500"/>
    <cellStyle name="差_~4190974 9" xfId="1501"/>
    <cellStyle name="差_地方配套按人均增幅控制8.31（调整结案率后）xl 6" xfId="1502"/>
    <cellStyle name="60% - 强调文字颜色 5 5 2" xfId="1503"/>
    <cellStyle name="汇总 2" xfId="1504"/>
    <cellStyle name="Title 9" xfId="1505"/>
    <cellStyle name="千位分隔 2 9" xfId="1506"/>
    <cellStyle name="差_~4190974" xfId="1507"/>
    <cellStyle name="好_奖励补助测算7.25 9" xfId="1508"/>
    <cellStyle name="好_2009年一般性转移支付标准工资_地方配套按人均增幅控制8.30一般预算平均增幅、人均可用财力平均增幅两次控制、社会治安系数调整、案件数调整xl 2" xfId="1509"/>
    <cellStyle name="差_M03 5" xfId="1510"/>
    <cellStyle name="差_奖励补助测算5.22测试 4" xfId="1511"/>
    <cellStyle name="后继超链接 2" xfId="1512"/>
    <cellStyle name="好_第一部分：综合全" xfId="1513"/>
    <cellStyle name="常规 5 10" xfId="1514"/>
    <cellStyle name="差_汇总 9" xfId="1515"/>
    <cellStyle name="差_汇总 7" xfId="1516"/>
    <cellStyle name="好 5 2" xfId="1517"/>
    <cellStyle name="好_基础数据分析" xfId="1518"/>
    <cellStyle name="差_第五部分(才淼、饶永宏） 9" xfId="1519"/>
    <cellStyle name="好_基础数据分析 5" xfId="1520"/>
    <cellStyle name="差_5334_2006年迪庆县级财政报表附表 5" xfId="1521"/>
    <cellStyle name="Accent4 - 60% 2" xfId="1522"/>
    <cellStyle name="Accent3 9" xfId="1523"/>
    <cellStyle name="Note" xfId="1524"/>
    <cellStyle name="40% - 强调文字颜色 4 5" xfId="1525"/>
    <cellStyle name="差_0502通海县 6" xfId="1526"/>
    <cellStyle name="标题 1 3 7" xfId="1527"/>
    <cellStyle name="好_奖励补助测算5.24冯铸" xfId="1528"/>
    <cellStyle name="20% - Accent1 9" xfId="1529"/>
    <cellStyle name="常规 2 2 2 8" xfId="1530"/>
    <cellStyle name="差_不用软件计算9.1不考虑经费管理评价xl 4" xfId="1531"/>
    <cellStyle name="好_1110洱源县 7" xfId="1532"/>
    <cellStyle name="差_5334_2006年迪庆县级财政报表附表 2" xfId="1533"/>
    <cellStyle name="常规 2 7 3" xfId="1534"/>
    <cellStyle name="60% - 强调文字颜色 5 3" xfId="1535"/>
    <cellStyle name="Accent1 6" xfId="1536"/>
    <cellStyle name="好_奖励补助测算5.24冯铸 8" xfId="1537"/>
    <cellStyle name="20% - Accent5 3" xfId="1538"/>
    <cellStyle name="好_云南农村义务教育统计表 9" xfId="1539"/>
    <cellStyle name="20% - 强调文字颜色 5 4" xfId="1540"/>
    <cellStyle name="百分比 5" xfId="1541"/>
    <cellStyle name="好_0605石屏县 2" xfId="1542"/>
    <cellStyle name="Accent4 - 40% 3" xfId="1543"/>
    <cellStyle name="好_不用软件计算9.1不考虑经费管理评价xl 2" xfId="1544"/>
    <cellStyle name="Accent5 5" xfId="1545"/>
    <cellStyle name="Warning Text 6" xfId="1546"/>
    <cellStyle name="20% - Accent2 3" xfId="1547"/>
    <cellStyle name="好_奖励补助测算5.24冯铸 5" xfId="1548"/>
    <cellStyle name="差_地方配套按人均增幅控制8.30xl 8" xfId="1549"/>
    <cellStyle name="表标题 9" xfId="1550"/>
    <cellStyle name="差_汇总 5" xfId="1551"/>
    <cellStyle name="检查单元格 5 2" xfId="1552"/>
    <cellStyle name="输出 3 6" xfId="1553"/>
    <cellStyle name="差_2007年检察院案件数 7" xfId="1554"/>
    <cellStyle name="60% - 强调文字颜色 6 3 3" xfId="1555"/>
    <cellStyle name="差 2" xfId="1556"/>
    <cellStyle name="好 8" xfId="1557"/>
    <cellStyle name="差_2、土地面积、人口、粮食产量基本情况 4" xfId="1558"/>
    <cellStyle name="标题 2 9" xfId="1559"/>
    <cellStyle name="差_M03 4" xfId="1560"/>
    <cellStyle name="Check Cell 3" xfId="1561"/>
    <cellStyle name="Currency_!!!GO" xfId="1562"/>
    <cellStyle name="Bad 4" xfId="1563"/>
    <cellStyle name="60% - Accent5 9" xfId="1564"/>
    <cellStyle name="输入 3 3" xfId="1565"/>
    <cellStyle name="好_2006年水利统计指标统计表 2" xfId="1566"/>
    <cellStyle name="汇总 3" xfId="1567"/>
    <cellStyle name="标题 2 4 2" xfId="1568"/>
    <cellStyle name="差_财政供养人员 5" xfId="1569"/>
    <cellStyle name="差_奖励补助测算7.23 9" xfId="1570"/>
    <cellStyle name="标题 1 7" xfId="1571"/>
    <cellStyle name="差_2、土地面积、人口、粮食产量基本情况 5" xfId="1572"/>
    <cellStyle name="好 9" xfId="1573"/>
    <cellStyle name="好_指标四 6" xfId="1574"/>
    <cellStyle name="20% - 强调文字颜色 6 10" xfId="1575"/>
    <cellStyle name="好_指标四 5" xfId="1576"/>
    <cellStyle name="Accent1 - 60% 3" xfId="1577"/>
    <cellStyle name="差_2009年一般性转移支付标准工资_地方配套按人均增幅控制8.30一般预算平均增幅、人均可用财力平均增幅两次控制、社会治安系数调整、案件数调整xl 8" xfId="1578"/>
    <cellStyle name="Accent1 - 40% 2" xfId="1579"/>
    <cellStyle name="常规 2 12" xfId="1580"/>
    <cellStyle name="输出 5 2" xfId="1581"/>
    <cellStyle name="好_M01-2(州市补助收入) 6" xfId="1582"/>
    <cellStyle name="20% - 强调文字颜色 3 7" xfId="1583"/>
    <cellStyle name="好_2009年一般性转移支付标准工资_~5676413 3" xfId="1584"/>
    <cellStyle name="Heading 3 9" xfId="1585"/>
    <cellStyle name="Accent1 2" xfId="1586"/>
    <cellStyle name="千位分隔[0] 2 6" xfId="1587"/>
    <cellStyle name="Accent6 - 60% 9" xfId="1588"/>
    <cellStyle name="60% - 强调文字颜色 2 9 2" xfId="1589"/>
    <cellStyle name="好_指标五" xfId="1590"/>
    <cellStyle name="好_2007年检察院案件数 5" xfId="1591"/>
    <cellStyle name="好_03昭通 9" xfId="1592"/>
    <cellStyle name="好_2009年一般性转移支付标准工资_奖励补助测算7.25 (version 1) (version 1)" xfId="1593"/>
    <cellStyle name="好_2009年一般性转移支付标准工资_奖励补助测算5.24冯铸 2" xfId="1594"/>
    <cellStyle name="40% - 强调文字颜色 5 6" xfId="1595"/>
    <cellStyle name="60% - 强调文字颜色 3 5" xfId="1596"/>
    <cellStyle name="常规 2 5 5" xfId="1597"/>
    <cellStyle name="表标题 6" xfId="1598"/>
    <cellStyle name="好_2009年一般性转移支付标准工资_地方配套按人均增幅控制8.30一般预算平均增幅、人均可用财力平均增幅两次控制、社会治安系数调整、案件数调整xl 3" xfId="1599"/>
    <cellStyle name="差_云南省2008年中小学教职工情况（教育厅提供20090101加工整理）" xfId="1600"/>
    <cellStyle name="好_0605石屏县 4" xfId="1601"/>
    <cellStyle name="Accent6 - 40% 2" xfId="1602"/>
    <cellStyle name="差_县级公安机关公用经费标准奖励测算方案（定稿） 6" xfId="1603"/>
    <cellStyle name="输入 8" xfId="1604"/>
    <cellStyle name="Accent5 - 40% 5" xfId="1605"/>
    <cellStyle name="链接单元格 6" xfId="1606"/>
    <cellStyle name="40% - Accent2" xfId="1607"/>
    <cellStyle name="差_2006年水利统计指标统计表" xfId="1608"/>
    <cellStyle name="Accent6 - 40% 7" xfId="1609"/>
    <cellStyle name="Title 6" xfId="1610"/>
    <cellStyle name="标题 4 7" xfId="1611"/>
    <cellStyle name="60% - 强调文字颜色 6 3 5" xfId="1612"/>
    <cellStyle name="千位分隔[0] 2 7" xfId="1613"/>
    <cellStyle name="Accent1 3" xfId="1614"/>
    <cellStyle name="常规 5_Book1" xfId="1615"/>
    <cellStyle name="差_2007年政法部门业务指标 2" xfId="1616"/>
    <cellStyle name="Accent2 5" xfId="1617"/>
    <cellStyle name="差 9 2" xfId="1618"/>
    <cellStyle name="差_奖励补助测算5.22测试 3" xfId="1619"/>
    <cellStyle name="好_2009年一般性转移支付标准工资_奖励补助测算5.23新" xfId="1620"/>
    <cellStyle name="好_指标四 9" xfId="1621"/>
    <cellStyle name="Check Cell" xfId="1622"/>
    <cellStyle name="汇总 5 2" xfId="1623"/>
    <cellStyle name="好_三季度－表二 8" xfId="1624"/>
    <cellStyle name="差_2009年一般性转移支付标准工资_不用软件计算9.1不考虑经费管理评价xl 8" xfId="1625"/>
    <cellStyle name="Neutral 5" xfId="1626"/>
    <cellStyle name="差_财政支出对上级的依赖程度" xfId="1627"/>
    <cellStyle name="常规_Sheet1" xfId="1628"/>
    <cellStyle name="差_2009年一般性转移支付标准工资_奖励补助测算7.23 9" xfId="1629"/>
    <cellStyle name="强调文字颜色 4 4" xfId="1630"/>
    <cellStyle name="常规 2 3 8" xfId="1631"/>
    <cellStyle name="60% - 强调文字颜色 1 8" xfId="1632"/>
    <cellStyle name="40% - 强调文字颜色 5 9" xfId="1633"/>
    <cellStyle name="60% - Accent3" xfId="1634"/>
    <cellStyle name="好_2009年一般性转移支付标准工资_奖励补助测算5.24冯铸 5" xfId="1635"/>
    <cellStyle name="差_第五部分(才淼、饶永宏） 7" xfId="1636"/>
    <cellStyle name="常规 4 3" xfId="1637"/>
    <cellStyle name="百分比 2 4" xfId="1638"/>
    <cellStyle name="好_M01-2(州市补助收入) 4" xfId="1639"/>
    <cellStyle name="差_2009年一般性转移支付标准工资_奖励补助测算7.25 3" xfId="1640"/>
    <cellStyle name="强调 3" xfId="1641"/>
    <cellStyle name="好_基础数据分析 8" xfId="1642"/>
    <cellStyle name="标题 12" xfId="1643"/>
    <cellStyle name="Accent4 - 20% 7" xfId="1644"/>
    <cellStyle name="差_三季度－表二 8" xfId="1645"/>
    <cellStyle name="40% - 强调文字颜色 3 3 5" xfId="1646"/>
    <cellStyle name="Moneda_96 Risk" xfId="1647"/>
    <cellStyle name="差_~5676413 8" xfId="1648"/>
    <cellStyle name="好_云南农村义务教育统计表 7" xfId="1649"/>
    <cellStyle name="20% - 强调文字颜色 5 2" xfId="1650"/>
    <cellStyle name="常规_202247145845218" xfId="1651"/>
    <cellStyle name="差_00省级(打印) 2" xfId="1652"/>
    <cellStyle name="强调文字颜色 5 10" xfId="1653"/>
    <cellStyle name="Accent1 - 40%" xfId="1654"/>
    <cellStyle name="差_三季度－表二 3" xfId="1655"/>
    <cellStyle name="Accent4 - 20% 2" xfId="1656"/>
    <cellStyle name="差_~5676413 3" xfId="1657"/>
    <cellStyle name="好_1110洱源县 9" xfId="1658"/>
    <cellStyle name="20% - 强调文字颜色 1 5" xfId="1659"/>
    <cellStyle name="输入 3" xfId="1660"/>
    <cellStyle name="差_三季度－表二" xfId="1661"/>
    <cellStyle name="好_2006年分析表" xfId="1662"/>
    <cellStyle name="差_~5676413" xfId="1663"/>
    <cellStyle name="差_2009年一般性转移支付标准工资_奖励补助测算7.25 (version 1) (version 1) 9" xfId="1664"/>
    <cellStyle name="差_地方配套按人均增幅控制8.31（调整结案率后）xl 2" xfId="1665"/>
    <cellStyle name="差_Book2" xfId="1666"/>
    <cellStyle name="Bad 5" xfId="1667"/>
    <cellStyle name="差_0605石屏县" xfId="1668"/>
    <cellStyle name="差 3 3" xfId="1669"/>
    <cellStyle name="20% - Accent5 9" xfId="1670"/>
    <cellStyle name="Check Cell 6" xfId="1671"/>
    <cellStyle name="部门" xfId="1672"/>
    <cellStyle name="常规 2 2" xfId="1673"/>
    <cellStyle name="20% - Accent2 8" xfId="1674"/>
    <cellStyle name="40% - 强调文字颜色 5 3 6" xfId="1675"/>
    <cellStyle name="好_不用软件计算9.1不考虑经费管理评价xl 7" xfId="1676"/>
    <cellStyle name="Accent4 - 40% 8" xfId="1677"/>
    <cellStyle name="常规 2 8 6" xfId="1678"/>
    <cellStyle name="60% - 强调文字颜色 6 6" xfId="1679"/>
    <cellStyle name="寘嬫愗傝_Region Orders (2)" xfId="1680"/>
    <cellStyle name="常规 3 9" xfId="1681"/>
    <cellStyle name="常规 2 8 2" xfId="1682"/>
    <cellStyle name="60% - 强调文字颜色 6 2" xfId="1683"/>
    <cellStyle name="Accent5 - 40% 9" xfId="1684"/>
    <cellStyle name="小数 2" xfId="1685"/>
    <cellStyle name="差_2009年一般性转移支付标准工资_地方配套按人均增幅控制8.30xl 4" xfId="1686"/>
    <cellStyle name="常规 3" xfId="1687"/>
    <cellStyle name="好_卫生部门 2" xfId="1688"/>
    <cellStyle name="标题 4 3 4" xfId="1689"/>
    <cellStyle name="好_05玉溪 6" xfId="1690"/>
    <cellStyle name="Calculation 2" xfId="1691"/>
    <cellStyle name="Normal_!!!GO" xfId="1692"/>
    <cellStyle name="好_1110洱源县" xfId="1693"/>
    <cellStyle name="常规 20" xfId="1694"/>
    <cellStyle name="常规 15" xfId="1695"/>
    <cellStyle name="常规 4" xfId="1696"/>
    <cellStyle name="per.style" xfId="1697"/>
    <cellStyle name="好_卫生部门 3" xfId="1698"/>
    <cellStyle name="Explanatory Text 9" xfId="1699"/>
    <cellStyle name="好_卫生部门 4" xfId="1700"/>
    <cellStyle name="常规 5" xfId="1701"/>
    <cellStyle name="常规_2010年2月投资月报" xfId="1702"/>
    <cellStyle name="链接单元格 10" xfId="1703"/>
    <cellStyle name="强调文字颜色 3 8" xfId="1704"/>
    <cellStyle name="好_2007年检察院案件数" xfId="1705"/>
    <cellStyle name="差_2009年一般性转移支付标准工资_奖励补助测算7.25 (version 1) (version 1) 8" xfId="1706"/>
    <cellStyle name="差_2006年全省财力计算表（中央、决算） 8" xfId="1707"/>
    <cellStyle name="好_奖励补助测算5.23新 3" xfId="1708"/>
    <cellStyle name="args.style" xfId="1709"/>
    <cellStyle name="好_卫生部门 7" xfId="1710"/>
    <cellStyle name="常规 8" xfId="1711"/>
    <cellStyle name="常规 12" xfId="1712"/>
    <cellStyle name="好_~4190974 9" xfId="1713"/>
    <cellStyle name="Warning Text 2" xfId="1714"/>
    <cellStyle name="差_2009年一般性转移支付标准工资_~4190974 5" xfId="1715"/>
    <cellStyle name="适中 3 3" xfId="1716"/>
    <cellStyle name="好_第五部分(才淼、饶永宏） 2" xfId="1717"/>
    <cellStyle name="Accent6 - 40% 9" xfId="1718"/>
    <cellStyle name="好_2008云南省分县市中小学教职工统计表（教育厅提供） 7" xfId="1719"/>
    <cellStyle name="警告文本 4 2" xfId="1720"/>
    <cellStyle name="标题 1 3 4" xfId="1721"/>
    <cellStyle name="60% - 强调文字颜色 4 3 4" xfId="1722"/>
    <cellStyle name="好_M03 9" xfId="1723"/>
    <cellStyle name="好 5" xfId="1724"/>
    <cellStyle name="注释 3 6" xfId="1725"/>
    <cellStyle name="好_2009年一般性转移支付标准工资_奖励补助测算5.23新 9" xfId="1726"/>
    <cellStyle name="强调 1" xfId="1727"/>
    <cellStyle name="40% - 强调文字颜色 1 7 2" xfId="1728"/>
    <cellStyle name="强调文字颜色 3 3 7" xfId="1729"/>
    <cellStyle name="差_2009年一般性转移支付标准工资_奖励补助测算5.22测试 2" xfId="1730"/>
    <cellStyle name="常规 5 4" xfId="1731"/>
    <cellStyle name="60% - 强调文字颜色 4 10" xfId="1732"/>
    <cellStyle name="差_Book1 7" xfId="1733"/>
    <cellStyle name="_Book1_2" xfId="1734"/>
    <cellStyle name="好_0605石屏县 3" xfId="1735"/>
    <cellStyle name="警告文本 6 2" xfId="1736"/>
    <cellStyle name="差_云南省2008年转移支付测算——州市本级考核部分及政策性测算 8" xfId="1737"/>
    <cellStyle name="常规 11" xfId="1738"/>
    <cellStyle name="差_奖励补助测算5.23新 2" xfId="1739"/>
    <cellStyle name="差 3 6" xfId="1740"/>
    <cellStyle name="差_云南农村义务教育统计表" xfId="1741"/>
    <cellStyle name="好_530629_2006年县级财政报表附表 7" xfId="1742"/>
    <cellStyle name="差_2009年一般性转移支付标准工资_地方配套按人均增幅控制8.31（调整结案率后）xl 2" xfId="1743"/>
    <cellStyle name="好_2008云南省分县市中小学教职工统计表（教育厅提供） 8" xfId="1744"/>
    <cellStyle name="差_地方配套按人均增幅控制8.31（调整结案率后）xl 8" xfId="1745"/>
    <cellStyle name="好_地方配套按人均增幅控制8.30一般预算平均增幅、人均可用财力平均增幅两次控制、社会治安系数调整、案件数调整xl 6" xfId="1746"/>
    <cellStyle name="强调文字颜色 1 2" xfId="1747"/>
    <cellStyle name="千位分隔 3 4" xfId="1748"/>
    <cellStyle name="好_2006年全省财力计算表（中央、决算） 7" xfId="1749"/>
    <cellStyle name="汇总 9 2" xfId="1750"/>
    <cellStyle name="好_2008云南省分县市中小学教职工统计表（教育厅提供） 6" xfId="1751"/>
    <cellStyle name="好_云南省2008年转移支付测算——州市本级考核部分及政策性测算 6" xfId="1752"/>
    <cellStyle name="60% - 强调文字颜色 4 6" xfId="1753"/>
    <cellStyle name="常规 2 6 6" xfId="1754"/>
    <cellStyle name="差_财政供养人员 7" xfId="1755"/>
    <cellStyle name="差_05玉溪 5" xfId="1756"/>
    <cellStyle name="好_00省级(定稿)" xfId="1757"/>
    <cellStyle name="百分比 8 2" xfId="1758"/>
    <cellStyle name="差_00省级(定稿) 4" xfId="1759"/>
    <cellStyle name="差_2007年政法部门业务指标 6" xfId="1760"/>
    <cellStyle name="40% - 强调文字颜色 6 3 5" xfId="1761"/>
    <cellStyle name="60% - 强调文字颜色 1 3 6" xfId="1762"/>
    <cellStyle name="差_Book1 8" xfId="1763"/>
    <cellStyle name="汇总 4 2" xfId="1764"/>
    <cellStyle name="40% - Accent2 8" xfId="1765"/>
    <cellStyle name="差_2006年水利统计指标统计表 8" xfId="1766"/>
    <cellStyle name="好_Book2 9" xfId="1767"/>
    <cellStyle name="强调文字颜色 3 7" xfId="1768"/>
    <cellStyle name="差_2009年一般性转移支付标准工资_奖励补助测算7.25 (version 1) (version 1) 5" xfId="1769"/>
    <cellStyle name="好_2006年水利统计指标统计表 5" xfId="1770"/>
    <cellStyle name="汇总 6" xfId="1771"/>
    <cellStyle name="千位_ 方正PC" xfId="1772"/>
    <cellStyle name="Accent6" xfId="1773"/>
    <cellStyle name="常规_2024129102146109" xfId="1774"/>
    <cellStyle name="60% - Accent3 7" xfId="1775"/>
    <cellStyle name="好_下半年禁吸戒毒经费1000万元 2" xfId="1776"/>
    <cellStyle name="20% - 强调文字颜色 4 10" xfId="1777"/>
    <cellStyle name="差_汇总-县级财政报表附表 8" xfId="1778"/>
    <cellStyle name="汇总 6 2" xfId="1779"/>
    <cellStyle name="千位分隔 4 6" xfId="1780"/>
    <cellStyle name="千位分隔 3 5" xfId="1781"/>
    <cellStyle name="好_M01-2(州市补助收入) 5" xfId="1782"/>
    <cellStyle name="标题 3 4" xfId="1783"/>
    <cellStyle name="好_530623_2006年县级财政报表附表 2" xfId="1784"/>
    <cellStyle name="差 6 2" xfId="1785"/>
    <cellStyle name="百分比 6" xfId="1786"/>
    <cellStyle name="好_奖励补助测算7.23 2" xfId="1787"/>
    <cellStyle name="Check Cell 4" xfId="1788"/>
    <cellStyle name="好_2009年一般性转移支付标准工资_地方配套按人均增幅控制8.31（调整结案率后）xl 5" xfId="1789"/>
    <cellStyle name="差_0605石屏县 6" xfId="1790"/>
    <cellStyle name="标题 4 8 2" xfId="1791"/>
    <cellStyle name="差_03昭通 7" xfId="1792"/>
    <cellStyle name="Bad 3" xfId="1793"/>
    <cellStyle name="60% - Accent5 8" xfId="1794"/>
    <cellStyle name="常规 2 4 2" xfId="1795"/>
    <cellStyle name="60% - 强调文字颜色 2 2" xfId="1796"/>
    <cellStyle name="常规_202591191152250" xfId="1797"/>
    <cellStyle name="差_00省级(打印) 3" xfId="1798"/>
    <cellStyle name="好_奖励补助测算7.25 5" xfId="1799"/>
    <cellStyle name="差_基础数据分析 7" xfId="1800"/>
    <cellStyle name="好_基础数据分析 2" xfId="1801"/>
    <cellStyle name="计算 7 2" xfId="1802"/>
    <cellStyle name="差_2007年人员分部门统计表 4" xfId="1803"/>
    <cellStyle name="差_财政供养人员 3" xfId="1804"/>
    <cellStyle name="差_奖励补助测算7.23 7" xfId="1805"/>
    <cellStyle name="标题 4 2" xfId="1806"/>
    <cellStyle name="差_下半年禁吸戒毒经费1000万元 5" xfId="1807"/>
    <cellStyle name="输出 3" xfId="1808"/>
    <cellStyle name="60% - 强调文字颜色 6 3 4" xfId="1809"/>
    <cellStyle name="差_奖励补助测算5.22测试" xfId="1810"/>
    <cellStyle name="差_汇总 8" xfId="1811"/>
    <cellStyle name="好_地方配套按人均增幅控制8.30xl 8" xfId="1812"/>
    <cellStyle name="汇总 7 2" xfId="1813"/>
    <cellStyle name="20% - 强调文字颜色 2 8 2" xfId="1814"/>
    <cellStyle name="输入 3 4" xfId="1815"/>
    <cellStyle name="强调文字颜色 1 5 2" xfId="1816"/>
    <cellStyle name="解释性文本 8" xfId="1817"/>
    <cellStyle name="好_2009年一般性转移支付标准工资_~4190974 4" xfId="1818"/>
    <cellStyle name="好_下半年禁吸戒毒经费1000万元 6" xfId="1819"/>
    <cellStyle name="强调文字颜色 2 8" xfId="1820"/>
    <cellStyle name="40% - 强调文字颜色 3 7 2" xfId="1821"/>
    <cellStyle name="好_530623_2006年县级财政报表附表" xfId="1822"/>
    <cellStyle name="40% - 强调文字颜色 1 8 2" xfId="1823"/>
    <cellStyle name="标题 5 2" xfId="1824"/>
    <cellStyle name="差_~4190974 4" xfId="1825"/>
    <cellStyle name="常规 7 3" xfId="1826"/>
    <cellStyle name="Neutral 3" xfId="1827"/>
    <cellStyle name="适中 3 6" xfId="1828"/>
    <cellStyle name="标题 11 2" xfId="1829"/>
    <cellStyle name="差_2009年一般性转移支付标准工资_~4190974 8" xfId="1830"/>
    <cellStyle name="差_2006年水利统计指标统计表 6" xfId="1831"/>
    <cellStyle name="40% - Accent2 6" xfId="1832"/>
    <cellStyle name="检查单元格 8 2" xfId="1833"/>
    <cellStyle name="好_地方配套按人均增幅控制8.30一般预算平均增幅、人均可用财力平均增幅两次控制、社会治安系数调整、案件数调整xl 7" xfId="1834"/>
    <cellStyle name="40% - Accent5 8" xfId="1835"/>
    <cellStyle name="Accent2 - 40% 5" xfId="1836"/>
    <cellStyle name="差_1110洱源县" xfId="1837"/>
    <cellStyle name="好_云南省2008年转移支付测算——州市本级考核部分及政策性测算 7" xfId="1838"/>
    <cellStyle name="Accent3 - 60% 4" xfId="1839"/>
    <cellStyle name="差_1110洱源县 3" xfId="1840"/>
    <cellStyle name="差_卫生部门 8" xfId="1841"/>
    <cellStyle name="标题 2 9 2" xfId="1842"/>
    <cellStyle name="好_2009年一般性转移支付标准工资_奖励补助测算5.23新 4" xfId="1843"/>
    <cellStyle name="60% - Accent2 9" xfId="1844"/>
    <cellStyle name="差_奖励补助测算7.23" xfId="1845"/>
    <cellStyle name="差_00省级(打印) 7" xfId="1846"/>
    <cellStyle name="差_奖励补助测算7.25 (version 1) (version 1) 5" xfId="1847"/>
    <cellStyle name="Linked Cell 9" xfId="1848"/>
    <cellStyle name="好_云南省2008年中小学教职工情况（教育厅提供20090101加工整理） 7" xfId="1849"/>
    <cellStyle name="差_05玉溪 9" xfId="1850"/>
    <cellStyle name="千位分隔 2 8" xfId="1851"/>
    <cellStyle name="好_历年教师人数" xfId="1852"/>
    <cellStyle name="输出 6" xfId="1853"/>
    <cellStyle name="适中 5" xfId="1854"/>
    <cellStyle name="40% - 强调文字颜色 5 10" xfId="1855"/>
    <cellStyle name="40% - 强调文字颜色 3 4" xfId="1856"/>
    <cellStyle name="Output 6" xfId="1857"/>
    <cellStyle name="百分比 2 6" xfId="1858"/>
    <cellStyle name="40% - Accent2 2" xfId="1859"/>
    <cellStyle name="差_1003牟定县" xfId="1860"/>
    <cellStyle name="差_2006年水利统计指标统计表 2" xfId="1861"/>
    <cellStyle name="差_~4190974 7" xfId="1862"/>
    <cellStyle name="标题 5 5" xfId="1863"/>
    <cellStyle name="差_县级公安机关公用经费标准奖励测算方案（定稿） 9" xfId="1864"/>
    <cellStyle name="差_2007年检察院案件数 9" xfId="1865"/>
    <cellStyle name="差_2009年一般性转移支付标准工资_地方配套按人均增幅控制8.30xl 9" xfId="1866"/>
    <cellStyle name="差_卫生部门" xfId="1867"/>
    <cellStyle name="差_530623_2006年县级财政报表附表 3" xfId="1868"/>
    <cellStyle name="Accent6 - 20%" xfId="1869"/>
    <cellStyle name="60% - 强调文字颜色 3 3 4" xfId="1870"/>
    <cellStyle name="烹拳 [0]_ +Foil &amp; -FOIL &amp; PAPER" xfId="1871"/>
    <cellStyle name="差_2009年一般性转移支付标准工资 3" xfId="1872"/>
    <cellStyle name="好_奖励补助测算5.22测试 5" xfId="1873"/>
    <cellStyle name="常规 5 5" xfId="1874"/>
    <cellStyle name="差_2009年一般性转移支付标准工资_奖励补助测算5.22测试 3" xfId="1875"/>
    <cellStyle name="常规 8 7" xfId="1876"/>
    <cellStyle name="链接单元格 4" xfId="1877"/>
    <cellStyle name="Accent5 - 40% 3" xfId="1878"/>
    <cellStyle name="差_丽江汇总" xfId="1879"/>
    <cellStyle name="好_1110洱源县 5" xfId="1880"/>
    <cellStyle name="千位分隔 2 7" xfId="1881"/>
    <cellStyle name="千位分隔 2 10" xfId="1882"/>
    <cellStyle name="解释性文本 4" xfId="1883"/>
    <cellStyle name="好_2006年水利统计指标统计表 8" xfId="1884"/>
    <cellStyle name="汇总 9" xfId="1885"/>
    <cellStyle name="差_1110洱源县 9" xfId="1886"/>
    <cellStyle name="差_高中教师人数（教育厅1.6日提供） 7" xfId="1887"/>
    <cellStyle name="适中 5 2" xfId="1888"/>
    <cellStyle name="常规 2 5 9" xfId="1889"/>
    <cellStyle name="常规 7 2" xfId="1890"/>
    <cellStyle name="60% - 强调文字颜色 3 9" xfId="1891"/>
    <cellStyle name="强调文字颜色 3 5 2" xfId="1892"/>
    <cellStyle name="常规 3 8" xfId="1893"/>
    <cellStyle name="好_2009年一般性转移支付标准工资_不用软件计算9.1不考虑经费管理评价xl 7" xfId="1894"/>
    <cellStyle name="20% - 强调文字颜色 5 8 2" xfId="1895"/>
    <cellStyle name="Bad 7" xfId="1896"/>
    <cellStyle name="常规 12 2" xfId="1897"/>
    <cellStyle name="强调文字颜色 5 6 2" xfId="1898"/>
    <cellStyle name="好_下半年禁吸戒毒经费1000万元 9" xfId="1899"/>
    <cellStyle name="常规 8 9" xfId="1900"/>
    <cellStyle name="Accent2 - 20%" xfId="1901"/>
    <cellStyle name="好_云南省2008年转移支付测算——州市本级考核部分及政策性测算 5" xfId="1902"/>
    <cellStyle name="差_2007年人员分部门统计表 9" xfId="1903"/>
    <cellStyle name="常规 5 2 6" xfId="1904"/>
    <cellStyle name="标题 2 5" xfId="1905"/>
    <cellStyle name="差_财政供养人员 8" xfId="1906"/>
    <cellStyle name="常规 8 3" xfId="1907"/>
    <cellStyle name="差_2006年水利统计指标统计表 9" xfId="1908"/>
    <cellStyle name="40% - Accent2 9" xfId="1909"/>
    <cellStyle name="好_下半年禁吸戒毒经费1000万元 4" xfId="1910"/>
    <cellStyle name="60% - Accent3 9" xfId="1911"/>
    <cellStyle name="检查单元格 9 2" xfId="1912"/>
    <cellStyle name="好_530623_2006年县级财政报表附表 8" xfId="1913"/>
    <cellStyle name="适中 2" xfId="1914"/>
    <cellStyle name="强调文字颜色 4 7" xfId="1915"/>
    <cellStyle name="好_奖励补助测算7.25 (version 1) (version 1) 4" xfId="1916"/>
    <cellStyle name="好_汇总 5" xfId="1917"/>
    <cellStyle name="好_2009年一般性转移支付标准工资_奖励补助测算5.22测试 5" xfId="1918"/>
    <cellStyle name="差_指标四 2" xfId="1919"/>
    <cellStyle name="差_检验表" xfId="1920"/>
    <cellStyle name="40% - 强调文字颜色 4 3 7" xfId="1921"/>
    <cellStyle name="Accent2 - 40% 2" xfId="1922"/>
    <cellStyle name="40% - Accent5 5" xfId="1923"/>
    <cellStyle name="好_奖励补助测算5.23新 4" xfId="1924"/>
    <cellStyle name="差_05玉溪 3" xfId="1925"/>
    <cellStyle name="差_2009年一般性转移支付标准工资_奖励补助测算7.25 5" xfId="1926"/>
    <cellStyle name="好_2009年一般性转移支付标准工资_地方配套按人均增幅控制8.30一般预算平均增幅、人均可用财力平均增幅两次控制、社会治安系数调整、案件数调整xl 4" xfId="1927"/>
    <cellStyle name="好_00省级(定稿) 2" xfId="1928"/>
    <cellStyle name="好_03昭通 3" xfId="1929"/>
    <cellStyle name="40% - 强调文字颜色 3 7" xfId="1930"/>
    <cellStyle name="Millares_96 Risk" xfId="1931"/>
    <cellStyle name="60% - 强调文字颜色 6 5 2" xfId="1932"/>
    <cellStyle name="好_2006年基础数据 4" xfId="1933"/>
    <cellStyle name="常规 3 3" xfId="1934"/>
    <cellStyle name="差_2006年在职人员情况" xfId="1935"/>
    <cellStyle name="好_2009年一般性转移支付标准工资_地方配套按人均增幅控制8.30xl" xfId="1936"/>
    <cellStyle name="输出 8" xfId="1937"/>
    <cellStyle name="통화 [0]_BOILER-CO1" xfId="1938"/>
    <cellStyle name="差_云南省2008年转移支付测算——州市本级考核部分及政策性测算" xfId="1939"/>
    <cellStyle name="强调文字颜色 5 7" xfId="1940"/>
    <cellStyle name="好_2009年一般性转移支付标准工资_奖励补助测算7.25 (version 1) (version 1) 2" xfId="1941"/>
    <cellStyle name="好_2009年一般性转移支付标准工资_奖励补助测算5.24冯铸 6" xfId="1942"/>
    <cellStyle name="60% - Accent4" xfId="1943"/>
    <cellStyle name="好_奖励补助测算7.23 9" xfId="1944"/>
    <cellStyle name="标题 3 3 7" xfId="1945"/>
    <cellStyle name="差_2009年一般性转移支付标准工资_地方配套按人均增幅控制8.30一般预算平均增幅、人均可用财力平均增幅两次控制、社会治安系数调整、案件数调整xl 4" xfId="1946"/>
    <cellStyle name="常规 2 5 7" xfId="1947"/>
    <cellStyle name="60% - 强调文字颜色 3 7" xfId="1948"/>
    <cellStyle name="40% - Accent2 4" xfId="1949"/>
    <cellStyle name="差_检验表（调整后）" xfId="1950"/>
    <cellStyle name="百分比 2 8" xfId="1951"/>
    <cellStyle name="差_2006年水利统计指标统计表 4" xfId="1952"/>
    <cellStyle name="好_第五部分(才淼、饶永宏） 5" xfId="1953"/>
    <cellStyle name="强调文字颜色 2 5 2" xfId="1954"/>
    <cellStyle name="好_教育厅提供义务教育及高中教师人数（2009年1月6日） 8" xfId="1955"/>
    <cellStyle name="强调文字颜色 5 9" xfId="1956"/>
    <cellStyle name="好_00省级(定稿) 7" xfId="1957"/>
    <cellStyle name="好_基础数据分析 7" xfId="1958"/>
    <cellStyle name="Accent6 - 60% 4" xfId="1959"/>
    <cellStyle name="Output" xfId="1960"/>
    <cellStyle name="好_指标四 4" xfId="1961"/>
    <cellStyle name="Accent2 - 20% 2" xfId="1962"/>
    <cellStyle name="千位分隔[0] 2" xfId="1963"/>
    <cellStyle name="好_2、土地面积、人口、粮食产量基本情况 4" xfId="1964"/>
    <cellStyle name="常规 2 4 5" xfId="1965"/>
    <cellStyle name="60% - 强调文字颜色 2 5" xfId="1966"/>
    <cellStyle name="PSChar" xfId="1967"/>
    <cellStyle name="好_云南省2008年转移支付测算——州市本级考核部分及政策性测算" xfId="1968"/>
    <cellStyle name="标题 1 6" xfId="1969"/>
    <cellStyle name="好_地方配套按人均增幅控制8.30一般预算平均增幅、人均可用财力平均增幅两次控制、社会治安系数调整、案件数调整xl" xfId="1970"/>
    <cellStyle name="差_530623_2006年县级财政报表附表 7" xfId="1971"/>
    <cellStyle name="输出 3 5" xfId="1972"/>
    <cellStyle name="差_11大理 7" xfId="1973"/>
    <cellStyle name="好_1110洱源县 4" xfId="1974"/>
    <cellStyle name="差_05玉溪 7" xfId="1975"/>
    <cellStyle name="好_11大理 5" xfId="1976"/>
    <cellStyle name="强调文字颜色 4 3 4" xfId="1977"/>
    <cellStyle name="差_高中教师人数（教育厅1.6日提供） 2" xfId="1978"/>
    <cellStyle name="好_2009年一般性转移支付标准工资_奖励补助测算7.23 5" xfId="1979"/>
    <cellStyle name="20% - 强调文字颜色 4 3 6" xfId="1980"/>
    <cellStyle name="标题 3 6 2" xfId="1981"/>
    <cellStyle name="好_2009年一般性转移支付标准工资_地方配套按人均增幅控制8.31（调整结案率后）xl 2" xfId="1982"/>
    <cellStyle name="20% - Accent4 7" xfId="1983"/>
    <cellStyle name="差_0605石屏县 3" xfId="1984"/>
    <cellStyle name="20% - Accent2 4" xfId="1985"/>
    <cellStyle name="Warning Text 7" xfId="1986"/>
    <cellStyle name="40% - 强调文字颜色 5 3 2" xfId="1987"/>
    <cellStyle name="Accent4 - 40% 4" xfId="1988"/>
    <cellStyle name="Accent5 6" xfId="1989"/>
    <cellStyle name="好_不用软件计算9.1不考虑经费管理评价xl 3" xfId="1990"/>
    <cellStyle name="Explanatory Text 2" xfId="1991"/>
    <cellStyle name="_20100326高清市院遂宁检察院1080P配置清单26日改" xfId="1992"/>
    <cellStyle name="20% - 强调文字颜色 4 5 2" xfId="1993"/>
    <cellStyle name="千位分隔 4 9" xfId="1994"/>
    <cellStyle name="标题 4 3 6" xfId="1995"/>
    <cellStyle name="好_05玉溪 8" xfId="1996"/>
    <cellStyle name="好_2009年一般性转移支付标准工资_奖励补助测算5.24冯铸" xfId="1997"/>
    <cellStyle name="表标题 7" xfId="1998"/>
    <cellStyle name="好_地方配套按人均增幅控制8.30xl 2" xfId="1999"/>
    <cellStyle name="差_卫生部门 5" xfId="2000"/>
    <cellStyle name="常规 4 7" xfId="2001"/>
    <cellStyle name="20% - 强调文字颜色 6 8" xfId="2002"/>
    <cellStyle name="好_教育厅提供义务教育及高中教师人数（2009年1月6日） 4" xfId="2003"/>
    <cellStyle name="60% - Accent1 5" xfId="2004"/>
    <cellStyle name="20% - Accent6 7" xfId="2005"/>
    <cellStyle name="解释性文本 8 2" xfId="2006"/>
    <cellStyle name="Accent6 - 40% 3" xfId="2007"/>
    <cellStyle name="汇总 10" xfId="2008"/>
    <cellStyle name="Accent3 4" xfId="2009"/>
    <cellStyle name="差_2009年一般性转移支付标准工资_奖励补助测算5.24冯铸 3" xfId="2010"/>
    <cellStyle name="差_教育厅提供义务教育及高中教师人数（2009年1月6日） 4" xfId="2011"/>
    <cellStyle name="差_05玉溪 4" xfId="2012"/>
    <cellStyle name="小数 8" xfId="2013"/>
    <cellStyle name="常规 2 3" xfId="2014"/>
    <cellStyle name="60% - 强调文字颜色 3 6" xfId="2015"/>
    <cellStyle name="常规 2 5 6" xfId="2016"/>
    <cellStyle name="注释 2 3" xfId="2017"/>
    <cellStyle name="HEADING1" xfId="2018"/>
    <cellStyle name="好_2009年一般性转移支付标准工资_~5676413 4" xfId="2019"/>
    <cellStyle name="常规 2 7" xfId="2020"/>
    <cellStyle name="数量" xfId="2021"/>
    <cellStyle name="Good 9" xfId="2022"/>
    <cellStyle name="差_2006年基础数据 3" xfId="2023"/>
    <cellStyle name="好_2009年一般性转移支付标准工资_奖励补助测算7.23 2" xfId="2024"/>
    <cellStyle name="20% - 强调文字颜色 4 3 3" xfId="2025"/>
    <cellStyle name="小数 6" xfId="2026"/>
    <cellStyle name="0,0_x000d_&#10;NA_x000d_&#10;" xfId="2027"/>
    <cellStyle name="计算 4" xfId="2028"/>
    <cellStyle name="差_Book2 6" xfId="2029"/>
    <cellStyle name="好_地方配套按人均增幅控制8.31（调整结案率后）xl 7" xfId="2030"/>
    <cellStyle name="好_义务教育阶段教职工人数（教育厅提供最终）" xfId="2031"/>
    <cellStyle name="好_2009年一般性转移支付标准工资_奖励补助测算7.25 (version 1) (version 1) 6" xfId="2032"/>
    <cellStyle name="60% - 强调文字颜色 1 3 4" xfId="2033"/>
    <cellStyle name="40% - 强调文字颜色 6 3 3" xfId="2034"/>
    <cellStyle name="40% - 强调文字颜色 1 10" xfId="2035"/>
    <cellStyle name="差_~4190974 3" xfId="2036"/>
    <cellStyle name="输入 3 7" xfId="2037"/>
    <cellStyle name="好_2006年基础数据 3" xfId="2038"/>
    <cellStyle name="差_奖励补助测算5.22测试 2" xfId="2039"/>
    <cellStyle name="好_地方配套按人均增幅控制8.30xl 6" xfId="2040"/>
    <cellStyle name="Accent3 - 20%" xfId="2041"/>
    <cellStyle name="烹拳_ +Foil &amp; -FOIL &amp; PAPER" xfId="2042"/>
    <cellStyle name="差_05玉溪 2" xfId="2043"/>
    <cellStyle name="好_11大理 3" xfId="2044"/>
    <cellStyle name="链接单元格 9 2" xfId="2045"/>
    <cellStyle name="常规 2 3 4" xfId="2046"/>
    <cellStyle name="60% - 强调文字颜色 1 4" xfId="2047"/>
    <cellStyle name="差_云南省2008年转移支付测算——州市本级考核部分及政策性测算 3" xfId="2048"/>
    <cellStyle name="强调文字颜色 2 9" xfId="2049"/>
    <cellStyle name="RowLevel_0" xfId="2050"/>
    <cellStyle name="Good 7" xfId="2051"/>
    <cellStyle name="差_2009年一般性转移支付标准工资_奖励补助测算7.23 7" xfId="2052"/>
    <cellStyle name="强调文字颜色 4 2" xfId="2053"/>
    <cellStyle name="差_2009年一般性转移支付标准工资_奖励补助测算5.23新" xfId="2054"/>
    <cellStyle name="标题 11" xfId="2055"/>
    <cellStyle name="后继超链接 9" xfId="2056"/>
    <cellStyle name="强调文字颜色 4 7 2" xfId="2057"/>
    <cellStyle name="Accent2 - 20% 8" xfId="2058"/>
    <cellStyle name="表标题 2" xfId="2059"/>
    <cellStyle name="差_2009年一般性转移支付标准工资_地方配套按人均增幅控制8.30xl 5" xfId="2060"/>
    <cellStyle name="普通_ 白土" xfId="2061"/>
    <cellStyle name="40% - Accent2 7" xfId="2062"/>
    <cellStyle name="差_2006年水利统计指标统计表 7" xfId="2063"/>
    <cellStyle name="20% - 强调文字颜色 4 3 2" xfId="2064"/>
    <cellStyle name="好_2009年一般性转移支付标准工资_奖励补助测算7.25 9" xfId="2065"/>
    <cellStyle name="好_Book1 6" xfId="2066"/>
    <cellStyle name="强调文字颜色 2 4" xfId="2067"/>
    <cellStyle name="40% - 强调文字颜色 1 5 2" xfId="2068"/>
    <cellStyle name="好_奖励补助测算5.22测试 3" xfId="2069"/>
    <cellStyle name="常规 2 8" xfId="2070"/>
    <cellStyle name="强调文字颜色 3 4 2" xfId="2071"/>
    <cellStyle name="差_义务教育阶段教职工人数（教育厅提供最终） 5" xfId="2072"/>
    <cellStyle name="40% - 强调文字颜色 6 8" xfId="2073"/>
    <cellStyle name="好_奖励补助测算7.25 (version 1) (version 1) 8" xfId="2074"/>
    <cellStyle name="好_汇总 9" xfId="2075"/>
    <cellStyle name="强调文字颜色 2 3" xfId="2076"/>
    <cellStyle name="好_Book1 5" xfId="2077"/>
    <cellStyle name="常规 5 3" xfId="2078"/>
    <cellStyle name="40% - 强调文字颜色 5 9 2" xfId="2079"/>
    <cellStyle name="60% - Accent3 2" xfId="2080"/>
    <cellStyle name="差_汇总-县级财政报表附表 3" xfId="2081"/>
    <cellStyle name="好_奖励补助测算5.22测试 2" xfId="2082"/>
    <cellStyle name="标题 1 9" xfId="2083"/>
    <cellStyle name="差_2007年人员分部门统计表 5" xfId="2084"/>
    <cellStyle name="40% - 强调文字颜色 1 3 6" xfId="2085"/>
    <cellStyle name="强调文字颜色 6 3 3" xfId="2086"/>
    <cellStyle name="20% - 强调文字颜色 6 3 5" xfId="2087"/>
    <cellStyle name="差_5334_2006年迪庆县级财政报表附表 6" xfId="2088"/>
    <cellStyle name="检查单元格 3 3" xfId="2089"/>
    <cellStyle name="好_0605石屏县 6" xfId="2090"/>
    <cellStyle name="Accent6 - 40% 4" xfId="2091"/>
    <cellStyle name="好_2009年一般性转移支付标准工资_地方配套按人均增幅控制8.30xl 7" xfId="2092"/>
    <cellStyle name="好_2006年在职人员情况 7" xfId="2093"/>
    <cellStyle name="差_历年教师人数" xfId="2094"/>
    <cellStyle name="钎霖_4岿角利" xfId="2095"/>
    <cellStyle name="千位分隔 3 7" xfId="2096"/>
    <cellStyle name="差_M03 3" xfId="2097"/>
    <cellStyle name="常规 5 2 9" xfId="2098"/>
    <cellStyle name="标题 2 8" xfId="2099"/>
    <cellStyle name="差_00省级(定稿) 3" xfId="2100"/>
    <cellStyle name="差_2007年政法部门业务指标 5" xfId="2101"/>
    <cellStyle name="常规 2 2 2" xfId="2102"/>
    <cellStyle name="常规 2 13" xfId="2103"/>
    <cellStyle name="Accent1 - 40% 3" xfId="2104"/>
    <cellStyle name="Explanatory Text 7" xfId="2105"/>
    <cellStyle name="20% - 强调文字颜色 4 3 4" xfId="2106"/>
    <cellStyle name="好_2009年一般性转移支付标准工资_奖励补助测算7.23 3" xfId="2107"/>
    <cellStyle name="强调文字颜色 4 3 2" xfId="2108"/>
    <cellStyle name="好_云南农村义务教育统计表 3" xfId="2109"/>
    <cellStyle name="好_1003牟定县 8" xfId="2110"/>
    <cellStyle name="常规 2 5" xfId="2111"/>
    <cellStyle name="好_2009年一般性转移支付标准工资_~5676413 2" xfId="2112"/>
    <cellStyle name="差_财政供养人员" xfId="2113"/>
    <cellStyle name="好_11大理 9" xfId="2114"/>
    <cellStyle name="差_奖励补助测算7.25" xfId="2115"/>
    <cellStyle name="差_云南农村义务教育统计表 7" xfId="2116"/>
    <cellStyle name="好_~4190974 6" xfId="2117"/>
    <cellStyle name="常规 2 5 3" xfId="2118"/>
    <cellStyle name="60% - 强调文字颜色 3 3" xfId="2119"/>
    <cellStyle name="差_奖励补助测算5.24冯铸 2" xfId="2120"/>
    <cellStyle name="标题 1 7 2" xfId="2121"/>
    <cellStyle name="Explanatory Text 8" xfId="2122"/>
    <cellStyle name="Input" xfId="2123"/>
    <cellStyle name="20% - 强调文字颜色 4 3 5" xfId="2124"/>
    <cellStyle name="好_2009年一般性转移支付标准工资_奖励补助测算7.23 4" xfId="2125"/>
    <cellStyle name="强调文字颜色 4 3 3" xfId="2126"/>
    <cellStyle name="标题 3 3 6" xfId="2127"/>
    <cellStyle name="差_2009年一般性转移支付标准工资_地方配套按人均增幅控制8.30一般预算平均增幅、人均可用财力平均增幅两次控制、社会治安系数调整、案件数调整xl 3" xfId="2128"/>
    <cellStyle name="差_地方配套按人均增幅控制8.30一般预算平均增幅、人均可用财力平均增幅两次控制、社会治安系数调整、案件数调整xl 9" xfId="2129"/>
    <cellStyle name="常规 7 4" xfId="2130"/>
    <cellStyle name="标题 3 9" xfId="2131"/>
    <cellStyle name="差_2、土地面积、人口、粮食产量基本情况 6" xfId="2132"/>
    <cellStyle name="差_2006年全省财力计算表（中央、决算） 7" xfId="2133"/>
    <cellStyle name="链接单元格 2" xfId="2134"/>
    <cellStyle name="好_县级基础数据" xfId="2135"/>
    <cellStyle name="0,0&#13;&#10;NA&#13;&#10;" xfId="2136"/>
    <cellStyle name="差_2009年一般性转移支付标准工资 4" xfId="2137"/>
    <cellStyle name="好_奖励补助测算5.22测试 6" xfId="2138"/>
    <cellStyle name="强调文字颜色 6 5 2" xfId="2139"/>
    <cellStyle name="差_财政供养人员 4" xfId="2140"/>
    <cellStyle name="差_奖励补助测算7.23 8" xfId="2141"/>
    <cellStyle name="60% - 强调文字颜色 3 5 2" xfId="2142"/>
    <cellStyle name="60% - 强调文字颜色 6 8" xfId="2143"/>
    <cellStyle name="常规 2 8 8" xfId="2144"/>
    <cellStyle name="Output 3" xfId="2145"/>
    <cellStyle name="好_基础数据分析 9" xfId="2146"/>
    <cellStyle name="Accent4 9" xfId="2147"/>
    <cellStyle name="20% - Accent1 7" xfId="2148"/>
    <cellStyle name="常规 2 2 2 6" xfId="2149"/>
    <cellStyle name="好 2" xfId="2150"/>
    <cellStyle name="Accent6 - 20% 6" xfId="2151"/>
    <cellStyle name="40% - 强调文字颜色 1 6" xfId="2152"/>
    <cellStyle name="好_2009年一般性转移支付标准工资_地方配套按人均增幅控制8.30xl 6" xfId="2153"/>
    <cellStyle name="好_2006年在职人员情况 6" xfId="2154"/>
    <cellStyle name="强调文字颜色 4 6" xfId="2155"/>
    <cellStyle name="Title 8" xfId="2156"/>
    <cellStyle name="Accent3 6" xfId="2157"/>
    <cellStyle name="好_2009年一般性转移支付标准工资_地方配套按人均增幅控制8.30一般预算平均增幅、人均可用财力平均增幅两次控制、社会治安系数调整、案件数调整xl 7" xfId="2158"/>
    <cellStyle name="40% - 强调文字颜色 4 2" xfId="2159"/>
    <cellStyle name="差_05玉溪 6" xfId="2160"/>
    <cellStyle name="检查单元格 8" xfId="2161"/>
    <cellStyle name="常规 2 6" xfId="2162"/>
    <cellStyle name="20% - 强调文字颜色 3 4 2" xfId="2163"/>
    <cellStyle name="差_教育厅提供义务教育及高中教师人数（2009年1月6日） 2" xfId="2164"/>
    <cellStyle name="好 7 2" xfId="2165"/>
    <cellStyle name="Heading 2 8" xfId="2166"/>
    <cellStyle name="差_义务教育阶段教职工人数（教育厅提供最终） 7" xfId="2167"/>
    <cellStyle name="Heading 2 9" xfId="2168"/>
    <cellStyle name="60% - 强调文字颜色 2 10" xfId="2169"/>
    <cellStyle name="差_教育厅提供义务教育及高中教师人数（2009年1月6日） 3" xfId="2170"/>
    <cellStyle name="差_2009年一般性转移支付标准工资_奖励补助测算5.24冯铸 2" xfId="2171"/>
    <cellStyle name="千位分隔 4 5" xfId="2172"/>
    <cellStyle name="强调文字颜色 6 3 2" xfId="2173"/>
    <cellStyle name="40% - 强调文字颜色 1 3 5" xfId="2174"/>
    <cellStyle name="20% - 强调文字颜色 6 3 4" xfId="2175"/>
    <cellStyle name="Calculation" xfId="2176"/>
    <cellStyle name="差_义务教育阶段教职工人数（教育厅提供最终）" xfId="2177"/>
    <cellStyle name="好_奖励补助测算5.24冯铸 7" xfId="2178"/>
    <cellStyle name="Accent1 - 40% 8" xfId="2179"/>
    <cellStyle name="好_5334_2006年迪庆县级财政报表附表 6" xfId="2180"/>
    <cellStyle name="标题 3 4 2" xfId="2181"/>
    <cellStyle name="Accent1 - 40% 5" xfId="2182"/>
    <cellStyle name="常规 2 15" xfId="2183"/>
    <cellStyle name="好_5334_2006年迪庆县级财政报表附表 3" xfId="2184"/>
    <cellStyle name="好_地方配套按人均增幅控制8.30一般预算平均增幅、人均可用财力平均增幅两次控制、社会治安系数调整、案件数调整xl 5" xfId="2185"/>
    <cellStyle name="常规 3 11" xfId="2186"/>
    <cellStyle name="好_1003牟定县 4" xfId="2187"/>
    <cellStyle name="Accent5 - 60% 8" xfId="2188"/>
    <cellStyle name="数字 8" xfId="2189"/>
    <cellStyle name="千位分隔 2 2 6" xfId="2190"/>
    <cellStyle name="差_0502通海县" xfId="2191"/>
    <cellStyle name="好_奖励补助测算7.23 8" xfId="2192"/>
    <cellStyle name="适中 4 2" xfId="2193"/>
    <cellStyle name="强调文字颜色 4 9 2" xfId="2194"/>
    <cellStyle name="好_奖励补助测算5.23新 7" xfId="2195"/>
    <cellStyle name="好_00省级(打印) 4" xfId="2196"/>
    <cellStyle name="强调文字颜色 1 3 4" xfId="2197"/>
    <cellStyle name="20% - 强调文字颜色 1 3 6" xfId="2198"/>
    <cellStyle name="差_奖励补助测算5.22测试 8" xfId="2199"/>
    <cellStyle name="差_11大理 3" xfId="2200"/>
    <cellStyle name="千位分隔 3 9" xfId="2201"/>
    <cellStyle name="差_2009年一般性转移支付标准工资_奖励补助测算5.23新 4" xfId="2202"/>
    <cellStyle name="60% - 强调文字颜色 2 8" xfId="2203"/>
    <cellStyle name="好_2、土地面积、人口、粮食产量基本情况 7" xfId="2204"/>
    <cellStyle name="常规 2 4 8" xfId="2205"/>
    <cellStyle name="40% - 强调文字颜色 1 6 2" xfId="2206"/>
    <cellStyle name="差_M03 6" xfId="2207"/>
    <cellStyle name="20% - 强调文字颜色 1 7" xfId="2208"/>
    <cellStyle name="输入 5" xfId="2209"/>
    <cellStyle name="好_2009年一般性转移支付标准工资_奖励补助测算7.25 (version 1) (version 1) 3" xfId="2210"/>
    <cellStyle name="好_2009年一般性转移支付标准工资_奖励补助测算5.24冯铸 7" xfId="2211"/>
    <cellStyle name="60% - Accent5" xfId="2212"/>
    <cellStyle name="好_~5676413 5" xfId="2213"/>
    <cellStyle name="20% - Accent4" xfId="2214"/>
    <cellStyle name="60% - 强调文字颜色 1 6 2" xfId="2215"/>
    <cellStyle name="差_2009年一般性转移支付标准工资_~5676413 8" xfId="2216"/>
    <cellStyle name="常规 43" xfId="2217"/>
    <cellStyle name="常规 38" xfId="2218"/>
    <cellStyle name="Heading 4 2" xfId="2219"/>
    <cellStyle name="好_业务工作量指标 3" xfId="2220"/>
    <cellStyle name="差_指标四 8" xfId="2221"/>
    <cellStyle name="差_地方配套按人均增幅控制8.30一般预算平均增幅、人均可用财力平均增幅两次控制、社会治安系数调整、案件数调整xl 2" xfId="2222"/>
    <cellStyle name="好_业务工作量指标" xfId="2223"/>
    <cellStyle name="常规 2 14" xfId="2224"/>
    <cellStyle name="Accent1 - 40% 4" xfId="2225"/>
    <cellStyle name="好_5334_2006年迪庆县级财政报表附表 2" xfId="2226"/>
    <cellStyle name="好_地方配套按人均增幅控制8.30一般预算平均增幅、人均可用财力平均增幅两次控制、社会治安系数调整、案件数调整xl 4" xfId="2227"/>
    <cellStyle name="20% - Accent1 3" xfId="2228"/>
    <cellStyle name="Accent4 5" xfId="2229"/>
    <cellStyle name="计算 10" xfId="2230"/>
    <cellStyle name="常规 2 2 2 2" xfId="2231"/>
    <cellStyle name="20% - 强调文字颜色 5 6 2" xfId="2232"/>
    <cellStyle name="好_下半年禁吸戒毒经费1000万元 7" xfId="2233"/>
    <cellStyle name="差_2007年政法部门业务指标 3" xfId="2234"/>
    <cellStyle name="常规 5 2 7" xfId="2235"/>
    <cellStyle name="标题 2 6" xfId="2236"/>
    <cellStyle name="差 8" xfId="2237"/>
    <cellStyle name="链接单元格 3 6" xfId="2238"/>
    <cellStyle name="40% - 强调文字颜色 4 7 2" xfId="2239"/>
    <cellStyle name="强调文字颜色 3 7 2" xfId="2240"/>
    <cellStyle name="差_2009年一般性转移支付标准工资_奖励补助测算5.22测试 6" xfId="2241"/>
    <cellStyle name="常规 5 8" xfId="2242"/>
    <cellStyle name="后继超链接 5" xfId="2243"/>
    <cellStyle name="链接单元格 3 3" xfId="2244"/>
    <cellStyle name="差 5" xfId="2245"/>
    <cellStyle name="差_业务工作量指标 8" xfId="2246"/>
    <cellStyle name="差_奖励补助测算5.24冯铸 9" xfId="2247"/>
    <cellStyle name="强调文字颜色 5 3 6" xfId="2248"/>
    <cellStyle name="好_县级公安机关公用经费标准奖励测算方案（定稿） 6" xfId="2249"/>
    <cellStyle name="好_M01-2(州市补助收入) 8" xfId="2250"/>
    <cellStyle name="好_三季度－表二" xfId="2251"/>
    <cellStyle name="标题 3 5 2" xfId="2252"/>
    <cellStyle name="警告文本 10" xfId="2253"/>
    <cellStyle name="差_县级公安机关公用经费标准奖励测算方案（定稿） 5" xfId="2254"/>
    <cellStyle name="60% - 强调文字颜色 1 6" xfId="2255"/>
    <cellStyle name="常规 2 3 6" xfId="2256"/>
    <cellStyle name="好_2009年一般性转移支付标准工资_奖励补助测算5.22测试" xfId="2257"/>
    <cellStyle name="好_2007年政法部门业务指标 8" xfId="2258"/>
    <cellStyle name="标题 1 9 2" xfId="2259"/>
    <cellStyle name="20% - 强调文字颜色 1 2" xfId="2260"/>
    <cellStyle name="计算 5" xfId="2261"/>
    <cellStyle name="差_第五部分(才淼、饶永宏） 6" xfId="2262"/>
    <cellStyle name="好_11大理 6" xfId="2263"/>
    <cellStyle name="差_00省级(打印) 6" xfId="2264"/>
    <cellStyle name="差_奖励补助测算7.25 (version 1) (version 1) 4" xfId="2265"/>
    <cellStyle name="好_奖励补助测算7.23 3" xfId="2266"/>
    <cellStyle name="常规 13 2" xfId="2267"/>
    <cellStyle name="Accent2 2" xfId="2268"/>
    <cellStyle name="差_00省级(定稿)" xfId="2269"/>
    <cellStyle name="Heading 4 9" xfId="2270"/>
    <cellStyle name="好_2006年基础数据" xfId="2271"/>
    <cellStyle name="差_2009年一般性转移支付标准工资_奖励补助测算7.25 4" xfId="2272"/>
    <cellStyle name="差_基础数据分析 6" xfId="2273"/>
    <cellStyle name="好_奖励补助测算7.25 4" xfId="2274"/>
    <cellStyle name="好_云南农村义务教育统计表 2" xfId="2275"/>
    <cellStyle name="好_1003牟定县 7" xfId="2276"/>
    <cellStyle name="千位分隔 3 2" xfId="2277"/>
    <cellStyle name="强调文字颜色 6 7" xfId="2278"/>
    <cellStyle name="标题 7 2" xfId="2279"/>
    <cellStyle name="计算 7" xfId="2280"/>
    <cellStyle name="常规 2 4" xfId="2281"/>
    <cellStyle name="60% - Accent5 2" xfId="2282"/>
    <cellStyle name="差_0502通海县 7" xfId="2283"/>
    <cellStyle name="霓付 [0]_ +Foil &amp; -FOIL &amp; PAPER" xfId="2284"/>
    <cellStyle name="好_2007年政法部门业务指标 6" xfId="2285"/>
    <cellStyle name="Note 8" xfId="2286"/>
    <cellStyle name="强调文字颜色 2 6 2" xfId="2287"/>
    <cellStyle name="强调文字颜色 6 9" xfId="2288"/>
    <cellStyle name="60% - 强调文字颜色 5 3 7" xfId="2289"/>
    <cellStyle name="Heading 4 8" xfId="2290"/>
    <cellStyle name="好_业务工作量指标 9" xfId="2291"/>
    <cellStyle name="好 9 2" xfId="2292"/>
    <cellStyle name="差_奖励补助测算5.22测试 6" xfId="2293"/>
    <cellStyle name="好_0605石屏县 5" xfId="2294"/>
    <cellStyle name="检查单元格 3 2" xfId="2295"/>
    <cellStyle name="常规 5 2 8" xfId="2296"/>
    <cellStyle name="标题 2 7" xfId="2297"/>
    <cellStyle name="差_M03 2" xfId="2298"/>
    <cellStyle name="好_Book2" xfId="2299"/>
    <cellStyle name="好 6 2" xfId="2300"/>
    <cellStyle name="Heading 1 8" xfId="2301"/>
    <cellStyle name="差_云南农村义务教育统计表 9" xfId="2302"/>
    <cellStyle name="好_~4190974 8" xfId="2303"/>
    <cellStyle name="好_~5676413" xfId="2304"/>
    <cellStyle name="链接单元格 4 2" xfId="2305"/>
    <cellStyle name="好_2009年一般性转移支付标准工资_~4190974 3" xfId="2306"/>
    <cellStyle name="解释性文本 7" xfId="2307"/>
    <cellStyle name="好 4" xfId="2308"/>
    <cellStyle name="适中 6 2" xfId="2309"/>
    <cellStyle name="解释性文本 3 7" xfId="2310"/>
    <cellStyle name="差_M01-2(州市补助收入) 4" xfId="2311"/>
    <cellStyle name="差_高中教师人数（教育厅1.6日提供） 9" xfId="2312"/>
    <cellStyle name="输出 4" xfId="2313"/>
    <cellStyle name="差_530629_2006年县级财政报表附表 9" xfId="2314"/>
    <cellStyle name="差_指标四" xfId="2315"/>
    <cellStyle name="好_云南省2008年转移支付测算——州市本级考核部分及政策性测算 9" xfId="2316"/>
    <cellStyle name="Note 3" xfId="2317"/>
    <cellStyle name="差_530623_2006年县级财政报表附表 8" xfId="2318"/>
    <cellStyle name="60% - 强调文字颜色 3 8 2" xfId="2319"/>
    <cellStyle name="差_汇总" xfId="2320"/>
    <cellStyle name="差_2009年一般性转移支付标准工资_地方配套按人均增幅控制8.31（调整结案率后）xl 6" xfId="2321"/>
    <cellStyle name="Accent1 - 20% 5" xfId="2322"/>
    <cellStyle name="差_2009年一般性转移支付标准工资_奖励补助测算7.23" xfId="2323"/>
    <cellStyle name="差_奖励补助测算7.25 (version 1) (version 1) 9" xfId="2324"/>
    <cellStyle name="千位分隔 2 2 3" xfId="2325"/>
    <cellStyle name="差_三季度－表二 7" xfId="2326"/>
    <cellStyle name="差_~5676413 7" xfId="2327"/>
    <cellStyle name="40% - 强调文字颜色 3 3 4" xfId="2328"/>
    <cellStyle name="Accent4 - 20% 6" xfId="2329"/>
    <cellStyle name="强调文字颜色 5 3 2" xfId="2330"/>
    <cellStyle name="差_业务工作量指标 4" xfId="2331"/>
    <cellStyle name="20% - 强调文字颜色 5 3 4" xfId="2332"/>
    <cellStyle name="差_奖励补助测算5.24冯铸 5" xfId="2333"/>
    <cellStyle name="常规 2 9" xfId="2334"/>
    <cellStyle name="好_Book1 7" xfId="2335"/>
    <cellStyle name="强调文字颜色 2 5" xfId="2336"/>
    <cellStyle name="好_奖励补助测算5.22测试 4" xfId="2337"/>
    <cellStyle name="20% - 强调文字颜色 6 5 2" xfId="2338"/>
    <cellStyle name="差_2009年一般性转移支付标准工资 2" xfId="2339"/>
    <cellStyle name="常规 32" xfId="2340"/>
    <cellStyle name="常规 27" xfId="2341"/>
    <cellStyle name="差_2009年一般性转移支付标准工资_~5676413 2" xfId="2342"/>
    <cellStyle name="差_云南省2008年中小学教职工情况（教育厅提供20090101加工整理） 7" xfId="2343"/>
    <cellStyle name="好_县级公安机关公用经费标准奖励测算方案（定稿）" xfId="2344"/>
    <cellStyle name="差_03昭通 3" xfId="2345"/>
    <cellStyle name="标题 1 3 6" xfId="2346"/>
    <cellStyle name="差_0502通海县 5" xfId="2347"/>
    <cellStyle name="好_地方配套按人均增幅控制8.30xl 9" xfId="2348"/>
    <cellStyle name="好_汇总" xfId="2349"/>
    <cellStyle name="汇总 3 7" xfId="2350"/>
    <cellStyle name="Milliers [0]_!!!GO" xfId="2351"/>
    <cellStyle name="20% - 强调文字颜色 2 5" xfId="2352"/>
    <cellStyle name="好_5334_2006年迪庆县级财政报表附表 9" xfId="2353"/>
    <cellStyle name="好_教师绩效工资测算表（离退休按各地上报数测算）2009年1月1日" xfId="2354"/>
    <cellStyle name="差_2008云南省分县市中小学教职工统计表（教育厅提供） 4" xfId="2355"/>
    <cellStyle name="小数 9" xfId="2356"/>
    <cellStyle name="40% - 强调文字颜色 2 6" xfId="2357"/>
    <cellStyle name="标题 2 10" xfId="2358"/>
    <cellStyle name="注释 4 2" xfId="2359"/>
    <cellStyle name="差_地方配套按人均增幅控制8.31（调整结案率后）xl" xfId="2360"/>
    <cellStyle name="好_奖励补助测算5.24冯铸 3" xfId="2361"/>
    <cellStyle name="差_地方配套按人均增幅控制8.30xl 6" xfId="2362"/>
    <cellStyle name="40% - Accent3 8" xfId="2363"/>
    <cellStyle name="好_Book1_1 3" xfId="2364"/>
    <cellStyle name="Header2" xfId="2365"/>
    <cellStyle name="20% - 强调文字颜色 2 3 6" xfId="2366"/>
    <cellStyle name="标题 1 6 2" xfId="2367"/>
    <cellStyle name="强调文字颜色 2 3 4" xfId="2368"/>
    <cellStyle name="检查单元格 4" xfId="2369"/>
    <cellStyle name="标题 2 3 6" xfId="2370"/>
    <cellStyle name="20% - 强调文字颜色 2 4" xfId="2371"/>
    <cellStyle name="差_文体广播部门" xfId="2372"/>
    <cellStyle name="常规 2 11" xfId="2373"/>
    <cellStyle name="好_Book2 6" xfId="2374"/>
    <cellStyle name="强调文字颜色 3 4" xfId="2375"/>
    <cellStyle name="好_高中教师人数（教育厅1.6日提供）" xfId="2376"/>
    <cellStyle name="霓付_ +Foil &amp; -FOIL &amp; PAPER" xfId="2377"/>
    <cellStyle name="强调文字颜色 5 5 2" xfId="2378"/>
    <cellStyle name="_Book1_3" xfId="2379"/>
    <cellStyle name="Accent3 - 60%" xfId="2380"/>
    <cellStyle name="强调文字颜色 3 6" xfId="2381"/>
    <cellStyle name="好_Book2 8" xfId="2382"/>
    <cellStyle name="差_Book2 9" xfId="2383"/>
    <cellStyle name="好_2007年检察院案件数 8" xfId="2384"/>
    <cellStyle name="Accent5 - 60%" xfId="2385"/>
    <cellStyle name="数字" xfId="2386"/>
    <cellStyle name="警告文本 8 2" xfId="2387"/>
    <cellStyle name="好_Book1_1" xfId="2388"/>
    <cellStyle name="40% - Accent5 2" xfId="2389"/>
    <cellStyle name="好_2、土地面积、人口、粮食产量基本情况 8" xfId="2390"/>
    <cellStyle name="检查单元格 10" xfId="2391"/>
    <cellStyle name="差_2009年一般性转移支付标准工资_奖励补助测算5.23新 5" xfId="2392"/>
    <cellStyle name="常规 6 2" xfId="2393"/>
    <cellStyle name="60% - 强调文字颜色 2 9" xfId="2394"/>
    <cellStyle name="常规 2 4 9" xfId="2395"/>
    <cellStyle name="千位分隔 2 2 9" xfId="2396"/>
    <cellStyle name="差_2009年一般性转移支付标准工资_地方配套按人均增幅控制8.30一般预算平均增幅、人均可用财力平均增幅两次控制、社会治安系数调整、案件数调整xl 2" xfId="2397"/>
    <cellStyle name="差_地方配套按人均增幅控制8.30一般预算平均增幅、人均可用财力平均增幅两次控制、社会治安系数调整、案件数调整xl 8" xfId="2398"/>
    <cellStyle name="标题 3 3 5" xfId="2399"/>
    <cellStyle name="差_2009年一般性转移支付标准工资_~4190974" xfId="2400"/>
    <cellStyle name="Accent1 - 20% 7" xfId="2401"/>
    <cellStyle name="差_2009年一般性转移支付标准工资_地方配套按人均增幅控制8.31（调整结案率后）xl 8" xfId="2402"/>
    <cellStyle name="40% - Accent5 4" xfId="2403"/>
    <cellStyle name="差_00省级(定稿) 5" xfId="2404"/>
    <cellStyle name="差_2007年政法部门业务指标 7" xfId="2405"/>
    <cellStyle name="40% - 强调文字颜色 6 3 6" xfId="2406"/>
    <cellStyle name="60% - 强调文字颜色 1 3 7" xfId="2407"/>
    <cellStyle name="差_汇总-县级财政报表附表" xfId="2408"/>
    <cellStyle name="常规 4 2" xfId="2409"/>
    <cellStyle name="常规 2 2 9" xfId="2410"/>
    <cellStyle name="20% - 强调文字颜色 2 6 2" xfId="2411"/>
    <cellStyle name="好_2007年政法部门业务指标 4" xfId="2412"/>
    <cellStyle name="Note 6" xfId="2413"/>
    <cellStyle name="常规 9" xfId="2414"/>
    <cellStyle name="好_卫生部门 8" xfId="2415"/>
    <cellStyle name="差_2006年基础数据 7" xfId="2416"/>
    <cellStyle name="强调文字颜色 4 10" xfId="2417"/>
    <cellStyle name="好_第五部分(才淼、饶永宏） 3" xfId="2418"/>
    <cellStyle name="20% - 强调文字颜色 2 5 2" xfId="2419"/>
    <cellStyle name="差_2009年一般性转移支付标准工资_地方配套按人均增幅控制8.30xl" xfId="2420"/>
    <cellStyle name="40% - 强调文字颜色 4 9 2" xfId="2421"/>
    <cellStyle name="差_云南省2008年中小学教师人数统计表" xfId="2422"/>
    <cellStyle name="常规 3 2 3" xfId="2423"/>
    <cellStyle name="计算 9 2" xfId="2424"/>
    <cellStyle name="Accent5 - 40% 4" xfId="2425"/>
    <cellStyle name="链接单元格 5" xfId="2426"/>
    <cellStyle name="计算 5 2" xfId="2427"/>
    <cellStyle name="常规 18" xfId="2428"/>
    <cellStyle name="常规 23" xfId="2429"/>
    <cellStyle name="60% - 强调文字颜色 4 2" xfId="2430"/>
    <cellStyle name="常规 2 6 2" xfId="2431"/>
    <cellStyle name="好_00省级(定稿) 9" xfId="2432"/>
    <cellStyle name="输出 10" xfId="2433"/>
    <cellStyle name="好_汇总 3" xfId="2434"/>
    <cellStyle name="好_奖励补助测算7.25 (version 1) (version 1) 2" xfId="2435"/>
    <cellStyle name="60% - 强调文字颜色 6 7 2" xfId="2436"/>
    <cellStyle name="好_三季度－表二 4" xfId="2437"/>
    <cellStyle name="好_2009年一般性转移支付标准工资 8" xfId="2438"/>
    <cellStyle name="差_2009年一般性转移支付标准工资_不用软件计算9.1不考虑经费管理评价xl 4" xfId="2439"/>
    <cellStyle name="差_Book1_1 3" xfId="2440"/>
    <cellStyle name="差_义务教育阶段教职工人数（教育厅提供最终） 9" xfId="2441"/>
    <cellStyle name="差_义务教育阶段教职工人数（教育厅提供最终） 8" xfId="2442"/>
    <cellStyle name="差_Book1_1 2" xfId="2443"/>
    <cellStyle name="Accent2" xfId="2444"/>
    <cellStyle name="40% - 强调文字颜色 5 7" xfId="2445"/>
    <cellStyle name="好_2009年一般性转移支付标准工资_奖励补助测算5.24冯铸 3" xfId="2446"/>
    <cellStyle name="60% - Accent1" xfId="2447"/>
    <cellStyle name="好_奖励补助测算7.23 6" xfId="2448"/>
    <cellStyle name="千位分隔 2 2 4" xfId="2449"/>
    <cellStyle name="好_03昭通 6" xfId="2450"/>
    <cellStyle name="好_2006年全省财力计算表（中央、决算）" xfId="2451"/>
    <cellStyle name="差 5 2" xfId="2452"/>
    <cellStyle name="好_2006年全省财力计算表（中央、决算） 6" xfId="2453"/>
    <cellStyle name="40% - 强调文字颜色 6 9" xfId="2454"/>
    <cellStyle name="好_2006年基础数据 2" xfId="2455"/>
    <cellStyle name="40% - 强调文字颜色 3 9" xfId="2456"/>
    <cellStyle name="好_03昭通 5" xfId="2457"/>
    <cellStyle name="好_2009年一般性转移支付标准工资 4" xfId="2458"/>
    <cellStyle name="60% - 强调文字颜色 4 3 5" xfId="2459"/>
    <cellStyle name="强调文字颜色 4 8 2" xfId="2460"/>
    <cellStyle name="差_2009年一般性转移支付标准工资_~4190974 4" xfId="2461"/>
    <cellStyle name="适中 3 2" xfId="2462"/>
    <cellStyle name="差 3" xfId="2463"/>
    <cellStyle name="常规 2 2 4" xfId="2464"/>
    <cellStyle name="常规_2021259552931" xfId="2465"/>
    <cellStyle name="强调文字颜色 6 3 7" xfId="2466"/>
    <cellStyle name="常规 76" xfId="2467"/>
    <cellStyle name="差_2009年一般性转移支付标准工资_地方配套按人均增幅控制8.31（调整结案率后）xl 5" xfId="2468"/>
    <cellStyle name="Accent1 - 20% 4" xfId="2469"/>
    <cellStyle name="好_卫生部门 6" xfId="2470"/>
    <cellStyle name="常规 7" xfId="2471"/>
    <cellStyle name="标题 1 5 2" xfId="2472"/>
    <cellStyle name="差_卫生部门 4" xfId="2473"/>
    <cellStyle name="常规 4 6" xfId="2474"/>
    <cellStyle name="20% - 强调文字颜色 3 6 2" xfId="2475"/>
    <cellStyle name="好_2006年水利统计指标统计表" xfId="2476"/>
    <cellStyle name="好_奖励补助测算7.25 (version 1) (version 1) 3" xfId="2477"/>
    <cellStyle name="好_汇总 4" xfId="2478"/>
    <cellStyle name="常规 14 2" xfId="2479"/>
    <cellStyle name="差_奖励补助测算5.24冯铸 3" xfId="2480"/>
    <cellStyle name="20% - 强调文字颜色 5 3 2" xfId="2481"/>
    <cellStyle name="差_业务工作量指标 2" xfId="2482"/>
    <cellStyle name="60% - Accent3 8" xfId="2483"/>
    <cellStyle name="好_下半年禁吸戒毒经费1000万元 3" xfId="2484"/>
    <cellStyle name="差_汇总-县级财政报表附表 9" xfId="2485"/>
    <cellStyle name="差_2009年一般性转移支付标准工资_奖励补助测算7.25 (version 1) (version 1) 4" xfId="2486"/>
    <cellStyle name="40% - 强调文字颜色 5 3 3" xfId="2487"/>
    <cellStyle name="好_不用软件计算9.1不考虑经费管理评价xl 4" xfId="2488"/>
    <cellStyle name="Accent4 - 40% 5" xfId="2489"/>
    <cellStyle name="好_2007年可用财力" xfId="2490"/>
    <cellStyle name="Warning Text 8" xfId="2491"/>
    <cellStyle name="20% - Accent2 5" xfId="2492"/>
    <cellStyle name="Accent5 7" xfId="2493"/>
    <cellStyle name="千位分隔 4" xfId="2494"/>
    <cellStyle name="Heading 3 8" xfId="2495"/>
    <cellStyle name="千位分隔[0] 2 5" xfId="2496"/>
    <cellStyle name="好 8 2" xfId="2497"/>
    <cellStyle name="好_530623_2006年县级财政报表附表 5" xfId="2498"/>
    <cellStyle name="检查单元格 6" xfId="2499"/>
    <cellStyle name="警告文本 7 2" xfId="2500"/>
    <cellStyle name="强调文字颜色 2 3 6" xfId="2501"/>
    <cellStyle name="常规 4 4" xfId="2502"/>
    <cellStyle name="差_卫生部门 2" xfId="2503"/>
    <cellStyle name="好_M01-2(州市补助收入) 3" xfId="2504"/>
    <cellStyle name="百分比 2 3" xfId="2505"/>
    <cellStyle name="强调文字颜色 1 3 7" xfId="2506"/>
    <cellStyle name="标题 3 3" xfId="2507"/>
    <cellStyle name="Accent6 - 20% 2" xfId="2508"/>
    <cellStyle name="Bad 8" xfId="2509"/>
    <cellStyle name="40% - 强调文字颜色 1 2" xfId="2510"/>
    <cellStyle name="Bad 2" xfId="2511"/>
    <cellStyle name="60% - Accent5 7" xfId="2512"/>
    <cellStyle name="差 4" xfId="2513"/>
    <cellStyle name="链接单元格 3 2" xfId="2514"/>
    <cellStyle name="好_2006年在职人员情况 4" xfId="2515"/>
    <cellStyle name="好_2009年一般性转移支付标准工资_地方配套按人均增幅控制8.30xl 4" xfId="2516"/>
    <cellStyle name="常规 2_Book1" xfId="2517"/>
    <cellStyle name="好_Book1 2" xfId="2518"/>
    <cellStyle name="常规 7 9" xfId="2519"/>
    <cellStyle name="差_教育厅提供义务教育及高中教师人数（2009年1月6日） 6" xfId="2520"/>
    <cellStyle name="差_2009年一般性转移支付标准工资_奖励补助测算5.24冯铸 5" xfId="2521"/>
    <cellStyle name="强调文字颜色 4 5 2" xfId="2522"/>
    <cellStyle name="好_2009年一般性转移支付标准工资_奖励补助测算7.25 3" xfId="2523"/>
    <cellStyle name="注释 7 2" xfId="2524"/>
    <cellStyle name="好_2007年政法部门业务指标 5" xfId="2525"/>
    <cellStyle name="Note 7" xfId="2526"/>
    <cellStyle name="汇总 4" xfId="2527"/>
    <cellStyle name="好_2006年水利统计指标统计表 3" xfId="2528"/>
    <cellStyle name="常规 2 6 9" xfId="2529"/>
    <cellStyle name="60% - 强调文字颜色 4 9" xfId="2530"/>
    <cellStyle name="常规 8 2" xfId="2531"/>
    <cellStyle name="好_M03" xfId="2532"/>
    <cellStyle name="常规 3 3 2" xfId="2533"/>
    <cellStyle name="差_2006年在职人员情况 2" xfId="2534"/>
    <cellStyle name="好_奖励补助测算5.22测试 9" xfId="2535"/>
    <cellStyle name="差_2009年一般性转移支付标准工资 7" xfId="2536"/>
    <cellStyle name="差_1003牟定县 7" xfId="2537"/>
    <cellStyle name="计算 3 3" xfId="2538"/>
    <cellStyle name="标题 8 2" xfId="2539"/>
    <cellStyle name="差_530629_2006年县级财政报表附表 5" xfId="2540"/>
    <cellStyle name="好_530629_2006年县级财政报表附表 9" xfId="2541"/>
    <cellStyle name="未定义" xfId="2542"/>
    <cellStyle name="差_地方配套按人均增幅控制8.31（调整结案率后）xl 9" xfId="2543"/>
    <cellStyle name="40% - 强调文字颜色 1 7" xfId="2544"/>
    <cellStyle name="Accent6 - 20% 7" xfId="2545"/>
    <cellStyle name="好_2009年一般性转移支付标准工资_地方配套按人均增幅控制8.30一般预算平均增幅、人均可用财力平均增幅两次控制、社会治安系数调整、案件数调整xl" xfId="2546"/>
    <cellStyle name="好_2009年一般性转移支付标准工资_奖励补助测算5.22测试 4" xfId="2547"/>
    <cellStyle name="40% - 强调文字颜色 4 3 6" xfId="2548"/>
    <cellStyle name="20% - 强调文字颜色 5 8" xfId="2549"/>
    <cellStyle name="Accent5" xfId="2550"/>
    <cellStyle name="汇总 3 2" xfId="2551"/>
    <cellStyle name="好_教育厅提供义务教育及高中教师人数（2009年1月6日） 9" xfId="2552"/>
    <cellStyle name="好_基础数据分析 6" xfId="2553"/>
    <cellStyle name="差_00省级(定稿) 9" xfId="2554"/>
    <cellStyle name="差_第五部分(才淼、饶永宏） 5" xfId="2555"/>
    <cellStyle name="差_2009年一般性转移支付标准工资_~4190974 3" xfId="2556"/>
    <cellStyle name="差_地方配套按人均增幅控制8.31（调整结案率后）xl 7" xfId="2557"/>
    <cellStyle name="标题 3 7" xfId="2558"/>
    <cellStyle name="好_奖励补助测算5.24冯铸 6" xfId="2559"/>
    <cellStyle name="差_地方配套按人均增幅控制8.30xl 9" xfId="2560"/>
    <cellStyle name="Currency1" xfId="2561"/>
    <cellStyle name="Accent3 - 20% 2" xfId="2562"/>
    <cellStyle name="常规 2 2 10" xfId="2563"/>
    <cellStyle name="差_义务教育阶段教职工人数（教育厅提供最终） 2" xfId="2564"/>
    <cellStyle name="好_2007年检察院案件数 3" xfId="2565"/>
    <cellStyle name="常规 6 9" xfId="2566"/>
    <cellStyle name="后继超链接 6" xfId="2567"/>
    <cellStyle name="好_2009年一般性转移支付标准工资" xfId="2568"/>
    <cellStyle name="Bad 6" xfId="2569"/>
    <cellStyle name="差_地方配套按人均增幅控制8.31（调整结案率后）xl 3" xfId="2570"/>
    <cellStyle name="检查单元格 7 2" xfId="2571"/>
    <cellStyle name="差_2009年一般性转移支付标准工资_地方配套按人均增幅控制8.31（调整结案率后）xl 3" xfId="2572"/>
    <cellStyle name="Accent1 - 20% 2" xfId="2573"/>
    <cellStyle name="差_2009年一般性转移支付标准工资_奖励补助测算7.23 6" xfId="2574"/>
    <cellStyle name="常规 3 3 4" xfId="2575"/>
    <cellStyle name="差_2006年在职人员情况 4" xfId="2576"/>
    <cellStyle name="强调文字颜色 6 10" xfId="2577"/>
    <cellStyle name="百分比 3 4" xfId="2578"/>
    <cellStyle name="Title" xfId="2579"/>
    <cellStyle name="差_地方配套按人均增幅控制8.30xl 5" xfId="2580"/>
    <cellStyle name="40% - Accent3 7" xfId="2581"/>
    <cellStyle name="好_奖励补助测算5.24冯铸 2" xfId="2582"/>
    <cellStyle name="差_指标四 6" xfId="2583"/>
    <cellStyle name="好_2009年一般性转移支付标准工资_奖励补助测算5.22测试 9" xfId="2584"/>
    <cellStyle name="差_卫生部门 3" xfId="2585"/>
    <cellStyle name="常规 4 5" xfId="2586"/>
    <cellStyle name="好_530629_2006年县级财政报表附表 2" xfId="2587"/>
    <cellStyle name="常规 5 2" xfId="2588"/>
    <cellStyle name="60% - 强调文字颜色 1 9" xfId="2589"/>
    <cellStyle name="常规 2 3 9" xfId="2590"/>
    <cellStyle name="差_基础数据分析 5" xfId="2591"/>
    <cellStyle name="常规 15 2" xfId="2592"/>
    <cellStyle name="好_奖励补助测算7.25 3" xfId="2593"/>
    <cellStyle name="常规_2024129102151328" xfId="2594"/>
    <cellStyle name="Accent6 - 20% 5" xfId="2595"/>
    <cellStyle name="40% - 强调文字颜色 1 5" xfId="2596"/>
    <cellStyle name="强调文字颜色 5 8" xfId="2597"/>
    <cellStyle name="好_教育厅提供义务教育及高中教师人数（2009年1月6日） 7" xfId="2598"/>
    <cellStyle name="好_530629_2006年县级财政报表附表 3" xfId="2599"/>
    <cellStyle name="40% - Accent4 3" xfId="2600"/>
    <cellStyle name="百分比 4 7" xfId="2601"/>
    <cellStyle name="Accent5 - 20% 9" xfId="2602"/>
    <cellStyle name="好 3 7" xfId="2603"/>
    <cellStyle name="常规 17 4" xfId="2604"/>
    <cellStyle name="Good 4" xfId="2605"/>
    <cellStyle name="40% - 强调文字颜色 6 6" xfId="2606"/>
    <cellStyle name="Accent1 - 40% 6" xfId="2607"/>
    <cellStyle name="好_5334_2006年迪庆县级财政报表附表 4" xfId="2608"/>
    <cellStyle name="常规 2 16" xfId="2609"/>
    <cellStyle name="注释 3 2" xfId="2610"/>
    <cellStyle name="好_2009年一般性转移支付标准工资_奖励补助测算5.23新 5" xfId="2611"/>
    <cellStyle name="好_业务工作量指标 4" xfId="2612"/>
    <cellStyle name="60% - 强调文字颜色 5 3 2" xfId="2613"/>
    <cellStyle name="Heading 4 3" xfId="2614"/>
    <cellStyle name="解释性文本 3 3" xfId="2615"/>
    <cellStyle name="解释性文本 3 4" xfId="2616"/>
    <cellStyle name="差_义务教育阶段教职工人数（教育厅提供最终） 4" xfId="2617"/>
    <cellStyle name="适中 9 2" xfId="2618"/>
    <cellStyle name="百分比 5 2" xfId="2619"/>
    <cellStyle name="好_1003牟定县 5" xfId="2620"/>
    <cellStyle name="差_汇总-县级财政报表附表 2" xfId="2621"/>
    <cellStyle name="差_不用软件计算9.1不考虑经费管理评价xl" xfId="2622"/>
    <cellStyle name="差_00省级(打印)" xfId="2623"/>
    <cellStyle name="60% - Accent4 4" xfId="2624"/>
    <cellStyle name="好_奖励补助测算5.22测试" xfId="2625"/>
    <cellStyle name="好_Book1_1 5" xfId="2626"/>
    <cellStyle name="好_县级公安机关公用经费标准奖励测算方案（定稿） 2" xfId="2627"/>
    <cellStyle name="Accent1 9" xfId="2628"/>
    <cellStyle name="Grey" xfId="2629"/>
    <cellStyle name="20% - 强调文字颜色 4 4 2" xfId="2630"/>
    <cellStyle name="差_地方配套按人均增幅控制8.30一般预算平均增幅、人均可用财力平均增幅两次控制、社会治安系数调整、案件数调整xl" xfId="2631"/>
    <cellStyle name="差 7 2" xfId="2632"/>
    <cellStyle name="好_奖励补助测算7.25 7" xfId="2633"/>
    <cellStyle name="差_基础数据分析 9" xfId="2634"/>
    <cellStyle name="好_基础数据分析 4" xfId="2635"/>
    <cellStyle name="检查单元格 4 2" xfId="2636"/>
    <cellStyle name="常规 2 3 5" xfId="2637"/>
    <cellStyle name="60% - 强调文字颜色 1 5" xfId="2638"/>
    <cellStyle name="好 3 2" xfId="2639"/>
    <cellStyle name="检查单元格 3 4" xfId="2640"/>
    <cellStyle name="好_0605石屏县 7" xfId="2641"/>
    <cellStyle name="好_05玉溪 4" xfId="2642"/>
    <cellStyle name="标题 4 3 2" xfId="2643"/>
    <cellStyle name="好_5334_2006年迪庆县级财政报表附表 7" xfId="2644"/>
    <cellStyle name="差_2008云南省分县市中小学教职工统计表（教育厅提供） 2" xfId="2645"/>
    <cellStyle name="60% - 强调文字颜色 4 8 2" xfId="2646"/>
    <cellStyle name="Accent1 - 40% 9" xfId="2647"/>
    <cellStyle name="Heading 2 6" xfId="2648"/>
    <cellStyle name="ColLevel_0" xfId="2649"/>
    <cellStyle name="差_Book1_1 5" xfId="2650"/>
    <cellStyle name="常规_册子——贸易(2016年9月)" xfId="2651"/>
    <cellStyle name="好_1110洱源县 2" xfId="2652"/>
    <cellStyle name="20% - 强调文字颜色 2 6" xfId="2653"/>
    <cellStyle name="Percent_!!!GO" xfId="2654"/>
    <cellStyle name="差_指标四 7" xfId="2655"/>
    <cellStyle name="强调文字颜色 6 2" xfId="2656"/>
    <cellStyle name="差_2009年一般性转移支付标准工资_奖励补助测算7.25 7" xfId="2657"/>
    <cellStyle name="差_2009年一般性转移支付标准工资_奖励补助测算5.24冯铸" xfId="2658"/>
    <cellStyle name="好_卫生部门 9" xfId="2659"/>
    <cellStyle name="好_00省级(定稿) 5" xfId="2660"/>
    <cellStyle name="差_530629_2006年县级财政报表附表 2" xfId="2661"/>
    <cellStyle name="差_城建部门" xfId="2662"/>
    <cellStyle name="强调文字颜色 4 4 2" xfId="2663"/>
    <cellStyle name="好_奖励补助测算5.23新" xfId="2664"/>
    <cellStyle name="差_2006年分析表" xfId="2665"/>
    <cellStyle name="差_2009年一般性转移支付标准工资_奖励补助测算7.25 (version 1) (version 1) 2" xfId="2666"/>
    <cellStyle name="好_Book1_1 8" xfId="2667"/>
    <cellStyle name="콤마_BOILER-CO1" xfId="2668"/>
    <cellStyle name="40% - 强调文字颜色 4 5 2" xfId="2669"/>
    <cellStyle name="差_下半年禁吸戒毒经费1000万元 6" xfId="2670"/>
    <cellStyle name="标题 4 3" xfId="2671"/>
    <cellStyle name="常规 17 2" xfId="2672"/>
    <cellStyle name="好 3 5" xfId="2673"/>
    <cellStyle name="分级显示列_1_Book1" xfId="2674"/>
    <cellStyle name="输入 8 2" xfId="2675"/>
    <cellStyle name="差_2009年一般性转移支付标准工资_奖励补助测算7.25 8" xfId="2676"/>
    <cellStyle name="强调文字颜色 6 3" xfId="2677"/>
    <cellStyle name="归盒啦_95" xfId="2678"/>
    <cellStyle name="好_三季度－表二 2" xfId="2679"/>
    <cellStyle name="差_2009年一般性转移支付标准工资_不用软件计算9.1不考虑经费管理评价xl 2" xfId="2680"/>
    <cellStyle name="好_2009年一般性转移支付标准工资 6" xfId="2681"/>
    <cellStyle name="差_县级公安机关公用经费标准奖励测算方案（定稿） 2" xfId="2682"/>
    <cellStyle name="60% - 强调文字颜色 2 7 2" xfId="2683"/>
    <cellStyle name="标题 1 3 3" xfId="2684"/>
    <cellStyle name="40% - 强调文字颜色 4 10" xfId="2685"/>
    <cellStyle name="差_财政供养人员 6" xfId="2686"/>
    <cellStyle name="好_2009年一般性转移支付标准工资_地方配套按人均增幅控制8.30xl 5" xfId="2687"/>
    <cellStyle name="好_2006年在职人员情况 5" xfId="2688"/>
    <cellStyle name="?鹎%U龡&amp;H?_x0008__x001C__x001C_?_x0007__x0001__x0001_" xfId="2689"/>
    <cellStyle name="强调文字颜色 4 5" xfId="2690"/>
    <cellStyle name="好_丽江汇总" xfId="2691"/>
    <cellStyle name="差_530623_2006年县级财政报表附表 9" xfId="2692"/>
    <cellStyle name="t_HVAC Equipment (3)" xfId="2693"/>
    <cellStyle name="差_指标五" xfId="2694"/>
    <cellStyle name="输出 5" xfId="2695"/>
    <cellStyle name="好_2009年一般性转移支付标准工资_不用软件计算9.1不考虑经费管理评价xl 8" xfId="2696"/>
    <cellStyle name="标题 4 7 2" xfId="2697"/>
    <cellStyle name="好_第五部分(才淼、饶永宏）" xfId="2698"/>
    <cellStyle name="好_业务工作量指标 6" xfId="2699"/>
    <cellStyle name="Heading 4 5" xfId="2700"/>
    <cellStyle name="60% - 强调文字颜色 5 3 4" xfId="2701"/>
    <cellStyle name="差_Book1_1 4" xfId="2702"/>
    <cellStyle name="差_Book2 3" xfId="2703"/>
    <cellStyle name="好_地方配套按人均增幅控制8.31（调整结案率后）xl 4" xfId="2704"/>
    <cellStyle name="好_~4190974 3" xfId="2705"/>
    <cellStyle name="差_云南农村义务教育统计表 4" xfId="2706"/>
    <cellStyle name="Accent2_公安安全支出补充表5.14" xfId="2707"/>
    <cellStyle name="Check Cell 2" xfId="2708"/>
    <cellStyle name="差_2009年一般性转移支付标准工资_奖励补助测算7.25 (version 1) (version 1)" xfId="2709"/>
    <cellStyle name="强调文字颜色 4 3 6" xfId="2710"/>
    <cellStyle name="差_高中教师人数（教育厅1.6日提供） 4" xfId="2711"/>
    <cellStyle name="好_2009年一般性转移支付标准工资_奖励补助测算7.23 7" xfId="2712"/>
    <cellStyle name="小数 4" xfId="2713"/>
    <cellStyle name="千位分隔 4 7" xfId="2714"/>
    <cellStyle name="差_2009年一般性转移支付标准工资_奖励补助测算5.24冯铸 4" xfId="2715"/>
    <cellStyle name="差_教育厅提供义务教育及高中教师人数（2009年1月6日） 5" xfId="2716"/>
    <cellStyle name="计算 4 2" xfId="2717"/>
    <cellStyle name="差_2009年一般性转移支付标准工资_奖励补助测算7.23 2" xfId="2718"/>
    <cellStyle name="输出 3 7" xfId="2719"/>
    <cellStyle name="差_0502通海县 9" xfId="2720"/>
    <cellStyle name="60% - Accent5 4" xfId="2721"/>
    <cellStyle name="40% - 强调文字颜色 5 4" xfId="2722"/>
    <cellStyle name="差_奖励补助测算5.22测试 5" xfId="2723"/>
    <cellStyle name="标题 6" xfId="2724"/>
    <cellStyle name="好_2006年基础数据 6" xfId="2725"/>
    <cellStyle name="差_第一部分：综合全" xfId="2726"/>
    <cellStyle name="好_0605石屏县" xfId="2727"/>
    <cellStyle name="40% - Accent1 8" xfId="2728"/>
    <cellStyle name="好_530629_2006年县级财政报表附表 5" xfId="2729"/>
    <cellStyle name="40% - Accent4 5" xfId="2730"/>
    <cellStyle name="百分比 4 9" xfId="2731"/>
    <cellStyle name="差_汇总 3" xfId="2732"/>
    <cellStyle name="20% - Accent5 7" xfId="2733"/>
    <cellStyle name="20% - 强调文字颜色 1 5 2" xfId="2734"/>
    <cellStyle name="输入 3 2" xfId="2735"/>
    <cellStyle name="好_M03 6" xfId="2736"/>
    <cellStyle name="差_云南省2008年中小学教职工情况（教育厅提供20090101加工整理） 6" xfId="2737"/>
    <cellStyle name="差_03昭通 2" xfId="2738"/>
    <cellStyle name="好_2007年人员分部门统计表 3" xfId="2739"/>
    <cellStyle name="Accent2 - 40%" xfId="2740"/>
    <cellStyle name="常规 2 3 3" xfId="2741"/>
    <cellStyle name="60% - 强调文字颜色 1 3" xfId="2742"/>
    <cellStyle name="好_00省级(打印)" xfId="2743"/>
    <cellStyle name="20% - 强调文字颜色 4 9" xfId="2744"/>
    <cellStyle name="Accent6 - 60% 8" xfId="2745"/>
    <cellStyle name="差_2009年一般性转移支付标准工资_地方配套按人均增幅控制8.30一般预算平均增幅、人均可用财力平均增幅两次控制、社会治安系数调整、案件数调整xl 6" xfId="2746"/>
    <cellStyle name="强调文字颜色 4 6 2" xfId="2747"/>
    <cellStyle name="差_2、土地面积、人口、粮食产量基本情况 3" xfId="2748"/>
    <cellStyle name="差_530629_2006年县级财政报表附表" xfId="2749"/>
    <cellStyle name="好 7" xfId="2750"/>
    <cellStyle name="好 6" xfId="2751"/>
    <cellStyle name="好_2008云南省分县市中小学教职工统计表（教育厅提供） 9" xfId="2752"/>
    <cellStyle name="百分比 7 2" xfId="2753"/>
    <cellStyle name="常规 2 7 7" xfId="2754"/>
    <cellStyle name="60% - 强调文字颜色 5 7" xfId="2755"/>
    <cellStyle name="差 8 2" xfId="2756"/>
    <cellStyle name="好_奖励补助测算5.22测试 8" xfId="2757"/>
    <cellStyle name="差_2009年一般性转移支付标准工资 6" xfId="2758"/>
    <cellStyle name="好_云南省2008年中小学教职工情况（教育厅提供20090101加工整理） 2" xfId="2759"/>
    <cellStyle name="Linked Cell 4" xfId="2760"/>
    <cellStyle name="20% - 强调文字颜色 2 3 5" xfId="2761"/>
    <cellStyle name="好_2009年一般性转移支付标准工资_~5676413" xfId="2762"/>
    <cellStyle name="强调文字颜色 2 3 3" xfId="2763"/>
    <cellStyle name="好_地方配套按人均增幅控制8.30一般预算平均增幅、人均可用财力平均增幅两次控制、社会治安系数调整、案件数调整xl 8" xfId="2764"/>
    <cellStyle name="检查单元格 6 2" xfId="2765"/>
    <cellStyle name="20% - 强调文字颜色 3 3 6" xfId="2766"/>
    <cellStyle name="标题 2 6 2" xfId="2767"/>
    <cellStyle name="好_高中教师人数（教育厅1.6日提供） 7" xfId="2768"/>
    <cellStyle name="强调文字颜色 3 3 4" xfId="2769"/>
    <cellStyle name="千位分隔 2" xfId="2770"/>
    <cellStyle name="解释性文本 9 2" xfId="2771"/>
    <cellStyle name="差_财政供养人员 9" xfId="2772"/>
    <cellStyle name="注释 5" xfId="2773"/>
    <cellStyle name="好_财政供养人员 4" xfId="2774"/>
    <cellStyle name="差_云南省2008年转移支付测算——州市本级考核部分及政策性测算 9" xfId="2775"/>
    <cellStyle name="适中 8 2" xfId="2776"/>
    <cellStyle name="_ET_STYLE_NoName_00__Book1_1" xfId="2777"/>
    <cellStyle name="_0202" xfId="2778"/>
    <cellStyle name="Accent1 - 60% 6" xfId="2779"/>
    <cellStyle name="40% - 强调文字颜色 3 3" xfId="2780"/>
    <cellStyle name="常规 2 8 9" xfId="2781"/>
    <cellStyle name="60% - 强调文字颜色 6 9" xfId="2782"/>
    <cellStyle name="Output 4" xfId="2783"/>
    <cellStyle name="好_城建部门" xfId="2784"/>
    <cellStyle name="标题 5 9" xfId="2785"/>
    <cellStyle name="注释 2 2" xfId="2786"/>
    <cellStyle name="Accent3 - 20% 7" xfId="2787"/>
    <cellStyle name="好_2008年县级公安保障标准落实奖励经费分配测算" xfId="2788"/>
    <cellStyle name="差_县级公安机关公用经费标准奖励测算方案（定稿） 3" xfId="2789"/>
    <cellStyle name="Accent1 - 60% 5" xfId="2790"/>
    <cellStyle name="好_2009年一般性转移支付标准工资_~4190974 2" xfId="2791"/>
    <cellStyle name="解释性文本 6" xfId="2792"/>
    <cellStyle name="强调文字颜色 2 6" xfId="2793"/>
    <cellStyle name="好_Book1 8" xfId="2794"/>
    <cellStyle name="Title 3" xfId="2795"/>
    <cellStyle name="40% - 强调文字颜色 2 8" xfId="2796"/>
    <cellStyle name="强调文字颜色 5 7 2" xfId="2797"/>
    <cellStyle name="差_奖励补助测算5.24冯铸" xfId="2798"/>
    <cellStyle name="40% - Accent5 6" xfId="2799"/>
    <cellStyle name="Accent2 - 40% 3" xfId="2800"/>
    <cellStyle name="60% - 强调文字颜色 4 5 2" xfId="2801"/>
    <cellStyle name="Accent6 - 40% 8" xfId="2802"/>
    <cellStyle name="好_05玉溪 7" xfId="2803"/>
    <cellStyle name="标题 4 3 5" xfId="2804"/>
    <cellStyle name="分级显示行_1_13区汇总" xfId="2805"/>
    <cellStyle name="好_~4190974 5" xfId="2806"/>
    <cellStyle name="差_云南农村义务教育统计表 6" xfId="2807"/>
    <cellStyle name="Linked Cell 3" xfId="2808"/>
    <cellStyle name="差 3 5" xfId="2809"/>
    <cellStyle name="差_云南省2008年转移支付测算——州市本级考核部分及政策性测算 7" xfId="2810"/>
    <cellStyle name="Standard_AREAS" xfId="2811"/>
    <cellStyle name="差_不用软件计算9.1不考虑经费管理评价xl 2" xfId="2812"/>
    <cellStyle name="常规 3 4" xfId="2813"/>
    <cellStyle name="好_2009年一般性转移支付标准工资_奖励补助测算7.25 (version 1) (version 1) 8" xfId="2814"/>
    <cellStyle name="千位[0]_ 方正PC" xfId="2815"/>
    <cellStyle name="40% - Accent5 3" xfId="2816"/>
    <cellStyle name="常规 6 6" xfId="2817"/>
    <cellStyle name="差_2009年一般性转移支付标准工资_奖励补助测算5.23新 9" xfId="2818"/>
    <cellStyle name="20% - 强调文字颜色 3 8 2" xfId="2819"/>
    <cellStyle name="差_2009年一般性转移支付标准工资_奖励补助测算7.25 6" xfId="2820"/>
    <cellStyle name="编号" xfId="2821"/>
    <cellStyle name="好_1003牟定县 2" xfId="2822"/>
    <cellStyle name="Input 5" xfId="2823"/>
    <cellStyle name="20% - 强调文字颜色 5 9 2" xfId="2824"/>
    <cellStyle name="百分比 3 3" xfId="2825"/>
    <cellStyle name="差_2009年一般性转移支付标准工资 8" xfId="2826"/>
    <cellStyle name="常规 3 3 3" xfId="2827"/>
    <cellStyle name="差_2006年在职人员情况 3" xfId="2828"/>
    <cellStyle name="差_00省级(打印) 4" xfId="2829"/>
    <cellStyle name="差_奖励补助测算7.25 (version 1) (version 1) 2" xfId="2830"/>
    <cellStyle name="Accent2 9" xfId="2831"/>
    <cellStyle name="_弱电系统设备配置报价清单" xfId="2832"/>
    <cellStyle name="40% - Accent3 5" xfId="2833"/>
    <cellStyle name="百分比 3 9" xfId="2834"/>
    <cellStyle name="差_地方配套按人均增幅控制8.30xl 3" xfId="2835"/>
    <cellStyle name="表标题 8" xfId="2836"/>
    <cellStyle name="常规 2 8 3" xfId="2837"/>
    <cellStyle name="60% - 强调文字颜色 6 3" xfId="2838"/>
    <cellStyle name="好_2008云南省分县市中小学教职工统计表（教育厅提供） 3" xfId="2839"/>
    <cellStyle name="强调文字颜色 1 9" xfId="2840"/>
    <cellStyle name="好_高中教师人数（教育厅1.6日提供） 2" xfId="2841"/>
    <cellStyle name="好_地方配套按人均增幅控制8.30xl 7" xfId="2842"/>
    <cellStyle name="差_Book2 7" xfId="2843"/>
    <cellStyle name="好_地方配套按人均增幅控制8.31（调整结案率后）xl 8" xfId="2844"/>
    <cellStyle name="百分比 6 2" xfId="2845"/>
    <cellStyle name="好_汇总-县级财政报表附表 9" xfId="2846"/>
    <cellStyle name="差_1003牟定县 4" xfId="2847"/>
    <cellStyle name="差_11大理 2" xfId="2848"/>
    <cellStyle name="常规 2 2_Book1" xfId="2849"/>
    <cellStyle name="差_第五部分(才淼、饶永宏）" xfId="2850"/>
    <cellStyle name="差_奖励补助测算5.22测试 7" xfId="2851"/>
    <cellStyle name="标题 3 8" xfId="2852"/>
    <cellStyle name="常规 14" xfId="2853"/>
    <cellStyle name="好_高中教师人数（教育厅1.6日提供） 6" xfId="2854"/>
    <cellStyle name="20% - 强调文字颜色 3 3 5" xfId="2855"/>
    <cellStyle name="强调文字颜色 3 3 3" xfId="2856"/>
    <cellStyle name="汇总 3 6" xfId="2857"/>
    <cellStyle name="好_05玉溪 3" xfId="2858"/>
    <cellStyle name="40% - 强调文字颜色 3 10" xfId="2859"/>
    <cellStyle name="Accent1 - 20% 6" xfId="2860"/>
    <cellStyle name="差_2009年一般性转移支付标准工资_地方配套按人均增幅控制8.31（调整结案率后）xl 7" xfId="2861"/>
    <cellStyle name="20% - 强调文字颜色 5 3 6" xfId="2862"/>
    <cellStyle name="差_奖励补助测算5.24冯铸 7" xfId="2863"/>
    <cellStyle name="差_业务工作量指标 6" xfId="2864"/>
    <cellStyle name="强调文字颜色 5 3 4" xfId="2865"/>
    <cellStyle name="标题 4 6 2" xfId="2866"/>
    <cellStyle name="好_2009年一般性转移支付标准工资 9" xfId="2867"/>
    <cellStyle name="好_三季度－表二 5" xfId="2868"/>
    <cellStyle name="差_2009年一般性转移支付标准工资_不用软件计算9.1不考虑经费管理评价xl 5" xfId="2869"/>
    <cellStyle name="差_2009年一般性转移支付标准工资_奖励补助测算7.25" xfId="2870"/>
    <cellStyle name="好_530629_2006年县级财政报表附表 4" xfId="2871"/>
    <cellStyle name="40% - Accent4 4" xfId="2872"/>
    <cellStyle name="百分比 4 8" xfId="2873"/>
    <cellStyle name="差_汇总 2" xfId="2874"/>
    <cellStyle name="强调文字颜色 1 7" xfId="2875"/>
    <cellStyle name="标题 2 8 2" xfId="2876"/>
    <cellStyle name="Accent1 - 40% 7" xfId="2877"/>
    <cellStyle name="好_5334_2006年迪庆县级财政报表附表 5" xfId="2878"/>
    <cellStyle name="好_~4190974" xfId="2879"/>
    <cellStyle name="好_2009年一般性转移支付标准工资_奖励补助测算5.22测试 2" xfId="2880"/>
    <cellStyle name="40% - 强调文字颜色 4 3 4" xfId="2881"/>
    <cellStyle name="Accent1 - 60% 4" xfId="2882"/>
    <cellStyle name="好_不用软件计算9.1不考虑经费管理评价xl" xfId="2883"/>
    <cellStyle name="Accent5 - 20% 8" xfId="2884"/>
    <cellStyle name="40% - Accent4 2" xfId="2885"/>
    <cellStyle name="百分比 4 6" xfId="2886"/>
    <cellStyle name="警告文本 6" xfId="2887"/>
    <cellStyle name="Mon閠aire [0]_!!!GO" xfId="2888"/>
    <cellStyle name="差_530629_2006年县级财政报表附表 8" xfId="2889"/>
    <cellStyle name="好_11大理" xfId="2890"/>
    <cellStyle name="千位分隔 3" xfId="2891"/>
    <cellStyle name="好_2006年在职人员情况 3" xfId="2892"/>
    <cellStyle name="好_2009年一般性转移支付标准工资_地方配套按人均增幅控制8.30xl 3" xfId="2893"/>
    <cellStyle name="常规 3 2 4" xfId="2894"/>
    <cellStyle name="60% - 强调文字颜色 2 6" xfId="2895"/>
    <cellStyle name="好_2、土地面积、人口、粮食产量基本情况 5" xfId="2896"/>
    <cellStyle name="差_2009年一般性转移支付标准工资_奖励补助测算5.23新 2" xfId="2897"/>
    <cellStyle name="常规 2 4 6" xfId="2898"/>
    <cellStyle name="20% - Accent2 7" xfId="2899"/>
    <cellStyle name="Accent4 - 40% 7" xfId="2900"/>
    <cellStyle name="40% - 强调文字颜色 5 3 5" xfId="2901"/>
    <cellStyle name="Accent5 9" xfId="2902"/>
    <cellStyle name="好_不用软件计算9.1不考虑经费管理评价xl 6" xfId="2903"/>
    <cellStyle name="标题 4 6" xfId="2904"/>
    <cellStyle name="差_下半年禁吸戒毒经费1000万元 9" xfId="2905"/>
    <cellStyle name="好_05玉溪 2" xfId="2906"/>
    <cellStyle name="汇总 3 5" xfId="2907"/>
    <cellStyle name="Heading 3 2" xfId="2908"/>
    <cellStyle name="好_2007年检察院案件数 7" xfId="2909"/>
    <cellStyle name="差_2007年可用财力" xfId="2910"/>
    <cellStyle name="差_2009年一般性转移支付标准工资_奖励补助测算5.23新 8" xfId="2911"/>
    <cellStyle name="常规 6 5" xfId="2912"/>
    <cellStyle name="好_Book2 7" xfId="2913"/>
    <cellStyle name="强调文字颜色 3 5" xfId="2914"/>
    <cellStyle name="好_2009年一般性转移支付标准工资_不用软件计算9.1不考虑经费管理评价xl 6" xfId="2915"/>
    <cellStyle name="强调文字颜色 5 4 2" xfId="2916"/>
    <cellStyle name="常规_202591191154671" xfId="2917"/>
    <cellStyle name="标题 4 9" xfId="2918"/>
    <cellStyle name="60% - 强调文字颜色 6 3 7" xfId="2919"/>
    <cellStyle name="差_云南农村义务教育统计表 8" xfId="2920"/>
    <cellStyle name="好_~4190974 7" xfId="2921"/>
    <cellStyle name="20% - Accent5" xfId="2922"/>
    <cellStyle name="常规 39" xfId="2923"/>
    <cellStyle name="常规 44" xfId="2924"/>
    <cellStyle name="差_2009年一般性转移支付标准工资_~5676413 9" xfId="2925"/>
    <cellStyle name="40% - 强调文字颜色 6 6 2" xfId="2926"/>
    <cellStyle name="常规_2011年1月月报" xfId="2927"/>
    <cellStyle name="好_奖励补助测算5.23新 9" xfId="2928"/>
    <cellStyle name="好_00省级(打印) 6" xfId="2929"/>
    <cellStyle name="Comma_!!!GO" xfId="2930"/>
    <cellStyle name="好_下半年禁吸戒毒经费1000万元 5" xfId="2931"/>
    <cellStyle name="差_高中教师人数（教育厅1.6日提供） 8" xfId="2932"/>
    <cellStyle name="差_2007年人员分部门统计表 6" xfId="2933"/>
    <cellStyle name="强调文字颜色 1 3 5" xfId="2934"/>
    <cellStyle name="20% - 强调文字颜色 1 3 7" xfId="2935"/>
    <cellStyle name="差_业务工作量指标 9" xfId="2936"/>
    <cellStyle name="强调文字颜色 5 3 7" xfId="2937"/>
    <cellStyle name="Accent5 - 40% 6" xfId="2938"/>
    <cellStyle name="链接单元格 7" xfId="2939"/>
    <cellStyle name="好_云南省2008年中小学教职工情况（教育厅提供20090101加工整理）" xfId="2940"/>
    <cellStyle name="差_2009年一般性转移支付标准工资_地方配套按人均增幅控制8.30一般预算平均增幅、人均可用财力平均增幅两次控制、社会治安系数调整、案件数调整xl 7" xfId="2941"/>
    <cellStyle name="差_三季度－表二 2" xfId="2942"/>
    <cellStyle name="好_1110洱源县 8" xfId="2943"/>
    <cellStyle name="差_~5676413 2" xfId="2944"/>
    <cellStyle name="差_奖励补助测算5.24冯铸 4" xfId="2945"/>
    <cellStyle name="差_业务工作量指标 3" xfId="2946"/>
    <cellStyle name="20% - 强调文字颜色 5 3 3" xfId="2947"/>
    <cellStyle name="常规 31" xfId="2948"/>
    <cellStyle name="常规 26" xfId="2949"/>
    <cellStyle name="链接单元格 8" xfId="2950"/>
    <cellStyle name="Accent5 - 40% 7" xfId="2951"/>
    <cellStyle name="强调文字颜色 1 8" xfId="2952"/>
    <cellStyle name="差_530623_2006年县级财政报表附表 4" xfId="2953"/>
    <cellStyle name="千位分隔 4 2" xfId="2954"/>
    <cellStyle name="差 3 2" xfId="2955"/>
    <cellStyle name="差_云南省2008年转移支付测算——州市本级考核部分及政策性测算 4" xfId="2956"/>
    <cellStyle name="Heading 1 2" xfId="2957"/>
    <cellStyle name="好_云南省2008年中小学教职工情况（教育厅提供20090101加工整理） 9" xfId="2958"/>
    <cellStyle name="差_教育厅提供义务教育及高中教师人数（2009年1月6日）" xfId="2959"/>
    <cellStyle name="差_三季度－表二 6" xfId="2960"/>
    <cellStyle name="Accent4 - 20% 5" xfId="2961"/>
    <cellStyle name="差_~5676413 6" xfId="2962"/>
    <cellStyle name="40% - 强调文字颜色 3 3 3" xfId="2963"/>
    <cellStyle name="好_00省级(打印) 7" xfId="2964"/>
    <cellStyle name="差_~4190974 6" xfId="2965"/>
    <cellStyle name="标题 5 4" xfId="2966"/>
    <cellStyle name="差_2、土地面积、人口、粮食产量基本情况 7" xfId="2967"/>
    <cellStyle name="输入 3 6" xfId="2968"/>
    <cellStyle name="差_~4190974 2" xfId="2969"/>
    <cellStyle name="强调文字颜色 3 9" xfId="2970"/>
    <cellStyle name="20% - 强调文字颜色 2 3 4" xfId="2971"/>
    <cellStyle name="强调文字颜色 2 3 2" xfId="2972"/>
    <cellStyle name="千位分隔 4 8" xfId="2973"/>
    <cellStyle name="20% - 强调文字颜色 2 4 2" xfId="2974"/>
    <cellStyle name="Accent1 - 60% 8" xfId="2975"/>
    <cellStyle name="好_高中教师人数（教育厅1.6日提供） 5" xfId="2976"/>
    <cellStyle name="强调文字颜色 3 3 2" xfId="2977"/>
    <cellStyle name="20% - 强调文字颜色 3 3 4" xfId="2978"/>
    <cellStyle name="常规 13" xfId="2979"/>
    <cellStyle name="差_2006年基础数据 9" xfId="2980"/>
    <cellStyle name="标题1" xfId="2981"/>
    <cellStyle name="Output 7" xfId="2982"/>
    <cellStyle name="差_03昭通 8" xfId="2983"/>
    <cellStyle name="注释 6 2" xfId="2984"/>
    <cellStyle name="60% - 强调文字颜色 6 6 2" xfId="2985"/>
    <cellStyle name="差_2009年一般性转移支付标准工资" xfId="2986"/>
    <cellStyle name="20% - 强调文字颜色 6 5" xfId="2987"/>
    <cellStyle name="好_云南省2008年转移支付测算——州市本级考核部分及政策性测算 4" xfId="2988"/>
    <cellStyle name="好_2009年一般性转移支付标准工资_~4190974" xfId="2989"/>
    <cellStyle name="差_云南省2008年转移支付测算——州市本级考核部分及政策性测算 6" xfId="2990"/>
    <cellStyle name="差 3 4" xfId="2991"/>
    <cellStyle name="Accent6 8" xfId="2992"/>
    <cellStyle name="20% - Accent3 6" xfId="2993"/>
    <cellStyle name="好_0502通海县 6" xfId="2994"/>
    <cellStyle name="常规 2 2 2 7" xfId="2995"/>
    <cellStyle name="20% - Accent1 8" xfId="2996"/>
    <cellStyle name="差_奖励补助测算7.25 (version 1) (version 1) 8" xfId="2997"/>
    <cellStyle name="千位分隔 2 2 2" xfId="2998"/>
    <cellStyle name="好_奖励补助测算7.23 4" xfId="2999"/>
    <cellStyle name="好_县级公安机关公用经费标准奖励测算方案（定稿） 8" xfId="3000"/>
    <cellStyle name="汇总 8" xfId="3001"/>
    <cellStyle name="好_2006年水利统计指标统计表 7" xfId="3002"/>
    <cellStyle name="常规 8 6" xfId="3003"/>
    <cellStyle name="差_奖励补助测算5.24冯铸 6" xfId="3004"/>
    <cellStyle name="20% - 强调文字颜色 5 3 5" xfId="3005"/>
    <cellStyle name="差_业务工作量指标 5" xfId="3006"/>
    <cellStyle name="强调文字颜色 5 3 3" xfId="3007"/>
    <cellStyle name="强调文字颜色 1 9 2" xfId="3008"/>
    <cellStyle name="常规 2 6 8" xfId="3009"/>
    <cellStyle name="60% - 强调文字颜色 4 8" xfId="3010"/>
    <cellStyle name="好 3" xfId="3011"/>
    <cellStyle name="好_2009年一般性转移支付标准工资_~5676413 9" xfId="3012"/>
    <cellStyle name="Header1" xfId="3013"/>
    <cellStyle name="好_Book1_1 2" xfId="3014"/>
    <cellStyle name="40% - Accent3 6" xfId="3015"/>
    <cellStyle name="差_地方配套按人均增幅控制8.30xl 4" xfId="3016"/>
    <cellStyle name="解释性文本 6 2" xfId="3017"/>
    <cellStyle name="差_2007年人员分部门统计表" xfId="3018"/>
    <cellStyle name="输出 7" xfId="3019"/>
    <cellStyle name="适中 6" xfId="3020"/>
    <cellStyle name="好_2009年一般性转移支付标准工资_不用软件计算9.1不考虑经费管理评价xl 5" xfId="3021"/>
    <cellStyle name="Accent6 - 60% 7" xfId="3022"/>
    <cellStyle name="差_2009年一般性转移支付标准工资_地方配套按人均增幅控制8.30一般预算平均增幅、人均可用财力平均增幅两次控制、社会治安系数调整、案件数调整xl 5" xfId="3023"/>
    <cellStyle name="60% - 强调文字颜色 3 8" xfId="3024"/>
    <cellStyle name="常规 2 5 8" xfId="3025"/>
    <cellStyle name="差_不用软件计算9.1不考虑经费管理评价xl 9" xfId="3026"/>
    <cellStyle name="60% - 强调文字颜色 2 5 2" xfId="3027"/>
    <cellStyle name="差_指标四 9" xfId="3028"/>
    <cellStyle name="差_地方配套按人均增幅控制8.30一般预算平均增幅、人均可用财力平均增幅两次控制、社会治安系数调整、案件数调整xl 3" xfId="3029"/>
    <cellStyle name="好_2006年全省财力计算表（中央、决算） 2" xfId="3030"/>
    <cellStyle name="t" xfId="3031"/>
    <cellStyle name="60% - 强调文字颜色 2 3 5" xfId="3032"/>
    <cellStyle name="Accent4 - 60% 6" xfId="3033"/>
    <cellStyle name="差_530629_2006年县级财政报表附表 4" xfId="3034"/>
    <cellStyle name="60% - 强调文字颜色 2 3" xfId="3035"/>
    <cellStyle name="好_2、土地面积、人口、粮食产量基本情况 2" xfId="3036"/>
    <cellStyle name="PSInt" xfId="3037"/>
    <cellStyle name="常规 2 4 3" xfId="3038"/>
    <cellStyle name="强调文字颜色 1 6" xfId="3039"/>
    <cellStyle name="Accent3 - 40%" xfId="3040"/>
    <cellStyle name="好_Book1_1 6" xfId="3041"/>
    <cellStyle name="差_基础数据分析 8" xfId="3042"/>
    <cellStyle name="好_奖励补助测算7.25 6" xfId="3043"/>
    <cellStyle name="差_530629_2006年县级财政报表附表 7" xfId="3044"/>
    <cellStyle name="Input [yellow]" xfId="3045"/>
    <cellStyle name="好_云南省2008年中小学教职工情况（教育厅提供20090101加工整理） 8" xfId="3046"/>
    <cellStyle name="差_2009年一般性转移支付标准工资_奖励补助测算5.23新 3" xfId="3047"/>
    <cellStyle name="好_2、土地面积、人口、粮食产量基本情况 6" xfId="3048"/>
    <cellStyle name="常规 2 4 7" xfId="3049"/>
    <cellStyle name="60% - 强调文字颜色 2 7" xfId="3050"/>
    <cellStyle name="解释性文本 5" xfId="3051"/>
    <cellStyle name="差_2006年全省财力计算表（中央、决算） 9" xfId="3052"/>
    <cellStyle name="好_0502通海县 7" xfId="3053"/>
    <cellStyle name="20% - Accent3 7" xfId="3054"/>
    <cellStyle name="Accent6 9" xfId="3055"/>
    <cellStyle name="计算 2" xfId="3056"/>
    <cellStyle name="好_指标四 8" xfId="3057"/>
    <cellStyle name="常规 2 6 5" xfId="3058"/>
    <cellStyle name="60% - 强调文字颜色 4 5" xfId="3059"/>
    <cellStyle name="好_2009年一般性转移支付标准工资_~5676413 6" xfId="3060"/>
    <cellStyle name="Accent3 - 60% 3" xfId="3061"/>
    <cellStyle name="差_卫生部门 7" xfId="3062"/>
    <cellStyle name="差_1110洱源县 2" xfId="3063"/>
    <cellStyle name="常规 4 9" xfId="3064"/>
    <cellStyle name="差 10" xfId="3065"/>
    <cellStyle name="强调文字颜色 6 4" xfId="3066"/>
    <cellStyle name="差_2009年一般性转移支付标准工资_奖励补助测算7.25 9" xfId="3067"/>
    <cellStyle name="强调文字颜色 3 9 2" xfId="3068"/>
    <cellStyle name="常规 7 8" xfId="3069"/>
    <cellStyle name="差_奖励补助测算7.25 2" xfId="3070"/>
    <cellStyle name="输出 3 3" xfId="3071"/>
    <cellStyle name="差_03昭通" xfId="3072"/>
    <cellStyle name="60% - Accent1 8" xfId="3073"/>
    <cellStyle name="差_0502通海县 8" xfId="3074"/>
    <cellStyle name="60% - Accent5 3" xfId="3075"/>
    <cellStyle name="标题 1 3 5" xfId="3076"/>
    <cellStyle name="常规 2 7 2" xfId="3077"/>
    <cellStyle name="60% - 强调文字颜色 5 2" xfId="3078"/>
    <cellStyle name="计算 8" xfId="3079"/>
    <cellStyle name="40% - Accent1 4" xfId="3080"/>
    <cellStyle name="差_2009年一般性转移支付标准工资_奖励补助测算5.22测试" xfId="3081"/>
    <cellStyle name="好_2009年一般性转移支付标准工资_奖励补助测算5.22测试 8" xfId="3082"/>
    <cellStyle name="差_指标四 5" xfId="3083"/>
    <cellStyle name="千位分隔 3 8" xfId="3084"/>
    <cellStyle name="好_三季度－表二 9" xfId="3085"/>
    <cellStyle name="差_2009年一般性转移支付标准工资_不用软件计算9.1不考虑经费管理评价xl 9" xfId="3086"/>
    <cellStyle name="Neutral 6" xfId="3087"/>
    <cellStyle name="差_2009年一般性转移支付标准工资_地方配套按人均增幅控制8.30xl 6" xfId="3088"/>
    <cellStyle name="表标题 3" xfId="3089"/>
    <cellStyle name="40% - Accent3 4" xfId="3090"/>
    <cellStyle name="百分比 3 8" xfId="3091"/>
    <cellStyle name="差_地方配套按人均增幅控制8.30xl 2" xfId="3092"/>
    <cellStyle name="好_2009年一般性转移支付标准工资_奖励补助测算7.25 7" xfId="3093"/>
    <cellStyle name="标题 4 5" xfId="3094"/>
    <cellStyle name="差_下半年禁吸戒毒经费1000万元 8" xfId="3095"/>
    <cellStyle name="好_2006年基础数据 5" xfId="3096"/>
    <cellStyle name="标题 5" xfId="3097"/>
    <cellStyle name="警告文本 9" xfId="3098"/>
    <cellStyle name="60% - 强调文字颜色 6 10" xfId="3099"/>
    <cellStyle name="差_教师绩效工资测算表（离退休按各地上报数测算）2009年1月1日" xfId="3100"/>
    <cellStyle name="常规_2012年3月月报_2015年8月月报" xfId="3101"/>
    <cellStyle name="差_2007年政法部门业务指标" xfId="3102"/>
    <cellStyle name="Linked Cells" xfId="3103"/>
    <cellStyle name="好_11大理 4" xfId="3104"/>
    <cellStyle name="Accent4 - 40% 6" xfId="3105"/>
    <cellStyle name="20% - Accent2 6" xfId="3106"/>
    <cellStyle name="40% - 强调文字颜色 5 3 4" xfId="3107"/>
    <cellStyle name="Accent5 8" xfId="3108"/>
    <cellStyle name="好_不用软件计算9.1不考虑经费管理评价xl 5" xfId="3109"/>
    <cellStyle name="Warning Text 9" xfId="3110"/>
    <cellStyle name="好_指标四 7" xfId="3111"/>
    <cellStyle name="Accent5_公安安全支出补充表5.14" xfId="3112"/>
    <cellStyle name="好_奖励补助测算5.22测试 7" xfId="3113"/>
    <cellStyle name="差_2009年一般性转移支付标准工资 5" xfId="3114"/>
    <cellStyle name="Explanatory Text 3" xfId="3115"/>
    <cellStyle name="计算 8 2" xfId="3116"/>
    <cellStyle name="常规_20248611455125" xfId="3117"/>
    <cellStyle name="差_高中教师人数（教育厅1.6日提供）" xfId="3118"/>
    <cellStyle name="标题 3 6" xfId="3119"/>
    <cellStyle name="差_卫生部门 6" xfId="3120"/>
    <cellStyle name="Accent3 - 60% 2" xfId="3121"/>
    <cellStyle name="常规 4 8" xfId="3122"/>
    <cellStyle name="强调文字颜色 3 6 2" xfId="3123"/>
    <cellStyle name="差_教育厅提供义务教育及高中教师人数（2009年1月6日） 7" xfId="3124"/>
    <cellStyle name="差_2009年一般性转移支付标准工资_奖励补助测算5.24冯铸 6" xfId="3125"/>
    <cellStyle name="差_2007年检察院案件数 6" xfId="3126"/>
    <cellStyle name="Accent3 7" xfId="3127"/>
    <cellStyle name="好_地方配套按人均增幅控制8.30xl 3" xfId="3128"/>
    <cellStyle name="强调文字颜色 1 10" xfId="3129"/>
    <cellStyle name="差_三季度－表二 5" xfId="3130"/>
    <cellStyle name="40% - 强调文字颜色 3 3 2" xfId="3131"/>
    <cellStyle name="差_~5676413 5" xfId="3132"/>
    <cellStyle name="Accent4 - 20% 4" xfId="3133"/>
    <cellStyle name="好_奖励补助测算7.25 2" xfId="3134"/>
    <cellStyle name="差_基础数据分析 4" xfId="3135"/>
    <cellStyle name="差_不用软件计算9.1不考虑经费管理评价xl 7" xfId="3136"/>
    <cellStyle name="Millares [0]_96 Risk" xfId="3137"/>
    <cellStyle name="Accent4 8" xfId="3138"/>
    <cellStyle name="20% - Accent1 6" xfId="3139"/>
    <cellStyle name="常规 2 2 2 5" xfId="3140"/>
    <cellStyle name="计算 3 2" xfId="3141"/>
    <cellStyle name="差_1003牟定县 6" xfId="3142"/>
    <cellStyle name="百分比 4 5" xfId="3143"/>
    <cellStyle name="警告文本 5" xfId="3144"/>
    <cellStyle name="Accent5 - 20% 7" xfId="3145"/>
    <cellStyle name="好_2009年一般性转移支付标准工资_奖励补助测算5.22测试 7" xfId="3146"/>
    <cellStyle name="差_指标四 4" xfId="3147"/>
    <cellStyle name="好_~4190974 4" xfId="3148"/>
    <cellStyle name="差_云南农村义务教育统计表 5" xfId="3149"/>
    <cellStyle name="60% - 强调文字颜色 5 6 2" xfId="3150"/>
    <cellStyle name="差_奖励补助测算5.23新 7" xfId="3151"/>
    <cellStyle name="强调文字颜色 5 4" xfId="3152"/>
    <cellStyle name="好_教育厅提供义务教育及高中教师人数（2009年1月6日） 3" xfId="3153"/>
    <cellStyle name="20% - 强调文字颜色 6 7" xfId="3154"/>
    <cellStyle name="差_教育厅提供义务教育及高中教师人数（2009年1月6日） 8" xfId="3155"/>
    <cellStyle name="差_2009年一般性转移支付标准工资_奖励补助测算5.24冯铸 7" xfId="3156"/>
    <cellStyle name="Accent3 8" xfId="3157"/>
    <cellStyle name="差_2008年县级公安保障标准落实奖励经费分配测算" xfId="3158"/>
    <cellStyle name="好_义务教育阶段教职工人数（教育厅提供最终） 2" xfId="3159"/>
    <cellStyle name="60% - 强调文字颜色 1 7 2" xfId="3160"/>
    <cellStyle name="差_530629_2006年县级财政报表附表 3" xfId="3161"/>
    <cellStyle name="好_~5676413 2" xfId="3162"/>
    <cellStyle name="差_地方配套按人均增幅控制8.30一般预算平均增幅、人均可用财力平均增幅两次控制、社会治安系数调整、案件数调整xl 5" xfId="3163"/>
    <cellStyle name="标题 3 3 2" xfId="3164"/>
    <cellStyle name="标题 1 3 2" xfId="3165"/>
    <cellStyle name="好_县级公安机关公用经费标准奖励测算方案（定稿） 9" xfId="3166"/>
    <cellStyle name="好_云南农村义务教育统计表 5" xfId="3167"/>
    <cellStyle name="常规_202388153234812" xfId="3168"/>
    <cellStyle name="好_财政支出对上级的依赖程度" xfId="3169"/>
    <cellStyle name="好 4 2" xfId="3170"/>
    <cellStyle name="输入 9 2" xfId="3171"/>
    <cellStyle name="链接单元格 7 2" xfId="3172"/>
    <cellStyle name="检查单元格 3" xfId="3173"/>
    <cellStyle name="标题 2 3 5" xfId="3174"/>
    <cellStyle name="Accent4 7" xfId="3175"/>
    <cellStyle name="常规 2 2 2 4" xfId="3176"/>
    <cellStyle name="20% - Accent1 5" xfId="3177"/>
    <cellStyle name="强调文字颜色 1 5" xfId="3178"/>
    <cellStyle name="好_地方配套按人均增幅控制8.30一般预算平均增幅、人均可用财力平均增幅两次控制、社会治安系数调整、案件数调整xl 9" xfId="3179"/>
    <cellStyle name="差_2007年检察院案件数 8" xfId="3180"/>
    <cellStyle name="差_下半年禁吸戒毒经费1000万元 7" xfId="3181"/>
    <cellStyle name="标题 4 4" xfId="3182"/>
    <cellStyle name="适中 3 5" xfId="3183"/>
    <cellStyle name="Neutral 2" xfId="3184"/>
    <cellStyle name="差_2009年一般性转移支付标准工资_~4190974 7" xfId="3185"/>
    <cellStyle name="好_奖励补助测算7.23 7" xfId="3186"/>
    <cellStyle name="千位分隔 2 2 5" xfId="3187"/>
    <cellStyle name="好_Book1_1 7" xfId="3188"/>
    <cellStyle name="常规_2025128105117921" xfId="3189"/>
    <cellStyle name="常规_2025128105120859" xfId="3190"/>
  </cellStyles>
  <tableStyles count="0" defaultTableStyle="TableStyleMedium9" defaultPivotStyle="PivotStyleLight16"/>
  <colors>
    <mruColors>
      <color rgb="00FFFF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tyles" Target="styles.xml"/><Relationship Id="rId41" Type="http://schemas.openxmlformats.org/officeDocument/2006/relationships/sharedStrings" Target="sharedString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externalLink" Target="externalLinks/externalLink5.xml"/><Relationship Id="rId38" Type="http://schemas.openxmlformats.org/officeDocument/2006/relationships/externalLink" Target="externalLinks/externalLink4.xml"/><Relationship Id="rId37" Type="http://schemas.openxmlformats.org/officeDocument/2006/relationships/externalLink" Target="externalLinks/externalLink3.xml"/><Relationship Id="rId36" Type="http://schemas.openxmlformats.org/officeDocument/2006/relationships/externalLink" Target="externalLinks/externalLink2.xml"/><Relationship Id="rId35" Type="http://schemas.openxmlformats.org/officeDocument/2006/relationships/externalLink" Target="externalLinks/externalLink1.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os\.wxwork_local\data\1688849875461450_1970325008038486\Cache\File\2025-11\\home\uos\Desktop\10&#26376;&#25968;&#25454;\&#26376;&#24230;&#26376;&#25253;\\home\uos\Desktop\\\NTS01\jhc\unzipped\Eastern%20Airline%20FE\Spares\FILES\SMCTS2\SMCTSSP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ome\uos\.wxwork_local\data\1688849875461450_1970325008038486\Cache\File\2025-11\\\home\uos\Desktop\10&#26376;&#25968;&#25454;\&#26376;&#24230;&#26376;&#25253;\\\home\uos\Desktop\http:\\10.124.1.30\cgi-bin\read_attach\application\octet-stream1MKxqC5YTFM=\&#25509;&#25910;&#25991;&#20214;&#30446;&#24405;\&#39044;&#31639;&#32929;212052004-5-13%2016&#65306;33&#65306;36\2004&#24180;&#24120;&#29992;\2004&#26376;&#2525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os\.wxwork_local\data\1688849875461450_1970325008038486\Cache\File\2025-11\\home\uos\Desktop\10&#26376;&#25968;&#25454;\&#26376;&#24230;&#26376;&#25253;\\home\uos\Desktop\\zq\LOCALS~1\Temp\04&#20307;&#21046;&#31185;\03&#24180;&#32456;&#32467;&#31639;&#21450;&#25968;&#25454;&#20998;&#26512;\2006&#24180;\&#20915;&#31639;&#21450;&#25968;&#25454;&#20998;&#26512;\&#20915;&#31639;&#20998;&#26512;&#36164;&#26009;&#32467;&#26524;\&#21439;&#32423;&#36130;&#25919;&#25253;&#34920;&#38468;&#34920;\01&#26118;&#26126;\01&#26118;&#2612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os\.wxwork_local\data\1688849875461450_1970325008038486\Cache\File\2025-11\\home\uos\Desktop\10&#26376;&#25968;&#25454;\&#26376;&#24230;&#26376;&#25253;\\home\uos\Desktop\\\DBSERVER\&#39044;&#31639;&#21496;\&#20849;&#20139;&#25968;&#25454;\&#21382;&#24180;&#20915;&#31639;\1996&#24180;\1996&#24180;&#20915;&#31639;&#27719;&#24635;\2021&#28246;&#21271;&#3046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ome\uos\.wxwork_local\data\1688849875461450_1970325008038486\Cache\File\2025-11\\\home\uos\Desktop\10&#26376;&#25968;&#25454;\&#26376;&#24230;&#26376;&#25253;\\\home\uos\Desktop\A:\WINDOWS.000\Desktop\&#25105;&#30340;&#20844;&#25991;&#21253;\&#36213;&#21746;&#36132;&#25991;&#20214;&#22841;\&#25253;&#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eqpmad2"/>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月报"/>
      <sheetName val="1月报"/>
      <sheetName val="2月报"/>
      <sheetName val="3月报"/>
      <sheetName val="4月报"/>
      <sheetName val="5月报"/>
      <sheetName val="6月报"/>
      <sheetName val="7月报"/>
      <sheetName val="8月报"/>
      <sheetName val="9月报"/>
      <sheetName val="10月报"/>
      <sheetName val="11月报"/>
      <sheetName val="12月报"/>
      <sheetName val="汇总"/>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封面"/>
      <sheetName val="目录"/>
      <sheetName val="A01"/>
      <sheetName val="A02"/>
      <sheetName val="A03"/>
      <sheetName val="A04"/>
      <sheetName val="A05"/>
      <sheetName val="A06"/>
      <sheetName val="A07"/>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Define"/>
      <sheetName val="C01-1"/>
    </sheetNames>
    <sheetDataSet>
      <sheetData sheetId="0"/>
      <sheetData sheetId="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四月份月报"/>
    </sheetNames>
    <sheetDataSet>
      <sheetData sheetId="0"/>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X19" sqref="X19"/>
    </sheetView>
  </sheetViews>
  <sheetFormatPr defaultColWidth="9" defaultRowHeight="14.25"/>
  <sheetData/>
  <pageMargins left="0.75" right="0.75" top="1" bottom="1" header="0.5" footer="0.5"/>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X34"/>
  <sheetViews>
    <sheetView zoomScale="80" zoomScaleNormal="80" workbookViewId="0">
      <pane xSplit="2" ySplit="3" topLeftCell="P4" activePane="bottomRight" state="frozen"/>
      <selection/>
      <selection pane="topRight"/>
      <selection pane="bottomLeft"/>
      <selection pane="bottomRight" activeCell="A10" sqref="A10"/>
    </sheetView>
  </sheetViews>
  <sheetFormatPr defaultColWidth="9" defaultRowHeight="14.25"/>
  <cols>
    <col min="1" max="1" width="29.625" style="265" customWidth="1"/>
    <col min="2" max="2" width="10.625" style="265" customWidth="1"/>
    <col min="3" max="3" width="9.375" style="265"/>
    <col min="4" max="22" width="8.75" style="265" customWidth="1"/>
    <col min="23" max="23" width="10.625" style="265" customWidth="1"/>
    <col min="24" max="24" width="9.68333333333333" style="265" customWidth="1"/>
    <col min="25" max="16384" width="9" style="265"/>
  </cols>
  <sheetData>
    <row r="1" ht="24.95" customHeight="1" spans="1:24">
      <c r="A1" s="135" t="s">
        <v>205</v>
      </c>
      <c r="B1" s="135"/>
      <c r="C1" s="135"/>
      <c r="D1" s="135"/>
      <c r="E1" s="135"/>
      <c r="F1" s="135"/>
      <c r="G1" s="135"/>
      <c r="H1" s="135"/>
      <c r="I1" s="135"/>
      <c r="J1" s="135"/>
      <c r="K1" s="135"/>
      <c r="L1" s="135"/>
      <c r="M1" s="135"/>
      <c r="N1" s="135"/>
      <c r="O1" s="135"/>
      <c r="P1" s="135"/>
      <c r="Q1" s="135"/>
      <c r="R1" s="135"/>
      <c r="S1" s="135"/>
      <c r="T1" s="135"/>
      <c r="U1" s="135"/>
      <c r="V1" s="135"/>
      <c r="W1" s="135"/>
      <c r="X1" s="135"/>
    </row>
    <row r="2" s="274" customFormat="1" ht="21" customHeight="1" spans="1:24">
      <c r="A2" s="136" t="s">
        <v>1</v>
      </c>
      <c r="B2" s="241" t="s">
        <v>102</v>
      </c>
      <c r="C2" s="137" t="s">
        <v>3</v>
      </c>
      <c r="D2" s="138"/>
      <c r="E2" s="137" t="s">
        <v>4</v>
      </c>
      <c r="F2" s="138"/>
      <c r="G2" s="137" t="s">
        <v>5</v>
      </c>
      <c r="H2" s="138"/>
      <c r="I2" s="137" t="s">
        <v>6</v>
      </c>
      <c r="J2" s="138"/>
      <c r="K2" s="137" t="s">
        <v>7</v>
      </c>
      <c r="L2" s="138"/>
      <c r="M2" s="137" t="s">
        <v>8</v>
      </c>
      <c r="N2" s="138"/>
      <c r="O2" s="137" t="s">
        <v>9</v>
      </c>
      <c r="P2" s="138"/>
      <c r="Q2" s="137" t="s">
        <v>10</v>
      </c>
      <c r="R2" s="138"/>
      <c r="S2" s="137" t="s">
        <v>11</v>
      </c>
      <c r="T2" s="138"/>
      <c r="U2" s="137" t="s">
        <v>12</v>
      </c>
      <c r="V2" s="138"/>
      <c r="W2" s="137" t="s">
        <v>13</v>
      </c>
      <c r="X2" s="138"/>
    </row>
    <row r="3" s="274" customFormat="1" ht="21" customHeight="1" spans="1:24">
      <c r="A3" s="139"/>
      <c r="B3" s="242"/>
      <c r="C3" s="140" t="s">
        <v>14</v>
      </c>
      <c r="D3" s="141" t="s">
        <v>15</v>
      </c>
      <c r="E3" s="140" t="s">
        <v>14</v>
      </c>
      <c r="F3" s="141" t="s">
        <v>15</v>
      </c>
      <c r="G3" s="140" t="s">
        <v>14</v>
      </c>
      <c r="H3" s="141" t="s">
        <v>15</v>
      </c>
      <c r="I3" s="140" t="s">
        <v>14</v>
      </c>
      <c r="J3" s="141" t="s">
        <v>15</v>
      </c>
      <c r="K3" s="140" t="s">
        <v>14</v>
      </c>
      <c r="L3" s="141" t="s">
        <v>15</v>
      </c>
      <c r="M3" s="140" t="s">
        <v>14</v>
      </c>
      <c r="N3" s="141" t="s">
        <v>15</v>
      </c>
      <c r="O3" s="140" t="s">
        <v>14</v>
      </c>
      <c r="P3" s="141" t="s">
        <v>15</v>
      </c>
      <c r="Q3" s="140" t="s">
        <v>14</v>
      </c>
      <c r="R3" s="141" t="s">
        <v>15</v>
      </c>
      <c r="S3" s="140" t="s">
        <v>14</v>
      </c>
      <c r="T3" s="141" t="s">
        <v>15</v>
      </c>
      <c r="U3" s="140" t="s">
        <v>14</v>
      </c>
      <c r="V3" s="141" t="s">
        <v>15</v>
      </c>
      <c r="W3" s="140" t="s">
        <v>14</v>
      </c>
      <c r="X3" s="141" t="s">
        <v>15</v>
      </c>
    </row>
    <row r="4" ht="18" customHeight="1" spans="1:24">
      <c r="A4" s="268" t="s">
        <v>206</v>
      </c>
      <c r="B4" s="269" t="s">
        <v>112</v>
      </c>
      <c r="C4" s="250">
        <v>402</v>
      </c>
      <c r="D4" s="147">
        <v>3.1</v>
      </c>
      <c r="E4" s="250">
        <v>58.38446</v>
      </c>
      <c r="F4" s="147">
        <v>24.8</v>
      </c>
      <c r="G4" s="250">
        <v>89.48868</v>
      </c>
      <c r="H4" s="147">
        <v>0.3</v>
      </c>
      <c r="I4" s="250">
        <v>120</v>
      </c>
      <c r="J4" s="147">
        <v>0.5</v>
      </c>
      <c r="K4" s="250">
        <v>153.26254</v>
      </c>
      <c r="L4" s="147">
        <v>1.5</v>
      </c>
      <c r="M4" s="250">
        <v>187.29334</v>
      </c>
      <c r="N4" s="147">
        <v>2.5</v>
      </c>
      <c r="O4" s="250">
        <v>222.89988</v>
      </c>
      <c r="P4" s="147">
        <v>-0.5</v>
      </c>
      <c r="Q4" s="250">
        <v>261.77341</v>
      </c>
      <c r="R4" s="147">
        <v>-0.6</v>
      </c>
      <c r="S4" s="250">
        <v>298.40456</v>
      </c>
      <c r="T4" s="147">
        <v>-0.9</v>
      </c>
      <c r="U4" s="250">
        <v>332.75429</v>
      </c>
      <c r="V4" s="147">
        <v>-0.7</v>
      </c>
      <c r="W4" s="250">
        <v>366.24167</v>
      </c>
      <c r="X4" s="147">
        <v>0</v>
      </c>
    </row>
    <row r="5" ht="18" customHeight="1" spans="1:24">
      <c r="A5" s="268" t="s">
        <v>207</v>
      </c>
      <c r="B5" s="269" t="s">
        <v>112</v>
      </c>
      <c r="C5" s="250">
        <v>38</v>
      </c>
      <c r="D5" s="147">
        <v>-12</v>
      </c>
      <c r="E5" s="250">
        <v>3.87</v>
      </c>
      <c r="F5" s="147">
        <v>-31.7</v>
      </c>
      <c r="G5" s="250">
        <v>6</v>
      </c>
      <c r="H5" s="147">
        <v>-30</v>
      </c>
      <c r="I5" s="250">
        <v>9</v>
      </c>
      <c r="J5" s="147">
        <v>-25</v>
      </c>
      <c r="K5" s="250">
        <v>13</v>
      </c>
      <c r="L5" s="147">
        <v>-12.4</v>
      </c>
      <c r="M5" s="250">
        <v>16</v>
      </c>
      <c r="N5" s="147">
        <v>-11.5</v>
      </c>
      <c r="O5" s="250">
        <v>19</v>
      </c>
      <c r="P5" s="147">
        <v>-9.2</v>
      </c>
      <c r="Q5" s="250">
        <v>23.21132</v>
      </c>
      <c r="R5" s="147">
        <v>-6.5</v>
      </c>
      <c r="S5" s="250">
        <v>26</v>
      </c>
      <c r="T5" s="147">
        <v>-7.4</v>
      </c>
      <c r="U5" s="250">
        <v>29</v>
      </c>
      <c r="V5" s="147">
        <v>-9.1</v>
      </c>
      <c r="W5" s="250">
        <v>32.78954</v>
      </c>
      <c r="X5" s="147">
        <v>-6.1</v>
      </c>
    </row>
    <row r="6" ht="18" customHeight="1" spans="1:24">
      <c r="A6" s="268" t="s">
        <v>208</v>
      </c>
      <c r="B6" s="269" t="s">
        <v>112</v>
      </c>
      <c r="C6" s="250">
        <v>55.10899</v>
      </c>
      <c r="D6" s="147">
        <v>4.9</v>
      </c>
      <c r="E6" s="250">
        <v>39</v>
      </c>
      <c r="F6" s="147">
        <v>38.1</v>
      </c>
      <c r="G6" s="250">
        <v>45</v>
      </c>
      <c r="H6" s="147">
        <v>28.8</v>
      </c>
      <c r="I6" s="250">
        <v>46</v>
      </c>
      <c r="J6" s="147">
        <v>28.5</v>
      </c>
      <c r="K6" s="250">
        <v>49</v>
      </c>
      <c r="L6" s="147">
        <v>34.9</v>
      </c>
      <c r="M6" s="250">
        <v>51</v>
      </c>
      <c r="N6" s="147">
        <v>35.3</v>
      </c>
      <c r="O6" s="250">
        <v>53</v>
      </c>
      <c r="P6" s="147">
        <v>34.7</v>
      </c>
      <c r="Q6" s="250">
        <v>56.67449</v>
      </c>
      <c r="R6" s="147">
        <v>36.3</v>
      </c>
      <c r="S6" s="250">
        <v>59</v>
      </c>
      <c r="T6" s="147">
        <v>33.5</v>
      </c>
      <c r="U6" s="250">
        <v>60</v>
      </c>
      <c r="V6" s="147">
        <v>33.7</v>
      </c>
      <c r="W6" s="250">
        <v>60.83056</v>
      </c>
      <c r="X6" s="147">
        <v>25.5</v>
      </c>
    </row>
    <row r="7" ht="18" customHeight="1" spans="1:24">
      <c r="A7" s="268" t="s">
        <v>209</v>
      </c>
      <c r="B7" s="269" t="s">
        <v>112</v>
      </c>
      <c r="C7" s="250">
        <v>6</v>
      </c>
      <c r="D7" s="147">
        <v>-12.6</v>
      </c>
      <c r="E7" s="250">
        <v>1</v>
      </c>
      <c r="F7" s="147">
        <v>104.2</v>
      </c>
      <c r="G7" s="250">
        <v>2</v>
      </c>
      <c r="H7" s="147">
        <v>229.9</v>
      </c>
      <c r="I7" s="250">
        <v>3</v>
      </c>
      <c r="J7" s="147">
        <v>333.7</v>
      </c>
      <c r="K7" s="250">
        <v>4</v>
      </c>
      <c r="L7" s="147">
        <v>459.1</v>
      </c>
      <c r="M7" s="250">
        <v>5</v>
      </c>
      <c r="N7" s="147">
        <v>289.7</v>
      </c>
      <c r="O7" s="250">
        <v>5</v>
      </c>
      <c r="P7" s="147">
        <v>186.2</v>
      </c>
      <c r="Q7" s="250">
        <v>6.27432</v>
      </c>
      <c r="R7" s="147">
        <v>133</v>
      </c>
      <c r="S7" s="250">
        <v>4</v>
      </c>
      <c r="T7" s="147">
        <v>106.2</v>
      </c>
      <c r="U7" s="250">
        <v>8</v>
      </c>
      <c r="V7" s="147">
        <v>87.1</v>
      </c>
      <c r="W7" s="250">
        <v>8.67202</v>
      </c>
      <c r="X7" s="147">
        <v>74.9</v>
      </c>
    </row>
    <row r="8" ht="18" customHeight="1" spans="1:24">
      <c r="A8" s="268" t="s">
        <v>210</v>
      </c>
      <c r="B8" s="269" t="s">
        <v>112</v>
      </c>
      <c r="C8" s="250">
        <v>8</v>
      </c>
      <c r="D8" s="147">
        <v>-9.7</v>
      </c>
      <c r="E8" s="250">
        <v>1</v>
      </c>
      <c r="F8" s="147">
        <v>-4.3</v>
      </c>
      <c r="G8" s="250">
        <v>2</v>
      </c>
      <c r="H8" s="147">
        <v>-3.5</v>
      </c>
      <c r="I8" s="250">
        <v>3</v>
      </c>
      <c r="J8" s="147">
        <v>-3.3</v>
      </c>
      <c r="K8" s="250">
        <v>3</v>
      </c>
      <c r="L8" s="147">
        <v>-2.4</v>
      </c>
      <c r="M8" s="250">
        <v>4</v>
      </c>
      <c r="N8" s="147">
        <v>-3.5</v>
      </c>
      <c r="O8" s="250">
        <v>5</v>
      </c>
      <c r="P8" s="147">
        <v>-2.7</v>
      </c>
      <c r="Q8" s="250">
        <v>5.26509</v>
      </c>
      <c r="R8" s="147">
        <v>-1.5</v>
      </c>
      <c r="S8" s="250">
        <v>6</v>
      </c>
      <c r="T8" s="147">
        <v>-0.7</v>
      </c>
      <c r="U8" s="250">
        <v>7</v>
      </c>
      <c r="V8" s="147">
        <v>-0.4</v>
      </c>
      <c r="W8" s="250">
        <v>7.14782</v>
      </c>
      <c r="X8" s="147">
        <v>-0.4</v>
      </c>
    </row>
    <row r="9" ht="18" customHeight="1" spans="1:24">
      <c r="A9" s="268" t="s">
        <v>211</v>
      </c>
      <c r="B9" s="269" t="s">
        <v>212</v>
      </c>
      <c r="C9" s="250">
        <v>102637.2</v>
      </c>
      <c r="D9" s="147">
        <v>-4</v>
      </c>
      <c r="E9" s="250">
        <v>13662</v>
      </c>
      <c r="F9" s="147">
        <v>9.3</v>
      </c>
      <c r="G9" s="250">
        <v>22590</v>
      </c>
      <c r="H9" s="147">
        <v>12.4</v>
      </c>
      <c r="I9" s="250">
        <v>33051</v>
      </c>
      <c r="J9" s="147">
        <v>35.5</v>
      </c>
      <c r="K9" s="250">
        <v>41685</v>
      </c>
      <c r="L9" s="147">
        <v>26.8</v>
      </c>
      <c r="M9" s="250">
        <v>56687</v>
      </c>
      <c r="N9" s="147">
        <v>26.3</v>
      </c>
      <c r="O9" s="250">
        <v>64212</v>
      </c>
      <c r="P9" s="147">
        <v>18.9</v>
      </c>
      <c r="Q9" s="250">
        <v>74766</v>
      </c>
      <c r="R9" s="147">
        <v>12.9</v>
      </c>
      <c r="S9" s="250">
        <v>87447</v>
      </c>
      <c r="T9" s="147">
        <v>11.5</v>
      </c>
      <c r="U9" s="250">
        <v>93685</v>
      </c>
      <c r="V9" s="147">
        <v>6.7</v>
      </c>
      <c r="W9" s="250">
        <v>99284</v>
      </c>
      <c r="X9" s="147">
        <v>5.2</v>
      </c>
    </row>
    <row r="10" ht="18" customHeight="1" spans="1:24">
      <c r="A10" s="268" t="s">
        <v>213</v>
      </c>
      <c r="B10" s="269" t="s">
        <v>212</v>
      </c>
      <c r="C10" s="250">
        <v>102299</v>
      </c>
      <c r="D10" s="147">
        <v>-4</v>
      </c>
      <c r="E10" s="250">
        <v>13662</v>
      </c>
      <c r="F10" s="147">
        <v>9.3</v>
      </c>
      <c r="G10" s="250">
        <v>22590</v>
      </c>
      <c r="H10" s="147">
        <v>12.4</v>
      </c>
      <c r="I10" s="250">
        <v>33051</v>
      </c>
      <c r="J10" s="147">
        <v>35.5</v>
      </c>
      <c r="K10" s="250">
        <v>41685</v>
      </c>
      <c r="L10" s="147">
        <v>26.8</v>
      </c>
      <c r="M10" s="250">
        <v>56687</v>
      </c>
      <c r="N10" s="147">
        <v>26.3</v>
      </c>
      <c r="O10" s="250">
        <v>64212</v>
      </c>
      <c r="P10" s="147">
        <v>18.9</v>
      </c>
      <c r="Q10" s="250">
        <v>74766</v>
      </c>
      <c r="R10" s="147">
        <v>12.9</v>
      </c>
      <c r="S10" s="250">
        <v>87447</v>
      </c>
      <c r="T10" s="147">
        <v>11.5</v>
      </c>
      <c r="U10" s="250">
        <v>93685</v>
      </c>
      <c r="V10" s="147">
        <v>6.7</v>
      </c>
      <c r="W10" s="250">
        <v>99284</v>
      </c>
      <c r="X10" s="147">
        <v>5.2</v>
      </c>
    </row>
    <row r="11" ht="18" customHeight="1" spans="1:24">
      <c r="A11" s="268" t="s">
        <v>214</v>
      </c>
      <c r="B11" s="269" t="s">
        <v>112</v>
      </c>
      <c r="C11" s="250">
        <v>43</v>
      </c>
      <c r="D11" s="147">
        <v>-0.3</v>
      </c>
      <c r="E11" s="250">
        <v>7</v>
      </c>
      <c r="F11" s="147">
        <v>-0.1</v>
      </c>
      <c r="G11" s="250">
        <v>10</v>
      </c>
      <c r="H11" s="147">
        <v>-3.9</v>
      </c>
      <c r="I11" s="250">
        <v>13</v>
      </c>
      <c r="J11" s="147">
        <v>-11.7</v>
      </c>
      <c r="K11" s="250">
        <v>17</v>
      </c>
      <c r="L11" s="147">
        <v>-11.6</v>
      </c>
      <c r="M11" s="250">
        <v>21</v>
      </c>
      <c r="N11" s="147">
        <v>-6.9</v>
      </c>
      <c r="O11" s="250">
        <v>25</v>
      </c>
      <c r="P11" s="147">
        <v>-7.8</v>
      </c>
      <c r="Q11" s="250">
        <v>28.30533</v>
      </c>
      <c r="R11" s="147">
        <v>-10.1</v>
      </c>
      <c r="S11" s="250">
        <v>33</v>
      </c>
      <c r="T11" s="147">
        <v>-7.6</v>
      </c>
      <c r="U11" s="250">
        <v>36</v>
      </c>
      <c r="V11" s="147">
        <v>-7.6</v>
      </c>
      <c r="W11" s="250">
        <v>37.81727</v>
      </c>
      <c r="X11" s="147">
        <v>-9.5</v>
      </c>
    </row>
    <row r="12" ht="18" customHeight="1" spans="1:24">
      <c r="A12" s="268" t="s">
        <v>215</v>
      </c>
      <c r="B12" s="269" t="s">
        <v>112</v>
      </c>
      <c r="C12" s="250">
        <v>30</v>
      </c>
      <c r="D12" s="147">
        <v>4.2</v>
      </c>
      <c r="E12" s="250">
        <v>4</v>
      </c>
      <c r="F12" s="147">
        <v>7.1</v>
      </c>
      <c r="G12" s="250">
        <v>7</v>
      </c>
      <c r="H12" s="147">
        <v>8.4</v>
      </c>
      <c r="I12" s="250">
        <v>9</v>
      </c>
      <c r="J12" s="147">
        <v>4.5</v>
      </c>
      <c r="K12" s="250">
        <v>11</v>
      </c>
      <c r="L12" s="147">
        <v>2.5</v>
      </c>
      <c r="M12" s="250">
        <v>14</v>
      </c>
      <c r="N12" s="147">
        <v>1.4</v>
      </c>
      <c r="O12" s="250">
        <v>16</v>
      </c>
      <c r="P12" s="147">
        <v>-1</v>
      </c>
      <c r="Q12" s="250">
        <v>18.9351</v>
      </c>
      <c r="R12" s="147">
        <v>-1.9</v>
      </c>
      <c r="S12" s="250">
        <v>22</v>
      </c>
      <c r="T12" s="147">
        <v>-1.8</v>
      </c>
      <c r="U12" s="250">
        <v>24</v>
      </c>
      <c r="V12" s="147">
        <v>-3.5</v>
      </c>
      <c r="W12" s="250">
        <v>26.9828</v>
      </c>
      <c r="X12" s="147">
        <v>-3.2</v>
      </c>
    </row>
    <row r="13" ht="18" customHeight="1" spans="1:24">
      <c r="A13" s="268" t="s">
        <v>216</v>
      </c>
      <c r="B13" s="269" t="s">
        <v>217</v>
      </c>
      <c r="C13" s="250">
        <v>114</v>
      </c>
      <c r="D13" s="147">
        <v>2.9</v>
      </c>
      <c r="E13" s="250">
        <v>28</v>
      </c>
      <c r="F13" s="147">
        <v>16.6</v>
      </c>
      <c r="G13" s="250">
        <v>40</v>
      </c>
      <c r="H13" s="147">
        <v>4.4</v>
      </c>
      <c r="I13" s="250">
        <v>48</v>
      </c>
      <c r="J13" s="147">
        <v>-3.4</v>
      </c>
      <c r="K13" s="250">
        <v>59</v>
      </c>
      <c r="L13" s="147">
        <v>-5.7</v>
      </c>
      <c r="M13" s="250">
        <v>66.7</v>
      </c>
      <c r="N13" s="147">
        <v>-2.5</v>
      </c>
      <c r="O13" s="250">
        <v>75</v>
      </c>
      <c r="P13" s="147">
        <v>-8.7</v>
      </c>
      <c r="Q13" s="250">
        <v>80.4</v>
      </c>
      <c r="R13" s="147">
        <v>-13.7</v>
      </c>
      <c r="S13" s="250">
        <v>95.9</v>
      </c>
      <c r="T13" s="147">
        <v>-1.9</v>
      </c>
      <c r="U13" s="250">
        <v>99.4897</v>
      </c>
      <c r="V13" s="147">
        <v>-5.3</v>
      </c>
      <c r="W13" s="250">
        <v>106.69</v>
      </c>
      <c r="X13" s="147">
        <v>-2.4</v>
      </c>
    </row>
    <row r="14" ht="18" customHeight="1" spans="1:24">
      <c r="A14" s="268" t="s">
        <v>218</v>
      </c>
      <c r="B14" s="269" t="s">
        <v>219</v>
      </c>
      <c r="C14" s="250">
        <v>8777.3</v>
      </c>
      <c r="D14" s="147">
        <v>-9.8</v>
      </c>
      <c r="E14" s="250">
        <v>1347.1</v>
      </c>
      <c r="F14" s="147">
        <v>-15.6</v>
      </c>
      <c r="G14" s="250">
        <v>1994.5</v>
      </c>
      <c r="H14" s="147">
        <v>-4.2</v>
      </c>
      <c r="I14" s="250">
        <v>2883</v>
      </c>
      <c r="J14" s="147">
        <v>-1.8</v>
      </c>
      <c r="K14" s="250">
        <v>3682.7</v>
      </c>
      <c r="L14" s="147">
        <v>1</v>
      </c>
      <c r="M14" s="250">
        <v>4421.4</v>
      </c>
      <c r="N14" s="147">
        <v>1.4</v>
      </c>
      <c r="O14" s="250">
        <v>5214.3</v>
      </c>
      <c r="P14" s="147">
        <v>5.4</v>
      </c>
      <c r="Q14" s="250">
        <v>5961.8</v>
      </c>
      <c r="R14" s="147">
        <v>6.3</v>
      </c>
      <c r="S14" s="250">
        <v>6754.8</v>
      </c>
      <c r="T14" s="147">
        <v>9</v>
      </c>
      <c r="U14" s="250">
        <v>7849.1</v>
      </c>
      <c r="V14" s="147">
        <v>16.8</v>
      </c>
      <c r="W14" s="250">
        <v>8679.9</v>
      </c>
      <c r="X14" s="147">
        <v>19.5</v>
      </c>
    </row>
    <row r="15" ht="18" customHeight="1" spans="1:24">
      <c r="A15" s="268" t="s">
        <v>220</v>
      </c>
      <c r="B15" s="269" t="s">
        <v>221</v>
      </c>
      <c r="C15" s="250">
        <v>385.5</v>
      </c>
      <c r="D15" s="147">
        <v>8.1</v>
      </c>
      <c r="E15" s="250">
        <v>133.9</v>
      </c>
      <c r="F15" s="147">
        <v>83.2</v>
      </c>
      <c r="G15" s="250">
        <v>188.8</v>
      </c>
      <c r="H15" s="147">
        <v>38.7</v>
      </c>
      <c r="I15" s="250">
        <v>246.3</v>
      </c>
      <c r="J15" s="147">
        <v>32.7</v>
      </c>
      <c r="K15" s="250">
        <v>278</v>
      </c>
      <c r="L15" s="147">
        <v>80.3</v>
      </c>
      <c r="M15" s="250">
        <v>406.1</v>
      </c>
      <c r="N15" s="147">
        <v>158.8</v>
      </c>
      <c r="O15" s="250">
        <v>510.7</v>
      </c>
      <c r="P15" s="147">
        <v>160.8</v>
      </c>
      <c r="Q15" s="250">
        <v>622.9</v>
      </c>
      <c r="R15" s="147">
        <v>164.8</v>
      </c>
      <c r="S15" s="250">
        <v>739.3</v>
      </c>
      <c r="T15" s="147">
        <v>184.7</v>
      </c>
      <c r="U15" s="250">
        <v>739.3</v>
      </c>
      <c r="V15" s="147">
        <v>160.2</v>
      </c>
      <c r="W15" s="250">
        <v>739.3</v>
      </c>
      <c r="X15" s="147">
        <v>144</v>
      </c>
    </row>
    <row r="16" ht="18" customHeight="1" spans="1:24">
      <c r="A16" s="268" t="s">
        <v>222</v>
      </c>
      <c r="B16" s="269" t="s">
        <v>112</v>
      </c>
      <c r="C16" s="250">
        <v>67</v>
      </c>
      <c r="D16" s="147">
        <v>7.1</v>
      </c>
      <c r="E16" s="250">
        <v>0</v>
      </c>
      <c r="F16" s="147">
        <v>-100</v>
      </c>
      <c r="G16" s="250">
        <v>0</v>
      </c>
      <c r="H16" s="147">
        <v>-100</v>
      </c>
      <c r="I16" s="250">
        <v>0</v>
      </c>
      <c r="J16" s="147">
        <v>-100</v>
      </c>
      <c r="K16" s="250">
        <v>0</v>
      </c>
      <c r="L16" s="147">
        <v>-100</v>
      </c>
      <c r="M16" s="250">
        <v>0</v>
      </c>
      <c r="N16" s="147">
        <v>-100</v>
      </c>
      <c r="O16" s="250">
        <v>0</v>
      </c>
      <c r="P16" s="147">
        <v>-100</v>
      </c>
      <c r="Q16" s="250">
        <v>0</v>
      </c>
      <c r="R16" s="147">
        <v>-100</v>
      </c>
      <c r="S16" s="250">
        <v>0</v>
      </c>
      <c r="T16" s="147">
        <v>-100</v>
      </c>
      <c r="U16" s="250">
        <v>0</v>
      </c>
      <c r="V16" s="147">
        <v>-100</v>
      </c>
      <c r="W16" s="250">
        <v>0</v>
      </c>
      <c r="X16" s="147">
        <v>-100</v>
      </c>
    </row>
    <row r="17" ht="18" customHeight="1" spans="1:24">
      <c r="A17" s="268" t="s">
        <v>223</v>
      </c>
      <c r="B17" s="269" t="s">
        <v>224</v>
      </c>
      <c r="C17" s="250">
        <v>33</v>
      </c>
      <c r="D17" s="147">
        <v>-50.1</v>
      </c>
      <c r="E17" s="250">
        <v>2</v>
      </c>
      <c r="F17" s="147">
        <v>-68.5</v>
      </c>
      <c r="G17" s="250">
        <v>3</v>
      </c>
      <c r="H17" s="147">
        <v>-69.5</v>
      </c>
      <c r="I17" s="250">
        <v>4</v>
      </c>
      <c r="J17" s="147">
        <v>-70.2</v>
      </c>
      <c r="K17" s="250">
        <v>4</v>
      </c>
      <c r="L17" s="147">
        <v>-68.8</v>
      </c>
      <c r="M17" s="250">
        <v>5</v>
      </c>
      <c r="N17" s="147">
        <v>-68.2</v>
      </c>
      <c r="O17" s="250">
        <v>6</v>
      </c>
      <c r="P17" s="147">
        <v>-66.6</v>
      </c>
      <c r="Q17" s="250">
        <v>7.25857</v>
      </c>
      <c r="R17" s="147">
        <v>-65.2</v>
      </c>
      <c r="S17" s="250">
        <v>8</v>
      </c>
      <c r="T17" s="147">
        <v>-63.4</v>
      </c>
      <c r="U17" s="250">
        <v>9</v>
      </c>
      <c r="V17" s="147">
        <v>-61.7</v>
      </c>
      <c r="W17" s="250">
        <v>10.2786</v>
      </c>
      <c r="X17" s="147">
        <v>-59.9</v>
      </c>
    </row>
    <row r="18" ht="18" customHeight="1" spans="1:24">
      <c r="A18" s="268" t="s">
        <v>225</v>
      </c>
      <c r="B18" s="269" t="s">
        <v>221</v>
      </c>
      <c r="C18" s="250">
        <v>118</v>
      </c>
      <c r="D18" s="147">
        <v>-16.3</v>
      </c>
      <c r="E18" s="250">
        <v>14</v>
      </c>
      <c r="F18" s="147">
        <v>-13.1</v>
      </c>
      <c r="G18" s="250">
        <v>23</v>
      </c>
      <c r="H18" s="147">
        <v>-14.6</v>
      </c>
      <c r="I18" s="250">
        <v>33</v>
      </c>
      <c r="J18" s="147">
        <v>-16.8</v>
      </c>
      <c r="K18" s="250">
        <v>41</v>
      </c>
      <c r="L18" s="147">
        <v>-18.4</v>
      </c>
      <c r="M18" s="250">
        <v>48</v>
      </c>
      <c r="N18" s="147">
        <v>-19.7</v>
      </c>
      <c r="O18" s="250">
        <v>56</v>
      </c>
      <c r="P18" s="147">
        <v>-19.4</v>
      </c>
      <c r="Q18" s="250">
        <v>60.3106</v>
      </c>
      <c r="R18" s="147">
        <v>-24.9</v>
      </c>
      <c r="S18" s="250">
        <v>70</v>
      </c>
      <c r="T18" s="147">
        <v>-21.4</v>
      </c>
      <c r="U18" s="250">
        <v>78</v>
      </c>
      <c r="V18" s="147">
        <v>-23.3</v>
      </c>
      <c r="W18" s="250">
        <v>85.4417</v>
      </c>
      <c r="X18" s="147">
        <v>-20.2</v>
      </c>
    </row>
    <row r="19" ht="18" customHeight="1" spans="1:24">
      <c r="A19" s="268" t="s">
        <v>226</v>
      </c>
      <c r="B19" s="269" t="s">
        <v>112</v>
      </c>
      <c r="C19" s="250">
        <v>215.07432</v>
      </c>
      <c r="D19" s="147">
        <v>8.9</v>
      </c>
      <c r="E19" s="250">
        <v>14.91111</v>
      </c>
      <c r="F19" s="147">
        <v>-60.1</v>
      </c>
      <c r="G19" s="250">
        <v>20.78494</v>
      </c>
      <c r="H19" s="147">
        <v>-65.1</v>
      </c>
      <c r="I19" s="250">
        <v>29</v>
      </c>
      <c r="J19" s="147">
        <v>-64.5</v>
      </c>
      <c r="K19" s="250">
        <v>37.18578</v>
      </c>
      <c r="L19" s="147">
        <v>-62.7</v>
      </c>
      <c r="M19" s="250">
        <v>44.13814</v>
      </c>
      <c r="N19" s="147">
        <v>-63.2</v>
      </c>
      <c r="O19" s="250">
        <v>52.07114</v>
      </c>
      <c r="P19" s="147">
        <v>-61.5</v>
      </c>
      <c r="Q19" s="250">
        <v>60.72415</v>
      </c>
      <c r="R19" s="147">
        <v>-61.3</v>
      </c>
      <c r="S19" s="250">
        <v>69.2298</v>
      </c>
      <c r="T19" s="147">
        <v>-61</v>
      </c>
      <c r="U19" s="250">
        <v>77.92166</v>
      </c>
      <c r="V19" s="147">
        <v>-60.5</v>
      </c>
      <c r="W19" s="250">
        <v>87.40873</v>
      </c>
      <c r="X19" s="147">
        <v>-58.3</v>
      </c>
    </row>
    <row r="20" ht="18" customHeight="1" spans="1:24">
      <c r="A20" s="268" t="s">
        <v>227</v>
      </c>
      <c r="B20" s="269" t="s">
        <v>112</v>
      </c>
      <c r="C20" s="250">
        <v>29.27412</v>
      </c>
      <c r="D20" s="147">
        <v>-8.2</v>
      </c>
      <c r="E20" s="250">
        <v>2.30523</v>
      </c>
      <c r="F20" s="147">
        <v>-59.6</v>
      </c>
      <c r="G20" s="250">
        <v>3.30478</v>
      </c>
      <c r="H20" s="147">
        <v>-60.4</v>
      </c>
      <c r="I20" s="250">
        <v>4.6</v>
      </c>
      <c r="J20" s="147">
        <v>-57.9</v>
      </c>
      <c r="K20" s="250">
        <v>5.32138</v>
      </c>
      <c r="L20" s="147">
        <v>-60.2</v>
      </c>
      <c r="M20" s="250">
        <v>6.37884</v>
      </c>
      <c r="N20" s="147">
        <v>-60.6</v>
      </c>
      <c r="O20" s="250">
        <v>7.46471</v>
      </c>
      <c r="P20" s="147">
        <v>-60.1</v>
      </c>
      <c r="Q20" s="250">
        <v>8.51132</v>
      </c>
      <c r="R20" s="147">
        <v>-60.2</v>
      </c>
      <c r="S20" s="250">
        <v>9.40045</v>
      </c>
      <c r="T20" s="147">
        <v>-61.1</v>
      </c>
      <c r="U20" s="250">
        <v>10.57983</v>
      </c>
      <c r="V20" s="147">
        <v>-60.7</v>
      </c>
      <c r="W20" s="250">
        <v>11.62909</v>
      </c>
      <c r="X20" s="147">
        <v>-59.4</v>
      </c>
    </row>
    <row r="21" ht="18" customHeight="1" spans="1:24">
      <c r="A21" s="268" t="s">
        <v>228</v>
      </c>
      <c r="B21" s="269" t="s">
        <v>112</v>
      </c>
      <c r="C21" s="250">
        <v>1366.6567</v>
      </c>
      <c r="D21" s="147">
        <v>-1.5646</v>
      </c>
      <c r="E21" s="250">
        <v>246.7275</v>
      </c>
      <c r="F21" s="147">
        <v>2.5293</v>
      </c>
      <c r="G21" s="250">
        <v>365.9928</v>
      </c>
      <c r="H21" s="147">
        <v>5.6874</v>
      </c>
      <c r="I21" s="250">
        <v>495.9586</v>
      </c>
      <c r="J21" s="147">
        <v>25.889</v>
      </c>
      <c r="K21" s="250">
        <v>639.9746</v>
      </c>
      <c r="L21" s="147">
        <v>34.0225</v>
      </c>
      <c r="M21" s="250">
        <v>780.0667</v>
      </c>
      <c r="N21" s="147">
        <v>31.1911</v>
      </c>
      <c r="O21" s="250">
        <v>921.8294</v>
      </c>
      <c r="P21" s="147">
        <v>28.3223</v>
      </c>
      <c r="Q21" s="250">
        <v>1049.8417</v>
      </c>
      <c r="R21" s="147">
        <v>23.2978</v>
      </c>
      <c r="S21" s="250">
        <v>1170.0619</v>
      </c>
      <c r="T21" s="147">
        <v>19.1548</v>
      </c>
      <c r="U21" s="250">
        <v>1307.4878</v>
      </c>
      <c r="V21" s="147">
        <v>17.7413</v>
      </c>
      <c r="W21" s="250">
        <v>1439.0439</v>
      </c>
      <c r="X21" s="147">
        <v>16.1132</v>
      </c>
    </row>
    <row r="22" ht="18" customHeight="1" spans="1:24">
      <c r="A22" s="268" t="s">
        <v>229</v>
      </c>
      <c r="B22" s="269" t="s">
        <v>112</v>
      </c>
      <c r="C22" s="250">
        <v>435.7741</v>
      </c>
      <c r="D22" s="147">
        <v>5.1847</v>
      </c>
      <c r="E22" s="250">
        <v>81.8546</v>
      </c>
      <c r="F22" s="147">
        <v>11.4483</v>
      </c>
      <c r="G22" s="250">
        <v>117.1828</v>
      </c>
      <c r="H22" s="147">
        <v>13.9638</v>
      </c>
      <c r="I22" s="250">
        <v>163.6984</v>
      </c>
      <c r="J22" s="147">
        <v>37.0809</v>
      </c>
      <c r="K22" s="250">
        <v>208.2964</v>
      </c>
      <c r="L22" s="147">
        <v>42.2268</v>
      </c>
      <c r="M22" s="250">
        <v>250.0215</v>
      </c>
      <c r="N22" s="147">
        <v>33.8286</v>
      </c>
      <c r="O22" s="250">
        <v>293.0812</v>
      </c>
      <c r="P22" s="147">
        <v>26.3055</v>
      </c>
      <c r="Q22" s="250">
        <v>336.169</v>
      </c>
      <c r="R22" s="147">
        <v>22.3286</v>
      </c>
      <c r="S22" s="250">
        <v>377.0271</v>
      </c>
      <c r="T22" s="147">
        <v>19.1092</v>
      </c>
      <c r="U22" s="250">
        <v>422.0539</v>
      </c>
      <c r="V22" s="147">
        <v>17.8151</v>
      </c>
      <c r="W22" s="250">
        <v>464.2379</v>
      </c>
      <c r="X22" s="147">
        <v>16.6048</v>
      </c>
    </row>
    <row r="23" ht="18" customHeight="1" spans="1:24">
      <c r="A23" s="268" t="s">
        <v>230</v>
      </c>
      <c r="B23" s="269" t="s">
        <v>112</v>
      </c>
      <c r="C23" s="250">
        <v>404.9815</v>
      </c>
      <c r="D23" s="147">
        <v>-1.768</v>
      </c>
      <c r="E23" s="250">
        <v>62.4841</v>
      </c>
      <c r="F23" s="147">
        <v>-14.8386</v>
      </c>
      <c r="G23" s="250">
        <v>91.3027</v>
      </c>
      <c r="H23" s="147">
        <v>-12.6958</v>
      </c>
      <c r="I23" s="250">
        <v>125.404</v>
      </c>
      <c r="J23" s="147">
        <v>4.1807</v>
      </c>
      <c r="K23" s="250">
        <v>162.7552</v>
      </c>
      <c r="L23" s="147">
        <v>10.6128</v>
      </c>
      <c r="M23" s="250">
        <v>196.5952</v>
      </c>
      <c r="N23" s="147">
        <v>10.7144</v>
      </c>
      <c r="O23" s="250">
        <v>227.8532</v>
      </c>
      <c r="P23" s="147">
        <v>9.636</v>
      </c>
      <c r="Q23" s="250">
        <v>257.7235</v>
      </c>
      <c r="R23" s="147">
        <v>6.5353</v>
      </c>
      <c r="S23" s="250">
        <v>292.0714</v>
      </c>
      <c r="T23" s="147">
        <v>4.5167</v>
      </c>
      <c r="U23" s="250">
        <v>327.4687</v>
      </c>
      <c r="V23" s="147">
        <v>2.8024</v>
      </c>
      <c r="W23" s="250">
        <v>363.0519</v>
      </c>
      <c r="X23" s="147">
        <v>0.0941</v>
      </c>
    </row>
    <row r="24" ht="18" customHeight="1" spans="1:24">
      <c r="A24" s="268" t="s">
        <v>231</v>
      </c>
      <c r="B24" s="269" t="s">
        <v>112</v>
      </c>
      <c r="C24" s="250">
        <v>85.5531</v>
      </c>
      <c r="D24" s="147">
        <v>14.8432</v>
      </c>
      <c r="E24" s="250">
        <v>8.2938</v>
      </c>
      <c r="F24" s="147">
        <v>-27.9682</v>
      </c>
      <c r="G24" s="250">
        <v>13</v>
      </c>
      <c r="H24" s="147">
        <v>-26.7</v>
      </c>
      <c r="I24" s="250">
        <v>15.6531</v>
      </c>
      <c r="J24" s="147">
        <v>-30.5157</v>
      </c>
      <c r="K24" s="250">
        <v>22.7728</v>
      </c>
      <c r="L24" s="147">
        <v>-17.3029</v>
      </c>
      <c r="M24" s="250">
        <v>26.9438</v>
      </c>
      <c r="N24" s="147">
        <v>-33.3629</v>
      </c>
      <c r="O24" s="250">
        <v>33.0586</v>
      </c>
      <c r="P24" s="147">
        <v>-34.8516</v>
      </c>
      <c r="Q24" s="250">
        <v>39.3173</v>
      </c>
      <c r="R24" s="147">
        <v>-32.8972</v>
      </c>
      <c r="S24" s="250">
        <v>44.5557</v>
      </c>
      <c r="T24" s="147">
        <v>-33.475</v>
      </c>
      <c r="U24" s="250">
        <v>50.3136</v>
      </c>
      <c r="V24" s="147">
        <v>-33.4049</v>
      </c>
      <c r="W24" s="250">
        <v>54.7527</v>
      </c>
      <c r="X24" s="147">
        <v>-32.9415</v>
      </c>
    </row>
    <row r="25" ht="18" customHeight="1" spans="1:24">
      <c r="A25" s="268" t="s">
        <v>232</v>
      </c>
      <c r="B25" s="269" t="s">
        <v>112</v>
      </c>
      <c r="C25" s="250">
        <v>33.1143</v>
      </c>
      <c r="D25" s="147">
        <v>17.569</v>
      </c>
      <c r="E25" s="250">
        <v>3.762</v>
      </c>
      <c r="F25" s="147">
        <v>-26.0714</v>
      </c>
      <c r="G25" s="250">
        <v>5.0171</v>
      </c>
      <c r="H25" s="147">
        <v>-37.0327</v>
      </c>
      <c r="I25" s="250">
        <v>4.8976</v>
      </c>
      <c r="J25" s="147">
        <v>-49.7304</v>
      </c>
      <c r="K25" s="250">
        <v>8.5335</v>
      </c>
      <c r="L25" s="147">
        <v>-32.5773</v>
      </c>
      <c r="M25" s="250">
        <v>10.3985</v>
      </c>
      <c r="N25" s="147">
        <v>-34.1805</v>
      </c>
      <c r="O25" s="250">
        <v>13.1797</v>
      </c>
      <c r="P25" s="147">
        <v>-30.6821</v>
      </c>
      <c r="Q25" s="250">
        <v>16.1809</v>
      </c>
      <c r="R25" s="147">
        <v>-27.5273</v>
      </c>
      <c r="S25" s="250">
        <v>18.0002</v>
      </c>
      <c r="T25" s="147">
        <v>-27.5905</v>
      </c>
      <c r="U25" s="250">
        <v>21.7352</v>
      </c>
      <c r="V25" s="147">
        <v>-16.2242</v>
      </c>
      <c r="W25" s="250">
        <v>24.6769</v>
      </c>
      <c r="X25" s="147">
        <v>-16.8455</v>
      </c>
    </row>
    <row r="26" ht="18" customHeight="1" spans="1:24">
      <c r="A26" s="268" t="s">
        <v>233</v>
      </c>
      <c r="B26" s="269" t="s">
        <v>112</v>
      </c>
      <c r="C26" s="250">
        <v>62.3966</v>
      </c>
      <c r="D26" s="147">
        <v>9.8046</v>
      </c>
      <c r="E26" s="250">
        <v>10.7514</v>
      </c>
      <c r="F26" s="147">
        <v>2.9343</v>
      </c>
      <c r="G26" s="250">
        <v>14.4864</v>
      </c>
      <c r="H26" s="147">
        <v>-13.9676</v>
      </c>
      <c r="I26" s="250">
        <v>20.4359</v>
      </c>
      <c r="J26" s="147">
        <v>3.4357</v>
      </c>
      <c r="K26" s="250">
        <v>26.1897</v>
      </c>
      <c r="L26" s="147">
        <v>12.3417</v>
      </c>
      <c r="M26" s="250">
        <v>30.8252</v>
      </c>
      <c r="N26" s="147">
        <v>6.3846</v>
      </c>
      <c r="O26" s="250">
        <v>36.0558</v>
      </c>
      <c r="P26" s="147">
        <v>6.4163</v>
      </c>
      <c r="Q26" s="250">
        <v>43.4763</v>
      </c>
      <c r="R26" s="147">
        <v>10.0169</v>
      </c>
      <c r="S26" s="250">
        <v>49.3749</v>
      </c>
      <c r="T26" s="147">
        <v>9.5248</v>
      </c>
      <c r="U26" s="250">
        <v>57.1904</v>
      </c>
      <c r="V26" s="147">
        <v>13.1714</v>
      </c>
      <c r="W26" s="250">
        <v>62.4591</v>
      </c>
      <c r="X26" s="147">
        <v>10.797</v>
      </c>
    </row>
    <row r="27" ht="18" customHeight="1" spans="1:24">
      <c r="A27" s="268" t="s">
        <v>234</v>
      </c>
      <c r="B27" s="269" t="s">
        <v>112</v>
      </c>
      <c r="C27" s="278">
        <v>408.64861</v>
      </c>
      <c r="D27" s="151">
        <v>-21.8</v>
      </c>
      <c r="E27" s="278">
        <v>59.78769</v>
      </c>
      <c r="F27" s="151">
        <v>-13</v>
      </c>
      <c r="G27" s="278">
        <v>96</v>
      </c>
      <c r="H27" s="151">
        <v>-3.6</v>
      </c>
      <c r="I27" s="278">
        <v>132.8</v>
      </c>
      <c r="J27" s="151">
        <v>-1.3</v>
      </c>
      <c r="K27" s="278">
        <v>171.15482</v>
      </c>
      <c r="L27" s="151">
        <v>3</v>
      </c>
      <c r="M27" s="278">
        <v>198.14425</v>
      </c>
      <c r="N27" s="151">
        <v>1.7</v>
      </c>
      <c r="O27" s="278">
        <v>222.03377</v>
      </c>
      <c r="P27" s="151">
        <v>-1.3</v>
      </c>
      <c r="Q27" s="278">
        <v>254.27543</v>
      </c>
      <c r="R27" s="151">
        <v>-0.3</v>
      </c>
      <c r="S27" s="278">
        <v>293.49209</v>
      </c>
      <c r="T27" s="151">
        <v>1.9</v>
      </c>
      <c r="U27" s="278">
        <v>329.36568</v>
      </c>
      <c r="V27" s="151">
        <v>0.3</v>
      </c>
      <c r="W27" s="278">
        <v>375.29873</v>
      </c>
      <c r="X27" s="151">
        <v>1.4</v>
      </c>
    </row>
    <row r="28" ht="18" customHeight="1" spans="1:24">
      <c r="A28" s="245" t="s">
        <v>235</v>
      </c>
      <c r="B28" s="246" t="s">
        <v>224</v>
      </c>
      <c r="C28" s="250">
        <v>951.05154</v>
      </c>
      <c r="D28" s="147">
        <v>-7.7</v>
      </c>
      <c r="E28" s="250">
        <v>158.01923</v>
      </c>
      <c r="F28" s="147">
        <v>-1.7</v>
      </c>
      <c r="G28" s="250">
        <v>234</v>
      </c>
      <c r="H28" s="147">
        <v>-0.4</v>
      </c>
      <c r="I28" s="250">
        <v>310.4</v>
      </c>
      <c r="J28" s="147">
        <v>-1.1</v>
      </c>
      <c r="K28" s="250">
        <v>390.69285</v>
      </c>
      <c r="L28" s="147">
        <v>0.4</v>
      </c>
      <c r="M28" s="250">
        <v>467.23668</v>
      </c>
      <c r="N28" s="147">
        <v>1.5</v>
      </c>
      <c r="O28" s="250">
        <v>547.5089</v>
      </c>
      <c r="P28" s="147">
        <v>1.6</v>
      </c>
      <c r="Q28" s="250">
        <v>618.51738</v>
      </c>
      <c r="R28" s="147">
        <v>-1.1</v>
      </c>
      <c r="S28" s="250">
        <v>696.64574</v>
      </c>
      <c r="T28" s="147">
        <v>-2</v>
      </c>
      <c r="U28" s="250">
        <v>769.08818</v>
      </c>
      <c r="V28" s="147">
        <v>-3.4</v>
      </c>
      <c r="W28" s="250">
        <v>855.65266</v>
      </c>
      <c r="X28" s="147">
        <v>-5.1</v>
      </c>
    </row>
    <row r="29" ht="18" customHeight="1" spans="1:24">
      <c r="A29" s="245" t="s">
        <v>236</v>
      </c>
      <c r="B29" s="246" t="s">
        <v>112</v>
      </c>
      <c r="C29" s="250">
        <v>1173.7946</v>
      </c>
      <c r="D29" s="147">
        <v>-3.4</v>
      </c>
      <c r="E29" s="250">
        <v>198.3069</v>
      </c>
      <c r="F29" s="147">
        <v>5.1</v>
      </c>
      <c r="G29" s="250">
        <v>301.7945</v>
      </c>
      <c r="H29" s="147">
        <v>3.6</v>
      </c>
      <c r="I29" s="250">
        <v>402.2</v>
      </c>
      <c r="J29" s="147">
        <v>2.9</v>
      </c>
      <c r="K29" s="250">
        <v>505.9809</v>
      </c>
      <c r="L29" s="147">
        <v>3.8</v>
      </c>
      <c r="M29" s="250">
        <v>604.8436</v>
      </c>
      <c r="N29" s="147">
        <v>7.8</v>
      </c>
      <c r="O29" s="250">
        <v>708.8368</v>
      </c>
      <c r="P29" s="147">
        <v>6.8</v>
      </c>
      <c r="Q29" s="250">
        <v>813.7779</v>
      </c>
      <c r="R29" s="147">
        <v>5.9</v>
      </c>
      <c r="S29" s="250">
        <v>910.929</v>
      </c>
      <c r="T29" s="147">
        <v>5.1</v>
      </c>
      <c r="U29" s="250">
        <v>1012.0436</v>
      </c>
      <c r="V29" s="147">
        <v>4.4</v>
      </c>
      <c r="W29" s="250">
        <v>1109.7504</v>
      </c>
      <c r="X29" s="147">
        <v>3.6</v>
      </c>
    </row>
    <row r="30" ht="18" customHeight="1" spans="1:24">
      <c r="A30" s="270" t="s">
        <v>237</v>
      </c>
      <c r="B30" s="271" t="s">
        <v>112</v>
      </c>
      <c r="C30" s="250">
        <v>1283.756</v>
      </c>
      <c r="D30" s="147">
        <v>0.2</v>
      </c>
      <c r="E30" s="250">
        <v>219.571</v>
      </c>
      <c r="F30" s="147">
        <v>5.5</v>
      </c>
      <c r="G30" s="250">
        <v>329.6603</v>
      </c>
      <c r="H30" s="147">
        <v>3</v>
      </c>
      <c r="I30" s="250">
        <v>436.2</v>
      </c>
      <c r="J30" s="147">
        <v>2.1</v>
      </c>
      <c r="K30" s="250">
        <v>545.2994</v>
      </c>
      <c r="L30" s="147">
        <v>2.2</v>
      </c>
      <c r="M30" s="250">
        <v>646.3074</v>
      </c>
      <c r="N30" s="147">
        <v>5.1</v>
      </c>
      <c r="O30" s="250">
        <v>751.4575</v>
      </c>
      <c r="P30" s="147">
        <v>3.4</v>
      </c>
      <c r="Q30" s="250">
        <v>858.2227</v>
      </c>
      <c r="R30" s="147">
        <v>2.2</v>
      </c>
      <c r="S30" s="250">
        <v>957.1336</v>
      </c>
      <c r="T30" s="147">
        <v>0.9</v>
      </c>
      <c r="U30" s="250">
        <v>1061.6634</v>
      </c>
      <c r="V30" s="147">
        <v>0.1</v>
      </c>
      <c r="W30" s="250">
        <v>1161.4659</v>
      </c>
      <c r="X30" s="147">
        <v>-0.9</v>
      </c>
    </row>
    <row r="31" ht="18" customHeight="1" spans="1:24">
      <c r="A31" s="270" t="s">
        <v>238</v>
      </c>
      <c r="B31" s="271" t="s">
        <v>112</v>
      </c>
      <c r="C31" s="250">
        <v>1194.54704</v>
      </c>
      <c r="D31" s="147">
        <v>-0.6</v>
      </c>
      <c r="E31" s="250">
        <v>203.5187</v>
      </c>
      <c r="F31" s="147">
        <v>7.5</v>
      </c>
      <c r="G31" s="250">
        <v>307.9178</v>
      </c>
      <c r="H31" s="147">
        <v>4.5</v>
      </c>
      <c r="I31" s="250">
        <v>409.3</v>
      </c>
      <c r="J31" s="147">
        <v>4</v>
      </c>
      <c r="K31" s="250">
        <v>513.064</v>
      </c>
      <c r="L31" s="147">
        <v>5</v>
      </c>
      <c r="M31" s="250">
        <v>599.2469</v>
      </c>
      <c r="N31" s="147">
        <v>5.3</v>
      </c>
      <c r="O31" s="250">
        <v>699.9867</v>
      </c>
      <c r="P31" s="147">
        <v>4.7</v>
      </c>
      <c r="Q31" s="250">
        <v>806.5319</v>
      </c>
      <c r="R31" s="147">
        <v>4</v>
      </c>
      <c r="S31" s="250">
        <v>910.7944</v>
      </c>
      <c r="T31" s="147">
        <v>3.7</v>
      </c>
      <c r="U31" s="250">
        <v>1010.441</v>
      </c>
      <c r="V31" s="147">
        <v>3</v>
      </c>
      <c r="W31" s="250">
        <v>1106.991</v>
      </c>
      <c r="X31" s="147">
        <v>2.1</v>
      </c>
    </row>
    <row r="32" ht="18" customHeight="1" spans="1:24">
      <c r="A32" s="270" t="s">
        <v>239</v>
      </c>
      <c r="B32" s="271" t="s">
        <v>240</v>
      </c>
      <c r="C32" s="250">
        <v>3531.1242</v>
      </c>
      <c r="D32" s="147">
        <v>7.7</v>
      </c>
      <c r="E32" s="250">
        <v>529.3076</v>
      </c>
      <c r="F32" s="147">
        <v>5.8</v>
      </c>
      <c r="G32" s="250">
        <v>853</v>
      </c>
      <c r="H32" s="147">
        <v>6</v>
      </c>
      <c r="I32" s="250">
        <v>1049.5</v>
      </c>
      <c r="J32" s="147">
        <v>-4.7</v>
      </c>
      <c r="K32" s="250">
        <v>1300</v>
      </c>
      <c r="L32" s="147">
        <v>-5.7</v>
      </c>
      <c r="M32" s="250">
        <v>1509.6759</v>
      </c>
      <c r="N32" s="147">
        <v>-8.3</v>
      </c>
      <c r="O32" s="250">
        <v>1776.7913</v>
      </c>
      <c r="P32" s="147">
        <v>-6.9</v>
      </c>
      <c r="Q32" s="250">
        <v>1965.7314</v>
      </c>
      <c r="R32" s="147">
        <v>-9</v>
      </c>
      <c r="S32" s="250">
        <v>2220.6953</v>
      </c>
      <c r="T32" s="147">
        <v>-10.4</v>
      </c>
      <c r="U32" s="250">
        <v>2477.485</v>
      </c>
      <c r="V32" s="147">
        <v>-12</v>
      </c>
      <c r="W32" s="250">
        <v>2758.2057</v>
      </c>
      <c r="X32" s="147">
        <v>-12.9</v>
      </c>
    </row>
    <row r="33" ht="18" customHeight="1" spans="1:24">
      <c r="A33" s="270" t="s">
        <v>241</v>
      </c>
      <c r="B33" s="271" t="s">
        <v>242</v>
      </c>
      <c r="C33" s="250">
        <v>133.9673</v>
      </c>
      <c r="D33" s="147">
        <v>-20.8</v>
      </c>
      <c r="E33" s="250">
        <v>6.721</v>
      </c>
      <c r="F33" s="147">
        <v>-83.3</v>
      </c>
      <c r="G33" s="250">
        <v>6</v>
      </c>
      <c r="H33" s="147">
        <v>-87.4</v>
      </c>
      <c r="I33" s="250">
        <v>9</v>
      </c>
      <c r="J33" s="147">
        <v>-87.6</v>
      </c>
      <c r="K33" s="250">
        <v>11</v>
      </c>
      <c r="L33" s="147">
        <v>-86.1</v>
      </c>
      <c r="M33" s="250">
        <v>12.8898</v>
      </c>
      <c r="N33" s="147">
        <v>-84.3</v>
      </c>
      <c r="O33" s="250">
        <v>16.3279</v>
      </c>
      <c r="P33" s="147">
        <v>-81.9</v>
      </c>
      <c r="Q33" s="250">
        <v>19.5331</v>
      </c>
      <c r="R33" s="147">
        <v>-79.4</v>
      </c>
      <c r="S33" s="250">
        <v>22</v>
      </c>
      <c r="T33" s="147">
        <v>-78.9</v>
      </c>
      <c r="U33" s="250">
        <v>23.0764</v>
      </c>
      <c r="V33" s="147">
        <v>-79.1</v>
      </c>
      <c r="W33" s="250">
        <v>24.1973</v>
      </c>
      <c r="X33" s="147">
        <v>-80</v>
      </c>
    </row>
    <row r="34" ht="18" customHeight="1" spans="1:24">
      <c r="A34" s="272" t="s">
        <v>243</v>
      </c>
      <c r="B34" s="273" t="s">
        <v>70</v>
      </c>
      <c r="C34" s="282">
        <v>394.3532</v>
      </c>
      <c r="D34" s="154">
        <v>0.0229</v>
      </c>
      <c r="E34" s="282">
        <v>63.8544</v>
      </c>
      <c r="F34" s="154">
        <v>2.3115</v>
      </c>
      <c r="G34" s="282">
        <v>101</v>
      </c>
      <c r="H34" s="154">
        <v>0.2</v>
      </c>
      <c r="I34" s="282">
        <v>134</v>
      </c>
      <c r="J34" s="154">
        <v>-2.3</v>
      </c>
      <c r="K34" s="282">
        <v>168</v>
      </c>
      <c r="L34" s="154">
        <v>-1</v>
      </c>
      <c r="M34" s="282">
        <v>212.1564</v>
      </c>
      <c r="N34" s="154">
        <v>7.1919</v>
      </c>
      <c r="O34" s="282">
        <v>253.5254</v>
      </c>
      <c r="P34" s="154">
        <v>7.5214</v>
      </c>
      <c r="Q34" s="282">
        <v>291.3471</v>
      </c>
      <c r="R34" s="154">
        <v>8.091</v>
      </c>
      <c r="S34" s="282">
        <v>329</v>
      </c>
      <c r="T34" s="154">
        <v>8.8</v>
      </c>
      <c r="U34" s="282">
        <v>361.5559</v>
      </c>
      <c r="V34" s="154">
        <v>7.0055</v>
      </c>
      <c r="W34" s="282">
        <v>395.5889</v>
      </c>
      <c r="X34" s="154">
        <v>7.6821</v>
      </c>
    </row>
  </sheetData>
  <mergeCells count="14">
    <mergeCell ref="A1:X1"/>
    <mergeCell ref="C2:D2"/>
    <mergeCell ref="E2:F2"/>
    <mergeCell ref="G2:H2"/>
    <mergeCell ref="I2:J2"/>
    <mergeCell ref="K2:L2"/>
    <mergeCell ref="M2:N2"/>
    <mergeCell ref="O2:P2"/>
    <mergeCell ref="Q2:R2"/>
    <mergeCell ref="S2:T2"/>
    <mergeCell ref="U2:V2"/>
    <mergeCell ref="W2:X2"/>
    <mergeCell ref="A2:A3"/>
    <mergeCell ref="B2:B3"/>
  </mergeCells>
  <printOptions horizontalCentered="1"/>
  <pageMargins left="0.748031496062992" right="0.748031496062992" top="0.551181102362205" bottom="0.748031496062992" header="0.511811023622047" footer="0.511811023622047"/>
  <pageSetup paperSize="9" orientation="portrait" horizontalDpi="600"/>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W29"/>
  <sheetViews>
    <sheetView zoomScale="80" zoomScaleNormal="80" workbookViewId="0">
      <pane xSplit="1" ySplit="3" topLeftCell="M4" activePane="bottomRight" state="frozen"/>
      <selection/>
      <selection pane="topRight"/>
      <selection pane="bottomLeft"/>
      <selection pane="bottomRight" activeCell="N22" sqref="N22:N28"/>
    </sheetView>
  </sheetViews>
  <sheetFormatPr defaultColWidth="9" defaultRowHeight="14.25"/>
  <cols>
    <col min="1" max="1" width="46.4" style="265" customWidth="1"/>
    <col min="2" max="2" width="11.625" style="265"/>
    <col min="3" max="21" width="9.44166666666667" style="265" customWidth="1"/>
    <col min="22" max="22" width="11.625" style="265"/>
    <col min="23" max="23" width="10.4333333333333" style="265" customWidth="1"/>
    <col min="24" max="16384" width="9" style="265"/>
  </cols>
  <sheetData>
    <row r="1" ht="24.95" customHeight="1" spans="1:23">
      <c r="A1" s="135" t="s">
        <v>244</v>
      </c>
      <c r="B1" s="135"/>
      <c r="C1" s="135"/>
      <c r="D1" s="135"/>
      <c r="E1" s="135"/>
      <c r="F1" s="135"/>
      <c r="G1" s="135"/>
      <c r="H1" s="135"/>
      <c r="I1" s="135"/>
      <c r="J1" s="135"/>
      <c r="K1" s="135"/>
      <c r="L1" s="135"/>
      <c r="M1" s="135"/>
      <c r="N1" s="135"/>
      <c r="O1" s="135"/>
      <c r="P1" s="135"/>
      <c r="Q1" s="135"/>
      <c r="R1" s="135"/>
      <c r="S1" s="135"/>
      <c r="T1" s="135"/>
      <c r="U1" s="135"/>
      <c r="V1" s="135"/>
      <c r="W1" s="135"/>
    </row>
    <row r="2" s="274" customFormat="1" ht="21" customHeight="1" spans="1:23">
      <c r="A2" s="275" t="s">
        <v>1</v>
      </c>
      <c r="B2" s="137" t="s">
        <v>3</v>
      </c>
      <c r="C2" s="138"/>
      <c r="D2" s="137" t="s">
        <v>4</v>
      </c>
      <c r="E2" s="138"/>
      <c r="F2" s="137" t="s">
        <v>5</v>
      </c>
      <c r="G2" s="138"/>
      <c r="H2" s="137" t="s">
        <v>6</v>
      </c>
      <c r="I2" s="138"/>
      <c r="J2" s="137" t="s">
        <v>7</v>
      </c>
      <c r="K2" s="138"/>
      <c r="L2" s="137" t="s">
        <v>8</v>
      </c>
      <c r="M2" s="138"/>
      <c r="N2" s="137" t="s">
        <v>9</v>
      </c>
      <c r="O2" s="138"/>
      <c r="P2" s="137" t="s">
        <v>10</v>
      </c>
      <c r="Q2" s="138"/>
      <c r="R2" s="137" t="s">
        <v>11</v>
      </c>
      <c r="S2" s="138"/>
      <c r="T2" s="137" t="s">
        <v>12</v>
      </c>
      <c r="U2" s="138"/>
      <c r="V2" s="137" t="s">
        <v>13</v>
      </c>
      <c r="W2" s="138"/>
    </row>
    <row r="3" s="274" customFormat="1" ht="30" customHeight="1" spans="1:23">
      <c r="A3" s="276"/>
      <c r="B3" s="140" t="s">
        <v>14</v>
      </c>
      <c r="C3" s="141" t="s">
        <v>15</v>
      </c>
      <c r="D3" s="140" t="s">
        <v>14</v>
      </c>
      <c r="E3" s="141" t="s">
        <v>15</v>
      </c>
      <c r="F3" s="140" t="s">
        <v>14</v>
      </c>
      <c r="G3" s="141" t="s">
        <v>15</v>
      </c>
      <c r="H3" s="140" t="s">
        <v>14</v>
      </c>
      <c r="I3" s="141" t="s">
        <v>15</v>
      </c>
      <c r="J3" s="140" t="s">
        <v>14</v>
      </c>
      <c r="K3" s="141" t="s">
        <v>15</v>
      </c>
      <c r="L3" s="140" t="s">
        <v>14</v>
      </c>
      <c r="M3" s="141" t="s">
        <v>15</v>
      </c>
      <c r="N3" s="140" t="s">
        <v>14</v>
      </c>
      <c r="O3" s="141" t="s">
        <v>15</v>
      </c>
      <c r="P3" s="140" t="s">
        <v>14</v>
      </c>
      <c r="Q3" s="141" t="s">
        <v>15</v>
      </c>
      <c r="R3" s="140" t="s">
        <v>14</v>
      </c>
      <c r="S3" s="141" t="s">
        <v>15</v>
      </c>
      <c r="T3" s="140" t="s">
        <v>14</v>
      </c>
      <c r="U3" s="141" t="s">
        <v>15</v>
      </c>
      <c r="V3" s="140" t="s">
        <v>14</v>
      </c>
      <c r="W3" s="141" t="s">
        <v>15</v>
      </c>
    </row>
    <row r="4" ht="23.45" customHeight="1" spans="1:23">
      <c r="A4" s="243" t="s">
        <v>245</v>
      </c>
      <c r="B4" s="219">
        <v>2231.15</v>
      </c>
      <c r="C4" s="197">
        <v>-3.3</v>
      </c>
      <c r="D4" s="219">
        <v>384.2</v>
      </c>
      <c r="E4" s="197">
        <v>0.8</v>
      </c>
      <c r="F4" s="219">
        <v>589.97</v>
      </c>
      <c r="G4" s="197">
        <v>4</v>
      </c>
      <c r="H4" s="219">
        <v>785.93</v>
      </c>
      <c r="I4" s="197">
        <v>9.6</v>
      </c>
      <c r="J4" s="219">
        <v>982.23</v>
      </c>
      <c r="K4" s="197">
        <v>12.7</v>
      </c>
      <c r="L4" s="219">
        <v>1197.75</v>
      </c>
      <c r="M4" s="197">
        <v>15.1</v>
      </c>
      <c r="N4" s="219">
        <v>1412.3</v>
      </c>
      <c r="O4" s="197">
        <v>13.6</v>
      </c>
      <c r="P4" s="219">
        <v>1623.69</v>
      </c>
      <c r="Q4" s="197">
        <v>11.8</v>
      </c>
      <c r="R4" s="219">
        <v>1832.91</v>
      </c>
      <c r="S4" s="197">
        <v>11.6</v>
      </c>
      <c r="T4" s="219">
        <v>2033.89</v>
      </c>
      <c r="U4" s="197">
        <v>10.5</v>
      </c>
      <c r="V4" s="219">
        <v>2234.17</v>
      </c>
      <c r="W4" s="197">
        <v>10.2</v>
      </c>
    </row>
    <row r="5" ht="23.45" customHeight="1" spans="1:23">
      <c r="A5" s="245" t="s">
        <v>246</v>
      </c>
      <c r="B5" s="146">
        <v>72.08</v>
      </c>
      <c r="C5" s="147">
        <v>8.8</v>
      </c>
      <c r="D5" s="146">
        <v>14.7</v>
      </c>
      <c r="E5" s="147">
        <v>27.8</v>
      </c>
      <c r="F5" s="146">
        <v>22.96</v>
      </c>
      <c r="G5" s="147">
        <v>31.8</v>
      </c>
      <c r="H5" s="146">
        <v>31.1</v>
      </c>
      <c r="I5" s="147">
        <v>35.6</v>
      </c>
      <c r="J5" s="146">
        <v>39.99</v>
      </c>
      <c r="K5" s="147">
        <v>37.6</v>
      </c>
      <c r="L5" s="146">
        <v>48.67</v>
      </c>
      <c r="M5" s="147">
        <v>38.8</v>
      </c>
      <c r="N5" s="146">
        <v>57.2</v>
      </c>
      <c r="O5" s="147">
        <v>38.1</v>
      </c>
      <c r="P5" s="146">
        <v>66.32</v>
      </c>
      <c r="Q5" s="147">
        <v>37.5</v>
      </c>
      <c r="R5" s="146">
        <v>74.66</v>
      </c>
      <c r="S5" s="147">
        <v>39</v>
      </c>
      <c r="T5" s="146">
        <v>82.93</v>
      </c>
      <c r="U5" s="147">
        <v>39.6</v>
      </c>
      <c r="V5" s="146">
        <v>91.22</v>
      </c>
      <c r="W5" s="147">
        <v>39.1</v>
      </c>
    </row>
    <row r="6" ht="23.45" customHeight="1" spans="1:23">
      <c r="A6" s="245" t="s">
        <v>247</v>
      </c>
      <c r="B6" s="146">
        <v>1758.84</v>
      </c>
      <c r="C6" s="147">
        <v>-3.8</v>
      </c>
      <c r="D6" s="146">
        <v>308.68</v>
      </c>
      <c r="E6" s="147">
        <v>-0.7</v>
      </c>
      <c r="F6" s="146">
        <v>465.24</v>
      </c>
      <c r="G6" s="147">
        <v>2.6</v>
      </c>
      <c r="H6" s="146">
        <v>614.82</v>
      </c>
      <c r="I6" s="147">
        <v>10.3</v>
      </c>
      <c r="J6" s="146">
        <v>767.23</v>
      </c>
      <c r="K6" s="147">
        <v>13.9</v>
      </c>
      <c r="L6" s="146">
        <v>922.35</v>
      </c>
      <c r="M6" s="147">
        <v>14.4</v>
      </c>
      <c r="N6" s="146">
        <v>1078.74</v>
      </c>
      <c r="O6" s="147">
        <v>11.8</v>
      </c>
      <c r="P6" s="146">
        <v>1241.45</v>
      </c>
      <c r="Q6" s="147">
        <v>9.9</v>
      </c>
      <c r="R6" s="146">
        <v>1397.88</v>
      </c>
      <c r="S6" s="147">
        <v>9.4</v>
      </c>
      <c r="T6" s="146">
        <v>1554.03</v>
      </c>
      <c r="U6" s="147">
        <v>8.1</v>
      </c>
      <c r="V6" s="146">
        <v>1710.27</v>
      </c>
      <c r="W6" s="147">
        <v>7.4</v>
      </c>
    </row>
    <row r="7" ht="23.45" customHeight="1" spans="1:23">
      <c r="A7" s="245" t="s">
        <v>248</v>
      </c>
      <c r="B7" s="146">
        <v>400.24</v>
      </c>
      <c r="C7" s="147">
        <v>-2.9</v>
      </c>
      <c r="D7" s="146">
        <v>60.83</v>
      </c>
      <c r="E7" s="147">
        <v>3.3</v>
      </c>
      <c r="F7" s="146">
        <v>101.77</v>
      </c>
      <c r="G7" s="147">
        <v>5.2</v>
      </c>
      <c r="H7" s="146">
        <v>140.02</v>
      </c>
      <c r="I7" s="147">
        <v>2.7</v>
      </c>
      <c r="J7" s="146">
        <v>175.01</v>
      </c>
      <c r="K7" s="147">
        <v>3.6</v>
      </c>
      <c r="L7" s="146">
        <v>226.73</v>
      </c>
      <c r="M7" s="147">
        <v>14.1</v>
      </c>
      <c r="N7" s="146">
        <v>276.36</v>
      </c>
      <c r="O7" s="147">
        <v>16.8</v>
      </c>
      <c r="P7" s="146">
        <v>315.92</v>
      </c>
      <c r="Q7" s="147">
        <v>15.1</v>
      </c>
      <c r="R7" s="146">
        <v>360.37</v>
      </c>
      <c r="S7" s="147">
        <v>16</v>
      </c>
      <c r="T7" s="146">
        <v>396.94</v>
      </c>
      <c r="U7" s="147">
        <v>15.4</v>
      </c>
      <c r="V7" s="146">
        <v>432.68</v>
      </c>
      <c r="W7" s="147">
        <v>17.2</v>
      </c>
    </row>
    <row r="8" ht="23.45" customHeight="1" spans="1:23">
      <c r="A8" s="247" t="s">
        <v>249</v>
      </c>
      <c r="B8" s="219">
        <v>2008.85</v>
      </c>
      <c r="C8" s="197">
        <v>-4.2</v>
      </c>
      <c r="D8" s="219">
        <v>345.46</v>
      </c>
      <c r="E8" s="197">
        <v>3.9</v>
      </c>
      <c r="F8" s="219">
        <v>534.39</v>
      </c>
      <c r="G8" s="197">
        <v>7.1</v>
      </c>
      <c r="H8" s="219">
        <v>716.52</v>
      </c>
      <c r="I8" s="197">
        <v>13.4</v>
      </c>
      <c r="J8" s="219">
        <v>897.92</v>
      </c>
      <c r="K8" s="197">
        <v>16.6</v>
      </c>
      <c r="L8" s="219">
        <v>1098.38</v>
      </c>
      <c r="M8" s="197">
        <v>19.1</v>
      </c>
      <c r="N8" s="219">
        <v>1298.95</v>
      </c>
      <c r="O8" s="197">
        <v>17.3</v>
      </c>
      <c r="P8" s="219">
        <v>1494.46</v>
      </c>
      <c r="Q8" s="197">
        <v>15.3</v>
      </c>
      <c r="R8" s="219">
        <v>1688.61</v>
      </c>
      <c r="S8" s="197">
        <v>14.9</v>
      </c>
      <c r="T8" s="219">
        <v>1874.92</v>
      </c>
      <c r="U8" s="197">
        <v>13.6</v>
      </c>
      <c r="V8" s="219">
        <v>2060.25</v>
      </c>
      <c r="W8" s="197">
        <v>13.1</v>
      </c>
    </row>
    <row r="9" ht="23.45" customHeight="1" spans="1:23">
      <c r="A9" s="245" t="s">
        <v>154</v>
      </c>
      <c r="B9" s="146">
        <v>585.21</v>
      </c>
      <c r="C9" s="147">
        <v>-6.3</v>
      </c>
      <c r="D9" s="146">
        <v>115.54</v>
      </c>
      <c r="E9" s="147">
        <v>6.5</v>
      </c>
      <c r="F9" s="146">
        <v>176.41</v>
      </c>
      <c r="G9" s="147">
        <v>17.9</v>
      </c>
      <c r="H9" s="146">
        <v>233.61</v>
      </c>
      <c r="I9" s="147">
        <v>49.1</v>
      </c>
      <c r="J9" s="146">
        <v>292.36</v>
      </c>
      <c r="K9" s="147">
        <v>63.2</v>
      </c>
      <c r="L9" s="146">
        <v>356.55</v>
      </c>
      <c r="M9" s="147">
        <v>52.4</v>
      </c>
      <c r="N9" s="146">
        <v>418.48</v>
      </c>
      <c r="O9" s="147">
        <v>42.6</v>
      </c>
      <c r="P9" s="146">
        <v>479.64</v>
      </c>
      <c r="Q9" s="147">
        <v>35.7</v>
      </c>
      <c r="R9" s="146">
        <v>542.84</v>
      </c>
      <c r="S9" s="147">
        <v>33.9</v>
      </c>
      <c r="T9" s="146">
        <v>604.81</v>
      </c>
      <c r="U9" s="147">
        <v>29.8</v>
      </c>
      <c r="V9" s="146">
        <v>662.78</v>
      </c>
      <c r="W9" s="147">
        <v>26.4</v>
      </c>
    </row>
    <row r="10" ht="23.45" customHeight="1" spans="1:23">
      <c r="A10" s="277" t="s">
        <v>250</v>
      </c>
      <c r="B10" s="146">
        <v>108.69</v>
      </c>
      <c r="C10" s="147">
        <v>4.5</v>
      </c>
      <c r="D10" s="146">
        <v>17.27</v>
      </c>
      <c r="E10" s="147">
        <v>2.8</v>
      </c>
      <c r="F10" s="146">
        <v>26.03</v>
      </c>
      <c r="G10" s="147">
        <v>0.6</v>
      </c>
      <c r="H10" s="146">
        <v>36.15</v>
      </c>
      <c r="I10" s="147">
        <v>5.4</v>
      </c>
      <c r="J10" s="146">
        <v>45.52</v>
      </c>
      <c r="K10" s="147">
        <v>6.9</v>
      </c>
      <c r="L10" s="146">
        <v>54.58</v>
      </c>
      <c r="M10" s="147">
        <v>7.8</v>
      </c>
      <c r="N10" s="146">
        <v>63.73</v>
      </c>
      <c r="O10" s="147">
        <v>5.8</v>
      </c>
      <c r="P10" s="146">
        <v>75.27</v>
      </c>
      <c r="Q10" s="147">
        <v>8.3</v>
      </c>
      <c r="R10" s="146">
        <v>85.53</v>
      </c>
      <c r="S10" s="147">
        <v>7.7</v>
      </c>
      <c r="T10" s="146">
        <v>94.66</v>
      </c>
      <c r="U10" s="147">
        <v>6</v>
      </c>
      <c r="V10" s="146">
        <v>107.73</v>
      </c>
      <c r="W10" s="147">
        <v>8.6</v>
      </c>
    </row>
    <row r="11" ht="23.45" customHeight="1" spans="1:23">
      <c r="A11" s="245" t="s">
        <v>251</v>
      </c>
      <c r="B11" s="146">
        <v>19.43</v>
      </c>
      <c r="C11" s="147">
        <v>-37.5</v>
      </c>
      <c r="D11" s="146">
        <v>3.4</v>
      </c>
      <c r="E11" s="147">
        <v>5.2</v>
      </c>
      <c r="F11" s="146">
        <v>5.14</v>
      </c>
      <c r="G11" s="147">
        <v>24.1</v>
      </c>
      <c r="H11" s="146">
        <v>6.94</v>
      </c>
      <c r="I11" s="147">
        <v>29.4</v>
      </c>
      <c r="J11" s="146">
        <v>8.6</v>
      </c>
      <c r="K11" s="147">
        <v>26.6</v>
      </c>
      <c r="L11" s="146">
        <v>10.01</v>
      </c>
      <c r="M11" s="147">
        <v>11.4</v>
      </c>
      <c r="N11" s="146">
        <v>11.81</v>
      </c>
      <c r="O11" s="147">
        <v>13.1</v>
      </c>
      <c r="P11" s="146">
        <v>16.5</v>
      </c>
      <c r="Q11" s="147">
        <v>39.3</v>
      </c>
      <c r="R11" s="146">
        <v>18.67</v>
      </c>
      <c r="S11" s="147">
        <v>34.7</v>
      </c>
      <c r="T11" s="146">
        <v>21.2</v>
      </c>
      <c r="U11" s="147">
        <v>40</v>
      </c>
      <c r="V11" s="146">
        <v>25.58</v>
      </c>
      <c r="W11" s="147">
        <v>48.8</v>
      </c>
    </row>
    <row r="12" ht="23.45" customHeight="1" spans="1:23">
      <c r="A12" s="245" t="s">
        <v>252</v>
      </c>
      <c r="B12" s="146">
        <v>897.09</v>
      </c>
      <c r="C12" s="147">
        <v>-3.1</v>
      </c>
      <c r="D12" s="146">
        <v>148.72</v>
      </c>
      <c r="E12" s="147">
        <v>2.2</v>
      </c>
      <c r="F12" s="146">
        <v>225.5</v>
      </c>
      <c r="G12" s="147">
        <v>1.1</v>
      </c>
      <c r="H12" s="146">
        <v>300.41</v>
      </c>
      <c r="I12" s="147">
        <v>0.2</v>
      </c>
      <c r="J12" s="146">
        <v>377.2</v>
      </c>
      <c r="K12" s="147">
        <v>1</v>
      </c>
      <c r="L12" s="146">
        <v>451.44</v>
      </c>
      <c r="M12" s="147">
        <v>4.7</v>
      </c>
      <c r="N12" s="146">
        <v>529.67</v>
      </c>
      <c r="O12" s="147">
        <v>4.4</v>
      </c>
      <c r="P12" s="146">
        <v>608.4</v>
      </c>
      <c r="Q12" s="147">
        <v>3.4</v>
      </c>
      <c r="R12" s="146">
        <v>682.63</v>
      </c>
      <c r="S12" s="147">
        <v>3.2</v>
      </c>
      <c r="T12" s="146">
        <v>758.9</v>
      </c>
      <c r="U12" s="147">
        <v>2.9</v>
      </c>
      <c r="V12" s="146">
        <v>833.24</v>
      </c>
      <c r="W12" s="147">
        <v>2.5</v>
      </c>
    </row>
    <row r="13" ht="23.45" customHeight="1" spans="1:23">
      <c r="A13" s="245" t="s">
        <v>253</v>
      </c>
      <c r="B13" s="146">
        <v>0.32</v>
      </c>
      <c r="C13" s="147">
        <v>63.5</v>
      </c>
      <c r="D13" s="146">
        <v>0.03</v>
      </c>
      <c r="E13" s="147">
        <v>-18.9</v>
      </c>
      <c r="F13" s="146">
        <v>0.05</v>
      </c>
      <c r="G13" s="147">
        <v>-31.6</v>
      </c>
      <c r="H13" s="146">
        <v>0.08</v>
      </c>
      <c r="I13" s="147">
        <v>-14.9</v>
      </c>
      <c r="J13" s="146">
        <v>0.1</v>
      </c>
      <c r="K13" s="147">
        <v>-9.6</v>
      </c>
      <c r="L13" s="146">
        <v>0.13</v>
      </c>
      <c r="M13" s="147">
        <v>2.1</v>
      </c>
      <c r="N13" s="146">
        <v>0.15</v>
      </c>
      <c r="O13" s="147">
        <v>-5.4</v>
      </c>
      <c r="P13" s="146">
        <v>0.16</v>
      </c>
      <c r="Q13" s="147">
        <v>-4.8</v>
      </c>
      <c r="R13" s="146">
        <v>0.18</v>
      </c>
      <c r="S13" s="147">
        <v>-6</v>
      </c>
      <c r="T13" s="146">
        <v>0.19</v>
      </c>
      <c r="U13" s="147">
        <v>-13.8</v>
      </c>
      <c r="V13" s="146">
        <v>0.21</v>
      </c>
      <c r="W13" s="147">
        <v>-14.9</v>
      </c>
    </row>
    <row r="14" ht="23.45" customHeight="1" spans="1:23">
      <c r="A14" s="245" t="s">
        <v>169</v>
      </c>
      <c r="B14" s="146">
        <v>398.11</v>
      </c>
      <c r="C14" s="147">
        <v>-2.9</v>
      </c>
      <c r="D14" s="146">
        <v>60.5</v>
      </c>
      <c r="E14" s="147">
        <v>3.3</v>
      </c>
      <c r="F14" s="146">
        <v>101.26</v>
      </c>
      <c r="G14" s="147">
        <v>5.2</v>
      </c>
      <c r="H14" s="146">
        <v>139.33</v>
      </c>
      <c r="I14" s="147">
        <v>2.7</v>
      </c>
      <c r="J14" s="146">
        <v>174.13</v>
      </c>
      <c r="K14" s="147">
        <v>3.6</v>
      </c>
      <c r="L14" s="146">
        <v>225.66</v>
      </c>
      <c r="M14" s="147">
        <v>14.1</v>
      </c>
      <c r="N14" s="146">
        <v>275.12</v>
      </c>
      <c r="O14" s="147">
        <v>16.8</v>
      </c>
      <c r="P14" s="146">
        <v>314.49</v>
      </c>
      <c r="Q14" s="147">
        <v>15.2</v>
      </c>
      <c r="R14" s="146">
        <v>358.76</v>
      </c>
      <c r="S14" s="147">
        <v>16.1</v>
      </c>
      <c r="T14" s="146">
        <v>395.15</v>
      </c>
      <c r="U14" s="147">
        <v>15.5</v>
      </c>
      <c r="V14" s="146">
        <v>430.71</v>
      </c>
      <c r="W14" s="147">
        <v>17.3</v>
      </c>
    </row>
    <row r="15" ht="23.45" customHeight="1" spans="1:23">
      <c r="A15" s="247" t="s">
        <v>254</v>
      </c>
      <c r="B15" s="249">
        <v>1224025.68</v>
      </c>
      <c r="C15" s="197">
        <v>-2.2</v>
      </c>
      <c r="D15" s="249">
        <v>200910.14</v>
      </c>
      <c r="E15" s="197">
        <v>0.6</v>
      </c>
      <c r="F15" s="249">
        <v>306707.09</v>
      </c>
      <c r="G15" s="197">
        <v>0.7</v>
      </c>
      <c r="H15" s="249">
        <v>410955.84</v>
      </c>
      <c r="I15" s="197">
        <v>4.9</v>
      </c>
      <c r="J15" s="249">
        <v>519607.7</v>
      </c>
      <c r="K15" s="197">
        <v>6.6</v>
      </c>
      <c r="L15" s="249">
        <v>632948.18</v>
      </c>
      <c r="M15" s="197">
        <v>8.7</v>
      </c>
      <c r="N15" s="249">
        <v>748035.35</v>
      </c>
      <c r="O15" s="197">
        <v>7.9</v>
      </c>
      <c r="P15" s="249">
        <v>861980.01</v>
      </c>
      <c r="Q15" s="197">
        <v>7.2</v>
      </c>
      <c r="R15" s="249">
        <v>973920.85</v>
      </c>
      <c r="S15" s="197">
        <v>7</v>
      </c>
      <c r="T15" s="249">
        <v>1086813.03</v>
      </c>
      <c r="U15" s="197">
        <v>6.7</v>
      </c>
      <c r="V15" s="249">
        <v>1197962.33</v>
      </c>
      <c r="W15" s="197">
        <v>6.8</v>
      </c>
    </row>
    <row r="16" ht="23.45" customHeight="1" spans="1:23">
      <c r="A16" s="245" t="s">
        <v>154</v>
      </c>
      <c r="B16" s="278">
        <v>239438.32</v>
      </c>
      <c r="C16" s="279">
        <v>-7.7</v>
      </c>
      <c r="D16" s="278">
        <v>42517.95</v>
      </c>
      <c r="E16" s="279">
        <v>-2.8</v>
      </c>
      <c r="F16" s="278">
        <v>65159.09</v>
      </c>
      <c r="G16" s="151">
        <v>2</v>
      </c>
      <c r="H16" s="278">
        <v>87106.48</v>
      </c>
      <c r="I16" s="151">
        <v>29.7</v>
      </c>
      <c r="J16" s="278">
        <v>110219.8</v>
      </c>
      <c r="K16" s="151">
        <v>37.5</v>
      </c>
      <c r="L16" s="278">
        <v>133283.54</v>
      </c>
      <c r="M16" s="151">
        <v>29.7</v>
      </c>
      <c r="N16" s="278">
        <v>157227.08</v>
      </c>
      <c r="O16" s="151">
        <v>24.3</v>
      </c>
      <c r="P16" s="278">
        <v>180232.01</v>
      </c>
      <c r="Q16" s="151">
        <v>20.2</v>
      </c>
      <c r="R16" s="278">
        <v>203358.25</v>
      </c>
      <c r="S16" s="151">
        <v>17.9</v>
      </c>
      <c r="T16" s="278">
        <v>227080.42</v>
      </c>
      <c r="U16" s="151">
        <v>16.2</v>
      </c>
      <c r="V16" s="278">
        <v>249427.77</v>
      </c>
      <c r="W16" s="151">
        <v>14.7</v>
      </c>
    </row>
    <row r="17" ht="23.45" customHeight="1" spans="1:23">
      <c r="A17" s="245" t="s">
        <v>250</v>
      </c>
      <c r="B17" s="250">
        <v>137947.83</v>
      </c>
      <c r="C17" s="147">
        <v>1</v>
      </c>
      <c r="D17" s="250">
        <v>22307.28</v>
      </c>
      <c r="E17" s="147">
        <v>1.6</v>
      </c>
      <c r="F17" s="250">
        <v>34185.57</v>
      </c>
      <c r="G17" s="147">
        <v>0.3</v>
      </c>
      <c r="H17" s="250">
        <v>46249.93</v>
      </c>
      <c r="I17" s="147">
        <v>2.7</v>
      </c>
      <c r="J17" s="250">
        <v>58248.02</v>
      </c>
      <c r="K17" s="147">
        <v>3.2</v>
      </c>
      <c r="L17" s="250">
        <v>69645.52</v>
      </c>
      <c r="M17" s="147">
        <v>6</v>
      </c>
      <c r="N17" s="250">
        <v>81362.78</v>
      </c>
      <c r="O17" s="147">
        <v>3.8</v>
      </c>
      <c r="P17" s="250">
        <v>93790.2</v>
      </c>
      <c r="Q17" s="147">
        <v>3.2</v>
      </c>
      <c r="R17" s="250">
        <v>106727.23</v>
      </c>
      <c r="S17" s="147">
        <v>4.4</v>
      </c>
      <c r="T17" s="250">
        <v>119740.42</v>
      </c>
      <c r="U17" s="147">
        <v>4.4</v>
      </c>
      <c r="V17" s="250">
        <v>134415.11</v>
      </c>
      <c r="W17" s="147">
        <v>6.3</v>
      </c>
    </row>
    <row r="18" ht="23.45" customHeight="1" spans="1:23">
      <c r="A18" s="245" t="s">
        <v>251</v>
      </c>
      <c r="B18" s="250">
        <v>45666.52</v>
      </c>
      <c r="C18" s="147">
        <v>-16.7</v>
      </c>
      <c r="D18" s="250">
        <v>7392.69</v>
      </c>
      <c r="E18" s="147">
        <v>0.4</v>
      </c>
      <c r="F18" s="250">
        <v>11258.81</v>
      </c>
      <c r="G18" s="147">
        <v>8</v>
      </c>
      <c r="H18" s="250">
        <v>15482.92</v>
      </c>
      <c r="I18" s="147">
        <v>10.5</v>
      </c>
      <c r="J18" s="250">
        <v>19480.32</v>
      </c>
      <c r="K18" s="147">
        <v>7.2</v>
      </c>
      <c r="L18" s="250">
        <v>23411.49</v>
      </c>
      <c r="M18" s="147">
        <v>6</v>
      </c>
      <c r="N18" s="250">
        <v>27040.44</v>
      </c>
      <c r="O18" s="147">
        <v>4.8</v>
      </c>
      <c r="P18" s="250">
        <v>31792.79</v>
      </c>
      <c r="Q18" s="147">
        <v>6.5</v>
      </c>
      <c r="R18" s="250">
        <v>36067.21</v>
      </c>
      <c r="S18" s="147">
        <v>7</v>
      </c>
      <c r="T18" s="250">
        <v>40429.81</v>
      </c>
      <c r="U18" s="147">
        <v>6.4</v>
      </c>
      <c r="V18" s="250">
        <v>45752.41</v>
      </c>
      <c r="W18" s="147">
        <v>9</v>
      </c>
    </row>
    <row r="19" ht="23.45" customHeight="1" spans="1:23">
      <c r="A19" s="245" t="s">
        <v>252</v>
      </c>
      <c r="B19" s="250">
        <v>646849.47</v>
      </c>
      <c r="C19" s="147">
        <v>0.4</v>
      </c>
      <c r="D19" s="250">
        <v>106163.26</v>
      </c>
      <c r="E19" s="147">
        <v>2.6</v>
      </c>
      <c r="F19" s="250">
        <v>159548.51</v>
      </c>
      <c r="G19" s="147">
        <v>0.3</v>
      </c>
      <c r="H19" s="250">
        <v>212181.24</v>
      </c>
      <c r="I19" s="147">
        <v>-0.5</v>
      </c>
      <c r="J19" s="250">
        <v>268258.4</v>
      </c>
      <c r="K19" s="147">
        <v>0.5</v>
      </c>
      <c r="L19" s="250">
        <v>320927.79</v>
      </c>
      <c r="M19" s="147">
        <v>2.7</v>
      </c>
      <c r="N19" s="250">
        <v>378241.29</v>
      </c>
      <c r="O19" s="147">
        <v>2.5</v>
      </c>
      <c r="P19" s="250">
        <v>436566.7</v>
      </c>
      <c r="Q19" s="147">
        <v>2.3</v>
      </c>
      <c r="R19" s="250">
        <v>491411.79</v>
      </c>
      <c r="S19" s="147">
        <v>2.4</v>
      </c>
      <c r="T19" s="250">
        <v>547480.83</v>
      </c>
      <c r="U19" s="147">
        <v>2.1</v>
      </c>
      <c r="V19" s="250">
        <v>601754</v>
      </c>
      <c r="W19" s="147">
        <v>1.9</v>
      </c>
    </row>
    <row r="20" ht="23.45" customHeight="1" spans="1:23">
      <c r="A20" s="245" t="s">
        <v>253</v>
      </c>
      <c r="B20" s="250">
        <v>1124.33</v>
      </c>
      <c r="C20" s="147">
        <v>34</v>
      </c>
      <c r="D20" s="250">
        <v>160.13</v>
      </c>
      <c r="E20" s="147">
        <v>2.2</v>
      </c>
      <c r="F20" s="250">
        <v>248.22</v>
      </c>
      <c r="G20" s="147">
        <v>-24.3</v>
      </c>
      <c r="H20" s="250">
        <v>394.4</v>
      </c>
      <c r="I20" s="147">
        <v>27.1</v>
      </c>
      <c r="J20" s="250">
        <v>530.37</v>
      </c>
      <c r="K20" s="147">
        <v>33.3</v>
      </c>
      <c r="L20" s="250">
        <v>682.95</v>
      </c>
      <c r="M20" s="147">
        <v>42.5</v>
      </c>
      <c r="N20" s="250">
        <v>767.6</v>
      </c>
      <c r="O20" s="147">
        <v>33.6</v>
      </c>
      <c r="P20" s="250">
        <v>855.99</v>
      </c>
      <c r="Q20" s="147">
        <v>29</v>
      </c>
      <c r="R20" s="250">
        <v>940.14</v>
      </c>
      <c r="S20" s="147">
        <v>22.1</v>
      </c>
      <c r="T20" s="250">
        <v>1013.79</v>
      </c>
      <c r="U20" s="147">
        <v>14.7</v>
      </c>
      <c r="V20" s="250">
        <v>1064.04</v>
      </c>
      <c r="W20" s="147">
        <v>6.4</v>
      </c>
    </row>
    <row r="21" ht="23.45" customHeight="1" spans="1:23">
      <c r="A21" s="270" t="s">
        <v>169</v>
      </c>
      <c r="B21" s="250">
        <v>152999.21</v>
      </c>
      <c r="C21" s="147">
        <v>-1.4</v>
      </c>
      <c r="D21" s="250">
        <v>22368.83</v>
      </c>
      <c r="E21" s="147">
        <v>-2.9</v>
      </c>
      <c r="F21" s="250">
        <v>36306.89</v>
      </c>
      <c r="G21" s="147">
        <v>-1.8</v>
      </c>
      <c r="H21" s="250">
        <v>49540.87</v>
      </c>
      <c r="I21" s="147">
        <v>-4.4</v>
      </c>
      <c r="J21" s="250">
        <v>62870.79</v>
      </c>
      <c r="K21" s="147">
        <v>-3.9</v>
      </c>
      <c r="L21" s="250">
        <v>84996.89</v>
      </c>
      <c r="M21" s="147">
        <v>7.9</v>
      </c>
      <c r="N21" s="250">
        <v>103396.16</v>
      </c>
      <c r="O21" s="147">
        <v>11.2</v>
      </c>
      <c r="P21" s="250">
        <v>118742.32</v>
      </c>
      <c r="Q21" s="147">
        <v>11.7</v>
      </c>
      <c r="R21" s="250">
        <v>135416.23</v>
      </c>
      <c r="S21" s="147">
        <v>12.3</v>
      </c>
      <c r="T21" s="250">
        <v>151067.76</v>
      </c>
      <c r="U21" s="147">
        <v>13</v>
      </c>
      <c r="V21" s="250">
        <v>165549</v>
      </c>
      <c r="W21" s="147">
        <v>14.5</v>
      </c>
    </row>
    <row r="22" ht="23.45" customHeight="1" spans="1:23">
      <c r="A22" s="280" t="s">
        <v>255</v>
      </c>
      <c r="B22" s="219"/>
      <c r="C22" s="197">
        <v>-1.4</v>
      </c>
      <c r="D22" s="219"/>
      <c r="E22" s="197">
        <v>-0.2</v>
      </c>
      <c r="F22" s="219"/>
      <c r="G22" s="197">
        <v>0.4</v>
      </c>
      <c r="H22" s="219"/>
      <c r="I22" s="197">
        <v>9.7</v>
      </c>
      <c r="J22" s="219"/>
      <c r="K22" s="197">
        <v>13.7</v>
      </c>
      <c r="L22" s="219"/>
      <c r="M22" s="197">
        <v>14.3</v>
      </c>
      <c r="N22" s="219"/>
      <c r="O22" s="197">
        <v>12.1</v>
      </c>
      <c r="P22" s="219"/>
      <c r="Q22" s="197">
        <v>9.9</v>
      </c>
      <c r="R22" s="219"/>
      <c r="S22" s="197">
        <v>8.4</v>
      </c>
      <c r="T22" s="219"/>
      <c r="U22" s="197">
        <v>7.6</v>
      </c>
      <c r="V22" s="219"/>
      <c r="W22" s="197">
        <v>7.6</v>
      </c>
    </row>
    <row r="23" ht="23.45" customHeight="1" spans="1:23">
      <c r="A23" s="270" t="s">
        <v>154</v>
      </c>
      <c r="B23" s="146"/>
      <c r="C23" s="147">
        <v>0.1</v>
      </c>
      <c r="D23" s="146"/>
      <c r="E23" s="147">
        <v>2.6</v>
      </c>
      <c r="F23" s="146"/>
      <c r="G23" s="147">
        <v>4.6</v>
      </c>
      <c r="H23" s="146"/>
      <c r="I23" s="147">
        <v>23.5</v>
      </c>
      <c r="J23" s="146"/>
      <c r="K23" s="147">
        <v>29.3</v>
      </c>
      <c r="L23" s="146"/>
      <c r="M23" s="147">
        <v>27.3</v>
      </c>
      <c r="N23" s="146"/>
      <c r="O23" s="147">
        <v>23</v>
      </c>
      <c r="P23" s="146"/>
      <c r="Q23" s="147">
        <v>18.5</v>
      </c>
      <c r="R23" s="146"/>
      <c r="S23" s="147">
        <v>15.2</v>
      </c>
      <c r="T23" s="146"/>
      <c r="U23" s="147">
        <v>13.7</v>
      </c>
      <c r="V23" s="146"/>
      <c r="W23" s="147">
        <v>11.3</v>
      </c>
    </row>
    <row r="24" ht="23.45" customHeight="1" spans="1:23">
      <c r="A24" s="270" t="s">
        <v>250</v>
      </c>
      <c r="B24" s="146"/>
      <c r="C24" s="147">
        <v>-4.4</v>
      </c>
      <c r="D24" s="146"/>
      <c r="E24" s="147">
        <v>4.1</v>
      </c>
      <c r="F24" s="146"/>
      <c r="G24" s="147">
        <v>10.3</v>
      </c>
      <c r="H24" s="146"/>
      <c r="I24" s="147">
        <v>29.5</v>
      </c>
      <c r="J24" s="146"/>
      <c r="K24" s="147">
        <v>38.9</v>
      </c>
      <c r="L24" s="146"/>
      <c r="M24" s="147">
        <v>31.8</v>
      </c>
      <c r="N24" s="146"/>
      <c r="O24" s="147">
        <v>27</v>
      </c>
      <c r="P24" s="146"/>
      <c r="Q24" s="147">
        <v>25</v>
      </c>
      <c r="R24" s="146"/>
      <c r="S24" s="147">
        <v>24.6</v>
      </c>
      <c r="T24" s="146"/>
      <c r="U24" s="147">
        <v>23.6</v>
      </c>
      <c r="V24" s="146"/>
      <c r="W24" s="147">
        <v>24.3</v>
      </c>
    </row>
    <row r="25" ht="23.45" customHeight="1" spans="1:23">
      <c r="A25" s="270" t="s">
        <v>251</v>
      </c>
      <c r="B25" s="146"/>
      <c r="C25" s="147">
        <v>-4.9</v>
      </c>
      <c r="D25" s="146"/>
      <c r="E25" s="147">
        <v>1.3</v>
      </c>
      <c r="F25" s="146"/>
      <c r="G25" s="147">
        <v>3.7</v>
      </c>
      <c r="H25" s="146"/>
      <c r="I25" s="147">
        <v>6.5</v>
      </c>
      <c r="J25" s="146"/>
      <c r="K25" s="147">
        <v>4.7</v>
      </c>
      <c r="L25" s="146"/>
      <c r="M25" s="147">
        <v>3.8</v>
      </c>
      <c r="N25" s="146"/>
      <c r="O25" s="147">
        <v>2.5</v>
      </c>
      <c r="P25" s="146"/>
      <c r="Q25" s="147">
        <v>2</v>
      </c>
      <c r="R25" s="146"/>
      <c r="S25" s="147">
        <v>1</v>
      </c>
      <c r="T25" s="146"/>
      <c r="U25" s="147">
        <v>0.1</v>
      </c>
      <c r="V25" s="146"/>
      <c r="W25" s="147">
        <v>-1</v>
      </c>
    </row>
    <row r="26" ht="23.45" customHeight="1" spans="1:23">
      <c r="A26" s="270" t="s">
        <v>252</v>
      </c>
      <c r="B26" s="146"/>
      <c r="C26" s="147">
        <v>-4.8</v>
      </c>
      <c r="D26" s="146"/>
      <c r="E26" s="147">
        <v>1.1</v>
      </c>
      <c r="F26" s="146"/>
      <c r="G26" s="147">
        <v>-1</v>
      </c>
      <c r="H26" s="146"/>
      <c r="I26" s="147">
        <v>-1</v>
      </c>
      <c r="J26" s="146"/>
      <c r="K26" s="147">
        <v>2</v>
      </c>
      <c r="L26" s="146"/>
      <c r="M26" s="147">
        <v>4.8</v>
      </c>
      <c r="N26" s="146"/>
      <c r="O26" s="147">
        <v>4.9</v>
      </c>
      <c r="P26" s="146"/>
      <c r="Q26" s="147">
        <v>4.9</v>
      </c>
      <c r="R26" s="146"/>
      <c r="S26" s="147">
        <v>5.2</v>
      </c>
      <c r="T26" s="146"/>
      <c r="U26" s="147">
        <v>5.5</v>
      </c>
      <c r="V26" s="146"/>
      <c r="W26" s="147">
        <v>4.9</v>
      </c>
    </row>
    <row r="27" ht="23.45" customHeight="1" spans="1:23">
      <c r="A27" s="270" t="s">
        <v>253</v>
      </c>
      <c r="B27" s="146"/>
      <c r="C27" s="147">
        <v>55.7</v>
      </c>
      <c r="D27" s="146"/>
      <c r="E27" s="147">
        <v>34.3</v>
      </c>
      <c r="F27" s="146"/>
      <c r="G27" s="147">
        <v>15.4</v>
      </c>
      <c r="H27" s="146"/>
      <c r="I27" s="147">
        <v>-2</v>
      </c>
      <c r="J27" s="146"/>
      <c r="K27" s="147">
        <v>-19.6</v>
      </c>
      <c r="L27" s="146"/>
      <c r="M27" s="147">
        <v>-2.7</v>
      </c>
      <c r="N27" s="146"/>
      <c r="O27" s="147">
        <v>2.9</v>
      </c>
      <c r="P27" s="146"/>
      <c r="Q27" s="147">
        <v>1.6</v>
      </c>
      <c r="R27" s="146"/>
      <c r="S27" s="147">
        <v>2.8</v>
      </c>
      <c r="T27" s="146"/>
      <c r="U27" s="147">
        <v>4.4</v>
      </c>
      <c r="V27" s="146"/>
      <c r="W27" s="147">
        <v>3.5</v>
      </c>
    </row>
    <row r="28" ht="23.45" customHeight="1" spans="1:23">
      <c r="A28" s="272" t="s">
        <v>169</v>
      </c>
      <c r="B28" s="153"/>
      <c r="C28" s="154">
        <v>0.8</v>
      </c>
      <c r="D28" s="153"/>
      <c r="E28" s="154">
        <v>-10</v>
      </c>
      <c r="F28" s="153"/>
      <c r="G28" s="154">
        <v>-10.4</v>
      </c>
      <c r="H28" s="153"/>
      <c r="I28" s="154">
        <v>-11.5</v>
      </c>
      <c r="J28" s="153"/>
      <c r="K28" s="154">
        <v>-9.6</v>
      </c>
      <c r="L28" s="153"/>
      <c r="M28" s="154">
        <v>-5.7</v>
      </c>
      <c r="N28" s="153"/>
      <c r="O28" s="154">
        <v>-6</v>
      </c>
      <c r="P28" s="153"/>
      <c r="Q28" s="154">
        <v>-6.2</v>
      </c>
      <c r="R28" s="153"/>
      <c r="S28" s="154">
        <v>-5.3</v>
      </c>
      <c r="T28" s="153"/>
      <c r="U28" s="154">
        <v>-5.9</v>
      </c>
      <c r="V28" s="153"/>
      <c r="W28" s="154">
        <v>-4.6</v>
      </c>
    </row>
    <row r="29" s="265" customFormat="1" ht="41" customHeight="1" spans="1:23">
      <c r="A29" s="281" t="s">
        <v>256</v>
      </c>
      <c r="B29" s="281"/>
      <c r="C29" s="281"/>
      <c r="D29" s="281"/>
      <c r="E29" s="281"/>
      <c r="F29" s="281"/>
      <c r="G29" s="281"/>
      <c r="H29" s="281"/>
      <c r="I29" s="281"/>
      <c r="J29" s="281"/>
      <c r="K29" s="281"/>
      <c r="L29" s="281"/>
      <c r="M29" s="281"/>
      <c r="N29" s="281"/>
      <c r="O29" s="281"/>
      <c r="P29" s="281"/>
      <c r="Q29" s="281"/>
      <c r="R29" s="281"/>
      <c r="S29" s="281"/>
      <c r="T29" s="281"/>
      <c r="U29" s="281"/>
      <c r="V29" s="281"/>
      <c r="W29" s="281"/>
    </row>
  </sheetData>
  <mergeCells count="14">
    <mergeCell ref="A1:W1"/>
    <mergeCell ref="B2:C2"/>
    <mergeCell ref="D2:E2"/>
    <mergeCell ref="F2:G2"/>
    <mergeCell ref="H2:I2"/>
    <mergeCell ref="J2:K2"/>
    <mergeCell ref="L2:M2"/>
    <mergeCell ref="N2:O2"/>
    <mergeCell ref="P2:Q2"/>
    <mergeCell ref="R2:S2"/>
    <mergeCell ref="T2:U2"/>
    <mergeCell ref="V2:W2"/>
    <mergeCell ref="A29:W29"/>
    <mergeCell ref="A2:A3"/>
  </mergeCells>
  <printOptions horizontalCentered="1"/>
  <pageMargins left="0.748031496062992" right="0.748031496062992" top="0.551181102362205" bottom="0.748031496062992" header="0.511811023622047" footer="0.511811023622047"/>
  <pageSetup paperSize="9" orientation="portrait" horizontalDpi="600"/>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X27"/>
  <sheetViews>
    <sheetView zoomScale="80" zoomScaleNormal="80" workbookViewId="0">
      <pane xSplit="2" ySplit="3" topLeftCell="Q4" activePane="bottomRight" state="frozen"/>
      <selection/>
      <selection pane="topRight"/>
      <selection pane="bottomLeft"/>
      <selection pane="bottomRight" activeCell="W5" sqref="W5:X27"/>
    </sheetView>
  </sheetViews>
  <sheetFormatPr defaultColWidth="9" defaultRowHeight="14.25"/>
  <cols>
    <col min="1" max="1" width="33.125" style="265" customWidth="1"/>
    <col min="2" max="2" width="9.625" style="265" customWidth="1"/>
    <col min="3" max="3" width="11.5" style="265"/>
    <col min="4" max="22" width="10.375" style="265"/>
    <col min="23" max="23" width="11.5" style="265"/>
    <col min="24" max="24" width="10.375" style="265"/>
    <col min="25" max="16384" width="9" style="265"/>
  </cols>
  <sheetData>
    <row r="1" ht="24.95" customHeight="1" spans="1:24">
      <c r="A1" s="135" t="s">
        <v>257</v>
      </c>
      <c r="B1" s="135"/>
      <c r="C1" s="135"/>
      <c r="D1" s="135"/>
      <c r="E1" s="135"/>
      <c r="F1" s="135"/>
      <c r="G1" s="135"/>
      <c r="H1" s="135"/>
      <c r="I1" s="135"/>
      <c r="J1" s="135"/>
      <c r="K1" s="135"/>
      <c r="L1" s="135"/>
      <c r="M1" s="135"/>
      <c r="N1" s="135"/>
      <c r="O1" s="135"/>
      <c r="P1" s="135"/>
      <c r="Q1" s="135"/>
      <c r="R1" s="135"/>
      <c r="S1" s="135"/>
      <c r="T1" s="135"/>
      <c r="U1" s="135"/>
      <c r="V1" s="135"/>
      <c r="W1" s="135"/>
      <c r="X1" s="135"/>
    </row>
    <row r="2" s="264" customFormat="1" ht="21" customHeight="1" spans="1:24">
      <c r="A2" s="136" t="s">
        <v>1</v>
      </c>
      <c r="B2" s="241" t="s">
        <v>102</v>
      </c>
      <c r="C2" s="137" t="s">
        <v>3</v>
      </c>
      <c r="D2" s="138"/>
      <c r="E2" s="137" t="s">
        <v>4</v>
      </c>
      <c r="F2" s="138"/>
      <c r="G2" s="137" t="s">
        <v>5</v>
      </c>
      <c r="H2" s="138"/>
      <c r="I2" s="137" t="s">
        <v>6</v>
      </c>
      <c r="J2" s="138"/>
      <c r="K2" s="137" t="s">
        <v>7</v>
      </c>
      <c r="L2" s="138"/>
      <c r="M2" s="137" t="s">
        <v>8</v>
      </c>
      <c r="N2" s="138"/>
      <c r="O2" s="137" t="s">
        <v>9</v>
      </c>
      <c r="P2" s="138"/>
      <c r="Q2" s="137" t="s">
        <v>10</v>
      </c>
      <c r="R2" s="138"/>
      <c r="S2" s="137" t="s">
        <v>11</v>
      </c>
      <c r="T2" s="138"/>
      <c r="U2" s="137" t="s">
        <v>12</v>
      </c>
      <c r="V2" s="138"/>
      <c r="W2" s="137" t="s">
        <v>13</v>
      </c>
      <c r="X2" s="138"/>
    </row>
    <row r="3" s="264" customFormat="1" ht="37" customHeight="1" spans="1:24">
      <c r="A3" s="139"/>
      <c r="B3" s="242"/>
      <c r="C3" s="140" t="s">
        <v>14</v>
      </c>
      <c r="D3" s="141" t="s">
        <v>15</v>
      </c>
      <c r="E3" s="140" t="s">
        <v>14</v>
      </c>
      <c r="F3" s="141" t="s">
        <v>15</v>
      </c>
      <c r="G3" s="140" t="s">
        <v>14</v>
      </c>
      <c r="H3" s="141" t="s">
        <v>15</v>
      </c>
      <c r="I3" s="140" t="s">
        <v>14</v>
      </c>
      <c r="J3" s="141" t="s">
        <v>15</v>
      </c>
      <c r="K3" s="140" t="s">
        <v>14</v>
      </c>
      <c r="L3" s="141" t="s">
        <v>15</v>
      </c>
      <c r="M3" s="140" t="s">
        <v>14</v>
      </c>
      <c r="N3" s="141" t="s">
        <v>15</v>
      </c>
      <c r="O3" s="140" t="s">
        <v>14</v>
      </c>
      <c r="P3" s="141" t="s">
        <v>15</v>
      </c>
      <c r="Q3" s="140" t="s">
        <v>14</v>
      </c>
      <c r="R3" s="141" t="s">
        <v>15</v>
      </c>
      <c r="S3" s="140" t="s">
        <v>14</v>
      </c>
      <c r="T3" s="141" t="s">
        <v>15</v>
      </c>
      <c r="U3" s="140" t="s">
        <v>14</v>
      </c>
      <c r="V3" s="141" t="s">
        <v>15</v>
      </c>
      <c r="W3" s="140" t="s">
        <v>14</v>
      </c>
      <c r="X3" s="141" t="s">
        <v>15</v>
      </c>
    </row>
    <row r="4" ht="26.1" customHeight="1" spans="1:24">
      <c r="A4" s="266" t="s">
        <v>258</v>
      </c>
      <c r="B4" s="267"/>
      <c r="C4" s="213"/>
      <c r="D4" s="207"/>
      <c r="E4" s="213"/>
      <c r="F4" s="207"/>
      <c r="G4" s="213"/>
      <c r="H4" s="207"/>
      <c r="I4" s="213"/>
      <c r="J4" s="207"/>
      <c r="K4" s="213"/>
      <c r="L4" s="207"/>
      <c r="M4" s="213"/>
      <c r="N4" s="207"/>
      <c r="O4" s="213"/>
      <c r="P4" s="207"/>
      <c r="Q4" s="213"/>
      <c r="R4" s="207"/>
      <c r="S4" s="213"/>
      <c r="T4" s="207"/>
      <c r="U4" s="213"/>
      <c r="V4" s="207"/>
      <c r="W4" s="213"/>
      <c r="X4" s="207"/>
    </row>
    <row r="5" ht="26.1" customHeight="1" spans="1:24">
      <c r="A5" s="268" t="s">
        <v>259</v>
      </c>
      <c r="B5" s="269" t="s">
        <v>112</v>
      </c>
      <c r="C5" s="146">
        <v>27499.9288</v>
      </c>
      <c r="D5" s="147">
        <v>-2.73367811539511</v>
      </c>
      <c r="E5" s="146">
        <v>4318.1795</v>
      </c>
      <c r="F5" s="147">
        <v>-4.1</v>
      </c>
      <c r="G5" s="146">
        <v>6745.1007</v>
      </c>
      <c r="H5" s="147">
        <v>-3.91995462297656</v>
      </c>
      <c r="I5" s="146">
        <v>9112</v>
      </c>
      <c r="J5" s="147">
        <v>-4.4</v>
      </c>
      <c r="K5" s="146">
        <v>11544.2081</v>
      </c>
      <c r="L5" s="147">
        <v>-3.31968619495916</v>
      </c>
      <c r="M5" s="146">
        <v>13596.3491</v>
      </c>
      <c r="N5" s="147">
        <v>-4.5</v>
      </c>
      <c r="O5" s="146">
        <v>15706.2892</v>
      </c>
      <c r="P5" s="147">
        <v>-3.28148201225102</v>
      </c>
      <c r="Q5" s="146">
        <v>17952.8056</v>
      </c>
      <c r="R5" s="147">
        <v>-3.0307305548232</v>
      </c>
      <c r="S5" s="146">
        <v>19869.4784</v>
      </c>
      <c r="T5" s="147">
        <v>-2.83517577900874</v>
      </c>
      <c r="U5" s="146">
        <v>22097.2638</v>
      </c>
      <c r="V5" s="147">
        <v>-2.9</v>
      </c>
      <c r="W5" s="146">
        <v>24244.0691</v>
      </c>
      <c r="X5" s="147">
        <v>-3.36735777940894</v>
      </c>
    </row>
    <row r="6" ht="26.1" customHeight="1" spans="1:24">
      <c r="A6" s="268" t="s">
        <v>260</v>
      </c>
      <c r="B6" s="269" t="s">
        <v>112</v>
      </c>
      <c r="C6" s="250">
        <v>10707</v>
      </c>
      <c r="D6" s="147">
        <v>-5.49867608120035</v>
      </c>
      <c r="E6" s="250">
        <v>1381</v>
      </c>
      <c r="F6" s="147">
        <v>-17.6</v>
      </c>
      <c r="G6" s="250">
        <v>2174</v>
      </c>
      <c r="H6" s="147">
        <v>-15.7364341085271</v>
      </c>
      <c r="I6" s="250">
        <v>2956</v>
      </c>
      <c r="J6" s="147">
        <v>-16.8261114237479</v>
      </c>
      <c r="K6" s="250">
        <v>3796</v>
      </c>
      <c r="L6" s="147">
        <v>-14.868804664723</v>
      </c>
      <c r="M6" s="250">
        <v>4546</v>
      </c>
      <c r="N6" s="147">
        <v>-15.1</v>
      </c>
      <c r="O6" s="250">
        <v>5294.1611</v>
      </c>
      <c r="P6" s="147">
        <v>-14.1115979883193</v>
      </c>
      <c r="Q6" s="250">
        <v>6105</v>
      </c>
      <c r="R6" s="147">
        <v>-14.3518518518518</v>
      </c>
      <c r="S6" s="250">
        <v>6821</v>
      </c>
      <c r="T6" s="147">
        <v>-14.006555723651</v>
      </c>
      <c r="U6" s="250">
        <v>7682</v>
      </c>
      <c r="V6" s="147">
        <v>-13.4129846708747</v>
      </c>
      <c r="W6" s="250">
        <v>8456</v>
      </c>
      <c r="X6" s="147">
        <v>-13.679052674561</v>
      </c>
    </row>
    <row r="7" ht="26.1" customHeight="1" spans="1:24">
      <c r="A7" s="268" t="s">
        <v>261</v>
      </c>
      <c r="B7" s="269" t="s">
        <v>79</v>
      </c>
      <c r="C7" s="146">
        <v>165.042875</v>
      </c>
      <c r="D7" s="147">
        <v>4.37418162650518</v>
      </c>
      <c r="E7" s="146">
        <v>21.9576</v>
      </c>
      <c r="F7" s="147">
        <v>-7.8</v>
      </c>
      <c r="G7" s="146">
        <v>35.36975</v>
      </c>
      <c r="H7" s="147">
        <v>-2.96744228792152</v>
      </c>
      <c r="I7" s="146">
        <v>49.25</v>
      </c>
      <c r="J7" s="147">
        <v>-0.98</v>
      </c>
      <c r="K7" s="146">
        <v>62.83635</v>
      </c>
      <c r="L7" s="147">
        <v>-2.57949112501719</v>
      </c>
      <c r="M7" s="146">
        <v>75.7833</v>
      </c>
      <c r="N7" s="147">
        <v>-3.3</v>
      </c>
      <c r="O7" s="146">
        <v>87.72135</v>
      </c>
      <c r="P7" s="147">
        <v>-5.11394642352039</v>
      </c>
      <c r="Q7" s="146">
        <v>102.55445</v>
      </c>
      <c r="R7" s="147">
        <v>-4.10677301267456</v>
      </c>
      <c r="S7" s="146">
        <v>113.61165</v>
      </c>
      <c r="T7" s="147">
        <v>-4.10677301267456</v>
      </c>
      <c r="U7" s="146">
        <v>125.55615</v>
      </c>
      <c r="V7" s="147">
        <v>-5.63131008028839</v>
      </c>
      <c r="W7" s="146">
        <v>139.36225</v>
      </c>
      <c r="X7" s="147">
        <v>-6.03550008605072</v>
      </c>
    </row>
    <row r="8" ht="26.1" customHeight="1" spans="1:24">
      <c r="A8" s="266" t="s">
        <v>262</v>
      </c>
      <c r="B8" s="267" t="s">
        <v>263</v>
      </c>
      <c r="C8" s="219"/>
      <c r="D8" s="197"/>
      <c r="E8" s="219"/>
      <c r="F8" s="197"/>
      <c r="G8" s="219"/>
      <c r="H8" s="197"/>
      <c r="I8" s="219"/>
      <c r="J8" s="197"/>
      <c r="K8" s="219"/>
      <c r="L8" s="197"/>
      <c r="M8" s="219"/>
      <c r="N8" s="197"/>
      <c r="O8" s="219"/>
      <c r="P8" s="197"/>
      <c r="Q8" s="219"/>
      <c r="R8" s="197"/>
      <c r="S8" s="219"/>
      <c r="T8" s="197"/>
      <c r="U8" s="219"/>
      <c r="V8" s="197"/>
      <c r="W8" s="219"/>
      <c r="X8" s="197"/>
    </row>
    <row r="9" ht="26.1" customHeight="1" spans="1:24">
      <c r="A9" s="268" t="s">
        <v>264</v>
      </c>
      <c r="B9" s="269" t="s">
        <v>77</v>
      </c>
      <c r="C9" s="146">
        <v>1.51716486</v>
      </c>
      <c r="D9" s="147">
        <v>3.41955419222903</v>
      </c>
      <c r="E9" s="146">
        <v>0.223</v>
      </c>
      <c r="F9" s="147">
        <v>6.79</v>
      </c>
      <c r="G9" s="146">
        <v>0.3661</v>
      </c>
      <c r="H9" s="147">
        <v>5.85598095398015</v>
      </c>
      <c r="I9" s="146">
        <v>0.4995139</v>
      </c>
      <c r="J9" s="147">
        <v>5.24076193539771</v>
      </c>
      <c r="K9" s="146">
        <v>0.63755611</v>
      </c>
      <c r="L9" s="147">
        <v>3.33214488864191</v>
      </c>
      <c r="M9" s="146">
        <v>0.76437948</v>
      </c>
      <c r="N9" s="147">
        <v>3.5</v>
      </c>
      <c r="O9" s="146">
        <v>0.89034887</v>
      </c>
      <c r="P9" s="147">
        <v>3.19394323397537</v>
      </c>
      <c r="Q9" s="146">
        <v>1.01155745</v>
      </c>
      <c r="R9" s="147">
        <v>3.16411931544442</v>
      </c>
      <c r="S9" s="146">
        <v>1.14206051</v>
      </c>
      <c r="T9" s="147">
        <v>2.9434386513004</v>
      </c>
      <c r="U9" s="146">
        <v>1.26980174</v>
      </c>
      <c r="V9" s="147">
        <v>1.96575869567263</v>
      </c>
      <c r="W9" s="146">
        <v>1.40076504</v>
      </c>
      <c r="X9" s="147">
        <v>1.40951376015859</v>
      </c>
    </row>
    <row r="10" ht="26.1" customHeight="1" spans="1:24">
      <c r="A10" s="268" t="s">
        <v>265</v>
      </c>
      <c r="B10" s="269" t="s">
        <v>74</v>
      </c>
      <c r="C10" s="146">
        <v>254.42953489</v>
      </c>
      <c r="D10" s="147">
        <v>-1.48608075887182</v>
      </c>
      <c r="E10" s="146">
        <v>34.7765</v>
      </c>
      <c r="F10" s="147">
        <v>3.56</v>
      </c>
      <c r="G10" s="146">
        <v>57.93516333</v>
      </c>
      <c r="H10" s="147">
        <v>2.4078845504883</v>
      </c>
      <c r="I10" s="146">
        <v>79.71521216</v>
      </c>
      <c r="J10" s="147">
        <v>0.0446804264812641</v>
      </c>
      <c r="K10" s="146">
        <v>102.07374353</v>
      </c>
      <c r="L10" s="147">
        <v>-2.18151775915969</v>
      </c>
      <c r="M10" s="146">
        <v>122.22966584</v>
      </c>
      <c r="N10" s="147">
        <v>-2.4</v>
      </c>
      <c r="O10" s="146">
        <v>140.55068406</v>
      </c>
      <c r="P10" s="147">
        <v>-2.34327431129309</v>
      </c>
      <c r="Q10" s="146">
        <v>160.83549984</v>
      </c>
      <c r="R10" s="147">
        <v>-2.26276317377965</v>
      </c>
      <c r="S10" s="146">
        <v>180.53600525</v>
      </c>
      <c r="T10" s="147">
        <v>-2.22686233945026</v>
      </c>
      <c r="U10" s="146">
        <v>200.69994625</v>
      </c>
      <c r="V10" s="147">
        <v>-2.71491169240761</v>
      </c>
      <c r="W10" s="146">
        <v>221.93948093</v>
      </c>
      <c r="X10" s="147">
        <v>-3.36859729013693</v>
      </c>
    </row>
    <row r="11" ht="26.1" customHeight="1" spans="1:24">
      <c r="A11" s="268" t="s">
        <v>266</v>
      </c>
      <c r="B11" s="269" t="s">
        <v>192</v>
      </c>
      <c r="C11" s="146">
        <v>1410.0291</v>
      </c>
      <c r="D11" s="147">
        <v>-3.29018518518519</v>
      </c>
      <c r="E11" s="146">
        <v>226.3945</v>
      </c>
      <c r="F11" s="147">
        <v>-6.02</v>
      </c>
      <c r="G11" s="146">
        <v>341.3604</v>
      </c>
      <c r="H11" s="147">
        <v>-4.04750621065111</v>
      </c>
      <c r="I11" s="146">
        <v>459.6665</v>
      </c>
      <c r="J11" s="147">
        <v>-3.78509839250586</v>
      </c>
      <c r="K11" s="146">
        <v>580.2656</v>
      </c>
      <c r="L11" s="147">
        <v>-3.40763379618184</v>
      </c>
      <c r="M11" s="146">
        <v>699.4903</v>
      </c>
      <c r="N11" s="147">
        <v>-2.6</v>
      </c>
      <c r="O11" s="146">
        <v>815.095</v>
      </c>
      <c r="P11" s="147">
        <v>-2.26557953893194</v>
      </c>
      <c r="Q11" s="146">
        <v>929.1523</v>
      </c>
      <c r="R11" s="147">
        <v>-2.13346722735315</v>
      </c>
      <c r="S11" s="146">
        <v>1043.3013</v>
      </c>
      <c r="T11" s="147">
        <v>-1.93839900654595</v>
      </c>
      <c r="U11" s="146">
        <v>1158.9466</v>
      </c>
      <c r="V11" s="147">
        <v>-1.72236314420505</v>
      </c>
      <c r="W11" s="146">
        <v>1274.1794</v>
      </c>
      <c r="X11" s="147">
        <v>-1.58268902500251</v>
      </c>
    </row>
    <row r="12" ht="26.1" customHeight="1" spans="1:24">
      <c r="A12" s="268" t="s">
        <v>267</v>
      </c>
      <c r="B12" s="269" t="s">
        <v>268</v>
      </c>
      <c r="C12" s="146">
        <v>11.45155064</v>
      </c>
      <c r="D12" s="147">
        <v>0.891163659430489</v>
      </c>
      <c r="E12" s="146">
        <v>1.7957</v>
      </c>
      <c r="F12" s="147">
        <v>-12.92</v>
      </c>
      <c r="G12" s="146">
        <v>2.70889335</v>
      </c>
      <c r="H12" s="147">
        <v>-8.71838262662287</v>
      </c>
      <c r="I12" s="146">
        <v>3.66131509</v>
      </c>
      <c r="J12" s="147">
        <v>-7.75063972675957</v>
      </c>
      <c r="K12" s="146">
        <v>4.63474496</v>
      </c>
      <c r="L12" s="147">
        <v>-6.57977289105388</v>
      </c>
      <c r="M12" s="146">
        <v>5.59320737</v>
      </c>
      <c r="N12" s="147">
        <v>-5.1</v>
      </c>
      <c r="O12" s="146">
        <v>6.58223978</v>
      </c>
      <c r="P12" s="147">
        <v>-4.30723636482381</v>
      </c>
      <c r="Q12" s="146">
        <v>7.55569295</v>
      </c>
      <c r="R12" s="147">
        <v>-3.81074783833974</v>
      </c>
      <c r="S12" s="146">
        <v>8.50417511</v>
      </c>
      <c r="T12" s="147">
        <v>-3.37464818696992</v>
      </c>
      <c r="U12" s="146">
        <v>9.46179945</v>
      </c>
      <c r="V12" s="147">
        <v>-2.98711744451215</v>
      </c>
      <c r="W12" s="146">
        <v>10.42258287</v>
      </c>
      <c r="X12" s="147">
        <v>-1.73903961982033</v>
      </c>
    </row>
    <row r="13" ht="26.1" customHeight="1" spans="1:24">
      <c r="A13" s="266" t="s">
        <v>269</v>
      </c>
      <c r="B13" s="267"/>
      <c r="C13" s="219"/>
      <c r="D13" s="197"/>
      <c r="E13" s="219"/>
      <c r="F13" s="197"/>
      <c r="G13" s="219"/>
      <c r="H13" s="197"/>
      <c r="I13" s="219"/>
      <c r="J13" s="197"/>
      <c r="K13" s="219"/>
      <c r="L13" s="197"/>
      <c r="M13" s="219"/>
      <c r="N13" s="197"/>
      <c r="O13" s="219"/>
      <c r="P13" s="197"/>
      <c r="Q13" s="219"/>
      <c r="R13" s="197"/>
      <c r="S13" s="219"/>
      <c r="T13" s="197"/>
      <c r="U13" s="219"/>
      <c r="V13" s="197"/>
      <c r="W13" s="219"/>
      <c r="X13" s="197"/>
    </row>
    <row r="14" ht="26.1" customHeight="1" spans="1:24">
      <c r="A14" s="268" t="s">
        <v>264</v>
      </c>
      <c r="B14" s="269" t="s">
        <v>112</v>
      </c>
      <c r="C14" s="146">
        <v>5291.5254</v>
      </c>
      <c r="D14" s="147">
        <v>9.68818895522456</v>
      </c>
      <c r="E14" s="146">
        <v>872.94</v>
      </c>
      <c r="F14" s="147">
        <v>4.2</v>
      </c>
      <c r="G14" s="146">
        <v>1420.2713</v>
      </c>
      <c r="H14" s="147">
        <v>0.922260363233685</v>
      </c>
      <c r="I14" s="146">
        <v>1953</v>
      </c>
      <c r="J14" s="147">
        <v>-0.42</v>
      </c>
      <c r="K14" s="146">
        <v>2424.8109</v>
      </c>
      <c r="L14" s="147">
        <v>0.357050636749956</v>
      </c>
      <c r="M14" s="146">
        <v>2824.2598</v>
      </c>
      <c r="N14" s="147">
        <v>0.2</v>
      </c>
      <c r="O14" s="146">
        <v>3217.5019</v>
      </c>
      <c r="P14" s="147">
        <v>1.54186697306888</v>
      </c>
      <c r="Q14" s="146">
        <v>3625.6684</v>
      </c>
      <c r="R14" s="147">
        <v>2.55777478266852</v>
      </c>
      <c r="S14" s="146">
        <v>3993.2825</v>
      </c>
      <c r="T14" s="147">
        <v>2.84973014995113</v>
      </c>
      <c r="U14" s="146">
        <v>4403.7844</v>
      </c>
      <c r="V14" s="147">
        <v>2.44016081659506</v>
      </c>
      <c r="W14" s="146">
        <v>4802.6218</v>
      </c>
      <c r="X14" s="147">
        <v>0.280965418216139</v>
      </c>
    </row>
    <row r="15" ht="26.1" customHeight="1" spans="1:24">
      <c r="A15" s="268" t="s">
        <v>265</v>
      </c>
      <c r="B15" s="269" t="s">
        <v>74</v>
      </c>
      <c r="C15" s="146">
        <v>188.35287263</v>
      </c>
      <c r="D15" s="147">
        <v>-0.813555229123963</v>
      </c>
      <c r="E15" s="146">
        <v>27.569</v>
      </c>
      <c r="F15" s="147">
        <v>-8.3</v>
      </c>
      <c r="G15" s="146">
        <v>47.42461228</v>
      </c>
      <c r="H15" s="147">
        <v>7.73375285856188</v>
      </c>
      <c r="I15" s="146">
        <v>62.619</v>
      </c>
      <c r="J15" s="147">
        <v>6.01</v>
      </c>
      <c r="K15" s="146">
        <v>76.96943991</v>
      </c>
      <c r="L15" s="147">
        <v>5.05704878598749</v>
      </c>
      <c r="M15" s="146">
        <v>94.52725236</v>
      </c>
      <c r="N15" s="147">
        <v>4.4</v>
      </c>
      <c r="O15" s="146">
        <v>107.27620828</v>
      </c>
      <c r="P15" s="147">
        <v>6.31332934911701</v>
      </c>
      <c r="Q15" s="146">
        <v>123.42720358</v>
      </c>
      <c r="R15" s="147">
        <v>8.70953738983287</v>
      </c>
      <c r="S15" s="146">
        <v>137.04131557</v>
      </c>
      <c r="T15" s="147">
        <v>8.59645684461059</v>
      </c>
      <c r="U15" s="146">
        <v>157.0224055</v>
      </c>
      <c r="V15" s="147">
        <v>7.03306791522029</v>
      </c>
      <c r="W15" s="146">
        <v>175.8326934</v>
      </c>
      <c r="X15" s="147">
        <v>5.19750297105104</v>
      </c>
    </row>
    <row r="16" ht="26.1" customHeight="1" spans="1:24">
      <c r="A16" s="268" t="s">
        <v>266</v>
      </c>
      <c r="B16" s="269" t="s">
        <v>192</v>
      </c>
      <c r="C16" s="146">
        <v>794.78</v>
      </c>
      <c r="D16" s="147">
        <v>-4.45232359931913</v>
      </c>
      <c r="E16" s="146">
        <v>218.7762</v>
      </c>
      <c r="F16" s="147">
        <v>-17.3</v>
      </c>
      <c r="G16" s="146">
        <v>286.0449</v>
      </c>
      <c r="H16" s="147">
        <v>-15.5278547472538</v>
      </c>
      <c r="I16" s="146">
        <v>350</v>
      </c>
      <c r="J16" s="147">
        <v>-13.77</v>
      </c>
      <c r="K16" s="146">
        <v>405.7375</v>
      </c>
      <c r="L16" s="147">
        <v>-10.2611541688987</v>
      </c>
      <c r="M16" s="146">
        <v>442.0093</v>
      </c>
      <c r="N16" s="147">
        <v>-9.6</v>
      </c>
      <c r="O16" s="146">
        <v>501.6624</v>
      </c>
      <c r="P16" s="147">
        <v>-7.35220951161704</v>
      </c>
      <c r="Q16" s="146">
        <v>577.5999</v>
      </c>
      <c r="R16" s="147">
        <v>-4.85529634549393</v>
      </c>
      <c r="S16" s="146">
        <v>614.0151</v>
      </c>
      <c r="T16" s="147">
        <v>-4.7915645539959</v>
      </c>
      <c r="U16" s="146">
        <v>670.9237</v>
      </c>
      <c r="V16" s="147">
        <v>-3.85154882532209</v>
      </c>
      <c r="W16" s="146">
        <v>722.6055</v>
      </c>
      <c r="X16" s="147">
        <v>-2.61878806998942</v>
      </c>
    </row>
    <row r="17" ht="26.1" customHeight="1" spans="1:24">
      <c r="A17" s="268" t="s">
        <v>267</v>
      </c>
      <c r="B17" s="269" t="s">
        <v>268</v>
      </c>
      <c r="C17" s="146">
        <v>1.89968082</v>
      </c>
      <c r="D17" s="147">
        <v>-6.84760339613423</v>
      </c>
      <c r="E17" s="146">
        <v>0.5409</v>
      </c>
      <c r="F17" s="147">
        <v>-19.6</v>
      </c>
      <c r="G17" s="146">
        <v>0.70190023</v>
      </c>
      <c r="H17" s="147">
        <v>-17.2084410513796</v>
      </c>
      <c r="I17" s="146">
        <v>0.8564</v>
      </c>
      <c r="J17" s="147">
        <v>-14.92</v>
      </c>
      <c r="K17" s="146">
        <v>0.9872628</v>
      </c>
      <c r="L17" s="147">
        <v>-11.2398490968433</v>
      </c>
      <c r="M17" s="146">
        <v>1.07476896</v>
      </c>
      <c r="N17" s="147">
        <v>-10.2</v>
      </c>
      <c r="O17" s="146">
        <v>1.22065827</v>
      </c>
      <c r="P17" s="147">
        <v>-7.33794964066323</v>
      </c>
      <c r="Q17" s="146">
        <v>1.40033617</v>
      </c>
      <c r="R17" s="147">
        <v>-4.74478571099584</v>
      </c>
      <c r="S17" s="146">
        <v>1.48836352</v>
      </c>
      <c r="T17" s="147">
        <v>-4.57730315526624</v>
      </c>
      <c r="U17" s="146">
        <v>1.62911763</v>
      </c>
      <c r="V17" s="147">
        <v>-3.03754993473453</v>
      </c>
      <c r="W17" s="146">
        <v>1.75093502</v>
      </c>
      <c r="X17" s="147">
        <v>-1.67621765200888</v>
      </c>
    </row>
    <row r="18" ht="26.1" customHeight="1" spans="1:24">
      <c r="A18" s="266" t="s">
        <v>270</v>
      </c>
      <c r="B18" s="267"/>
      <c r="C18" s="219"/>
      <c r="D18" s="197"/>
      <c r="E18" s="219"/>
      <c r="F18" s="197"/>
      <c r="G18" s="219"/>
      <c r="H18" s="197"/>
      <c r="I18" s="219"/>
      <c r="J18" s="197"/>
      <c r="K18" s="219"/>
      <c r="L18" s="197"/>
      <c r="M18" s="219"/>
      <c r="N18" s="197"/>
      <c r="O18" s="219"/>
      <c r="P18" s="197"/>
      <c r="Q18" s="219"/>
      <c r="R18" s="197"/>
      <c r="S18" s="219"/>
      <c r="T18" s="197"/>
      <c r="U18" s="219"/>
      <c r="V18" s="197"/>
      <c r="W18" s="219"/>
      <c r="X18" s="197"/>
    </row>
    <row r="19" ht="26.1" customHeight="1" spans="1:24">
      <c r="A19" s="268" t="s">
        <v>271</v>
      </c>
      <c r="B19" s="269" t="s">
        <v>17</v>
      </c>
      <c r="C19" s="150">
        <v>27.64818263</v>
      </c>
      <c r="D19" s="151">
        <v>5.51754864697437</v>
      </c>
      <c r="E19" s="150">
        <v>4.54859668</v>
      </c>
      <c r="F19" s="151">
        <v>8.37558181660362</v>
      </c>
      <c r="G19" s="150">
        <v>7.06775364</v>
      </c>
      <c r="H19" s="151">
        <v>8.11224705687991</v>
      </c>
      <c r="I19" s="150">
        <v>9.58038761</v>
      </c>
      <c r="J19" s="151">
        <v>7.57848923711049</v>
      </c>
      <c r="K19" s="150">
        <v>12.3455905</v>
      </c>
      <c r="L19" s="151">
        <v>7.50535485162785</v>
      </c>
      <c r="M19" s="150">
        <v>15.50691067</v>
      </c>
      <c r="N19" s="151">
        <v>9.29</v>
      </c>
      <c r="O19" s="150">
        <v>18.04869667</v>
      </c>
      <c r="P19" s="151">
        <v>9.17269804898704</v>
      </c>
      <c r="Q19" s="150">
        <v>20.44857592</v>
      </c>
      <c r="R19" s="151">
        <v>8.30853077098951</v>
      </c>
      <c r="S19" s="150">
        <v>22.99520664</v>
      </c>
      <c r="T19" s="151">
        <v>8.41114191625144</v>
      </c>
      <c r="U19" s="150">
        <v>25.62614495</v>
      </c>
      <c r="V19" s="151">
        <v>10.9204119130553</v>
      </c>
      <c r="W19" s="150">
        <v>28.16356082</v>
      </c>
      <c r="X19" s="151">
        <v>11.1239011860098</v>
      </c>
    </row>
    <row r="20" ht="26.1" customHeight="1" spans="1:24">
      <c r="A20" s="245" t="s">
        <v>272</v>
      </c>
      <c r="B20" s="246" t="s">
        <v>17</v>
      </c>
      <c r="C20" s="146">
        <v>0.163888</v>
      </c>
      <c r="D20" s="147">
        <v>-6.26079595502019</v>
      </c>
      <c r="E20" s="146">
        <v>0.027734</v>
      </c>
      <c r="F20" s="147">
        <v>7.66304347826087</v>
      </c>
      <c r="G20" s="146">
        <v>0.042897</v>
      </c>
      <c r="H20" s="147">
        <v>3.14754256035395</v>
      </c>
      <c r="I20" s="146">
        <v>0.053723</v>
      </c>
      <c r="J20" s="147">
        <v>-1.4744988721184</v>
      </c>
      <c r="K20" s="146">
        <v>0.065809</v>
      </c>
      <c r="L20" s="147">
        <v>-2.16020933067705</v>
      </c>
      <c r="M20" s="146">
        <v>0.078739</v>
      </c>
      <c r="N20" s="147">
        <v>-4.47</v>
      </c>
      <c r="O20" s="146">
        <v>0.09001</v>
      </c>
      <c r="P20" s="147">
        <v>-5.76447924954981</v>
      </c>
      <c r="Q20" s="146">
        <v>0.101239</v>
      </c>
      <c r="R20" s="147">
        <v>-6.71795816824841</v>
      </c>
      <c r="S20" s="146">
        <v>0.113046</v>
      </c>
      <c r="T20" s="147">
        <v>-7.87848167283277</v>
      </c>
      <c r="U20" s="146">
        <v>0.123489</v>
      </c>
      <c r="V20" s="147">
        <v>-8.33382820154993</v>
      </c>
      <c r="W20" s="146">
        <v>0.134347</v>
      </c>
      <c r="X20" s="147">
        <v>-10.1333814951571</v>
      </c>
    </row>
    <row r="21" ht="26.1" customHeight="1" spans="1:24">
      <c r="A21" s="245" t="s">
        <v>273</v>
      </c>
      <c r="B21" s="246" t="s">
        <v>17</v>
      </c>
      <c r="C21" s="146">
        <v>16.87185271</v>
      </c>
      <c r="D21" s="147">
        <v>20.9638263151576</v>
      </c>
      <c r="E21" s="146">
        <v>2.7205546</v>
      </c>
      <c r="F21" s="147">
        <v>17.2845540316639</v>
      </c>
      <c r="G21" s="146">
        <v>4.25795856</v>
      </c>
      <c r="H21" s="147">
        <v>15.6369615098139</v>
      </c>
      <c r="I21" s="146">
        <v>5.87452753</v>
      </c>
      <c r="J21" s="147">
        <v>14.5816370189379</v>
      </c>
      <c r="K21" s="146">
        <v>7.73474042</v>
      </c>
      <c r="L21" s="147">
        <v>15.0017788331699</v>
      </c>
      <c r="M21" s="146">
        <v>9.65463873</v>
      </c>
      <c r="N21" s="147">
        <v>14.31</v>
      </c>
      <c r="O21" s="146">
        <v>11.21274906</v>
      </c>
      <c r="P21" s="147">
        <v>13.6414001961122</v>
      </c>
      <c r="Q21" s="146">
        <v>12.68715516</v>
      </c>
      <c r="R21" s="147">
        <v>12.4950245035409</v>
      </c>
      <c r="S21" s="146">
        <v>14.31459205</v>
      </c>
      <c r="T21" s="147">
        <v>12.779222970009</v>
      </c>
      <c r="U21" s="146">
        <v>15.86688403</v>
      </c>
      <c r="V21" s="147">
        <v>13.4814592297781</v>
      </c>
      <c r="W21" s="146">
        <v>17.40849522</v>
      </c>
      <c r="X21" s="147">
        <v>13.1436711814313</v>
      </c>
    </row>
    <row r="22" ht="26.1" customHeight="1" spans="1:24">
      <c r="A22" s="270" t="s">
        <v>274</v>
      </c>
      <c r="B22" s="271" t="s">
        <v>17</v>
      </c>
      <c r="C22" s="146">
        <v>29.0438579172</v>
      </c>
      <c r="D22" s="147">
        <v>20.1817047957949</v>
      </c>
      <c r="E22" s="146">
        <v>4.8768362232</v>
      </c>
      <c r="F22" s="147">
        <v>22.5072055903725</v>
      </c>
      <c r="G22" s="146">
        <v>7.9129003982</v>
      </c>
      <c r="H22" s="147">
        <v>24.0967298003446</v>
      </c>
      <c r="I22" s="146">
        <v>10.8425599874</v>
      </c>
      <c r="J22" s="147">
        <v>21.096139151307</v>
      </c>
      <c r="K22" s="146">
        <v>13.8779194024</v>
      </c>
      <c r="L22" s="147">
        <v>19.7838902952095</v>
      </c>
      <c r="M22" s="146">
        <v>17.1327884707</v>
      </c>
      <c r="N22" s="147">
        <v>19.28</v>
      </c>
      <c r="O22" s="146">
        <v>20.0755060479</v>
      </c>
      <c r="P22" s="147">
        <v>18.7235240818461</v>
      </c>
      <c r="Q22" s="146">
        <v>22.8023271001</v>
      </c>
      <c r="R22" s="147">
        <v>17.3898705817083</v>
      </c>
      <c r="S22" s="146">
        <v>25.5884939413</v>
      </c>
      <c r="T22" s="147">
        <v>17.3681836624491</v>
      </c>
      <c r="U22" s="146">
        <v>28.3933994348</v>
      </c>
      <c r="V22" s="147">
        <v>17.6342683674127</v>
      </c>
      <c r="W22" s="146">
        <v>31.2103249883</v>
      </c>
      <c r="X22" s="147">
        <v>17.4330979539056</v>
      </c>
    </row>
    <row r="23" ht="26.1" customHeight="1" spans="1:24">
      <c r="A23" s="270" t="s">
        <v>275</v>
      </c>
      <c r="B23" s="271" t="s">
        <v>221</v>
      </c>
      <c r="C23" s="146">
        <v>23932.9065</v>
      </c>
      <c r="D23" s="147">
        <v>20.1606596419727</v>
      </c>
      <c r="E23" s="146">
        <v>3444.9994</v>
      </c>
      <c r="F23" s="147">
        <v>28.0581947092292</v>
      </c>
      <c r="G23" s="146">
        <v>5942.4059</v>
      </c>
      <c r="H23" s="147">
        <v>26.4398551883802</v>
      </c>
      <c r="I23" s="146">
        <v>8504.7548</v>
      </c>
      <c r="J23" s="147">
        <v>21.2551353315473</v>
      </c>
      <c r="K23" s="146">
        <v>11184.2089</v>
      </c>
      <c r="L23" s="147">
        <v>19.1681106722043</v>
      </c>
      <c r="M23" s="146">
        <v>13931.7961</v>
      </c>
      <c r="N23" s="147">
        <v>18.26</v>
      </c>
      <c r="O23" s="146">
        <v>16488.9106</v>
      </c>
      <c r="P23" s="147">
        <v>17.0571758720234</v>
      </c>
      <c r="Q23" s="146">
        <v>18751.2561</v>
      </c>
      <c r="R23" s="147">
        <v>15.1070985070468</v>
      </c>
      <c r="S23" s="146">
        <v>21038.5969</v>
      </c>
      <c r="T23" s="147">
        <v>15.4321225512211</v>
      </c>
      <c r="U23" s="146">
        <v>23194.444</v>
      </c>
      <c r="V23" s="147">
        <v>15.4263302165851</v>
      </c>
      <c r="W23" s="146">
        <v>25364.1751</v>
      </c>
      <c r="X23" s="147">
        <v>15.1934031386125</v>
      </c>
    </row>
    <row r="24" ht="26.1" customHeight="1" spans="1:24">
      <c r="A24" s="270" t="s">
        <v>276</v>
      </c>
      <c r="B24" s="271" t="s">
        <v>221</v>
      </c>
      <c r="C24" s="146">
        <v>21565.8265</v>
      </c>
      <c r="D24" s="147">
        <v>25.2742429233962</v>
      </c>
      <c r="E24" s="146">
        <v>3110.9194</v>
      </c>
      <c r="F24" s="147">
        <v>34.1484417053861</v>
      </c>
      <c r="G24" s="146">
        <v>5407.7759</v>
      </c>
      <c r="H24" s="147">
        <v>31.3377115680046</v>
      </c>
      <c r="I24" s="146">
        <v>7794.2848</v>
      </c>
      <c r="J24" s="147">
        <v>24.911539050249</v>
      </c>
      <c r="K24" s="146">
        <v>10297.7789</v>
      </c>
      <c r="L24" s="147">
        <v>22.3510151336414</v>
      </c>
      <c r="M24" s="146">
        <v>12844.2961</v>
      </c>
      <c r="N24" s="147">
        <v>21.09</v>
      </c>
      <c r="O24" s="146">
        <v>15193.3606</v>
      </c>
      <c r="P24" s="147">
        <v>19.5610964618428</v>
      </c>
      <c r="Q24" s="146">
        <v>17276.7461</v>
      </c>
      <c r="R24" s="147">
        <v>17.4560215506039</v>
      </c>
      <c r="S24" s="146">
        <v>19386.0769</v>
      </c>
      <c r="T24" s="147">
        <v>17.8197960478501</v>
      </c>
      <c r="U24" s="146">
        <v>21373.534</v>
      </c>
      <c r="V24" s="147">
        <v>17.8864797723509</v>
      </c>
      <c r="W24" s="146">
        <v>23368.2851</v>
      </c>
      <c r="X24" s="147">
        <v>17.6975931014982</v>
      </c>
    </row>
    <row r="25" ht="26.1" customHeight="1" spans="1:24">
      <c r="A25" s="270" t="s">
        <v>277</v>
      </c>
      <c r="B25" s="271" t="s">
        <v>221</v>
      </c>
      <c r="C25" s="146">
        <v>1145.2759</v>
      </c>
      <c r="D25" s="147">
        <v>-47.0559399765466</v>
      </c>
      <c r="E25" s="146">
        <v>197.6719</v>
      </c>
      <c r="F25" s="147">
        <v>29.9138844909931</v>
      </c>
      <c r="G25" s="146">
        <v>305.1112</v>
      </c>
      <c r="H25" s="147">
        <v>26.8401012854404</v>
      </c>
      <c r="I25" s="146">
        <v>407.5045</v>
      </c>
      <c r="J25" s="147">
        <v>24.3653621723505</v>
      </c>
      <c r="K25" s="146">
        <v>519.1113</v>
      </c>
      <c r="L25" s="147">
        <v>21.1646255543727</v>
      </c>
      <c r="M25" s="146">
        <v>626.4978</v>
      </c>
      <c r="N25" s="147">
        <v>18.96</v>
      </c>
      <c r="O25" s="146">
        <v>738.2428</v>
      </c>
      <c r="P25" s="147">
        <v>18.0381665523981</v>
      </c>
      <c r="Q25" s="146">
        <v>854.4181</v>
      </c>
      <c r="R25" s="147">
        <v>16.3697783845537</v>
      </c>
      <c r="S25" s="146">
        <v>989.2002</v>
      </c>
      <c r="T25" s="147">
        <v>18.0233362107382</v>
      </c>
      <c r="U25" s="146">
        <v>1108.2883</v>
      </c>
      <c r="V25" s="147">
        <v>18.1964647973874</v>
      </c>
      <c r="W25" s="146">
        <v>1229.6749</v>
      </c>
      <c r="X25" s="147">
        <v>18.9224959011665</v>
      </c>
    </row>
    <row r="26" ht="26.1" customHeight="1" spans="1:24">
      <c r="A26" s="270" t="s">
        <v>278</v>
      </c>
      <c r="B26" s="271" t="s">
        <v>221</v>
      </c>
      <c r="C26" s="146">
        <v>20415.9025</v>
      </c>
      <c r="D26" s="147">
        <v>35.6741639936859</v>
      </c>
      <c r="E26" s="146">
        <v>2912.5174</v>
      </c>
      <c r="F26" s="147">
        <v>34.4461298002809</v>
      </c>
      <c r="G26" s="146">
        <v>5101.5617</v>
      </c>
      <c r="H26" s="147">
        <v>31.6159383206386</v>
      </c>
      <c r="I26" s="146">
        <v>7385.3124</v>
      </c>
      <c r="J26" s="147">
        <v>24.9405821429954</v>
      </c>
      <c r="K26" s="146">
        <v>9776.8523</v>
      </c>
      <c r="L26" s="147">
        <v>22.4138178427828</v>
      </c>
      <c r="M26" s="146">
        <v>12215.6004</v>
      </c>
      <c r="N26" s="147">
        <v>21.21</v>
      </c>
      <c r="O26" s="146">
        <v>14452.4882</v>
      </c>
      <c r="P26" s="147">
        <v>19.6394751600474</v>
      </c>
      <c r="Q26" s="146">
        <v>16419.3071</v>
      </c>
      <c r="R26" s="147">
        <v>17.5128074683815</v>
      </c>
      <c r="S26" s="146">
        <v>18393.4603</v>
      </c>
      <c r="T26" s="147">
        <v>17.8091843337805</v>
      </c>
      <c r="U26" s="146">
        <v>20261.4353</v>
      </c>
      <c r="V26" s="147">
        <v>17.8706077183955</v>
      </c>
      <c r="W26" s="146">
        <v>22134.3617</v>
      </c>
      <c r="X26" s="147">
        <v>17.6321523606858</v>
      </c>
    </row>
    <row r="27" ht="26.1" customHeight="1" spans="1:24">
      <c r="A27" s="272" t="s">
        <v>279</v>
      </c>
      <c r="B27" s="273" t="s">
        <v>221</v>
      </c>
      <c r="C27" s="153">
        <v>4.6481</v>
      </c>
      <c r="D27" s="154">
        <v>17.1868697055264</v>
      </c>
      <c r="E27" s="153">
        <v>0.7301</v>
      </c>
      <c r="F27" s="154">
        <v>33.1084776663628</v>
      </c>
      <c r="G27" s="153">
        <v>1.103</v>
      </c>
      <c r="H27" s="154">
        <v>35.5869698832207</v>
      </c>
      <c r="I27" s="153">
        <v>1.4679</v>
      </c>
      <c r="J27" s="154">
        <v>31.4380372492837</v>
      </c>
      <c r="K27" s="153">
        <v>1.8153</v>
      </c>
      <c r="L27" s="154">
        <v>27.0417803905102</v>
      </c>
      <c r="M27" s="153">
        <v>2.1979</v>
      </c>
      <c r="N27" s="154">
        <v>25.02</v>
      </c>
      <c r="O27" s="153">
        <v>2.6296</v>
      </c>
      <c r="P27" s="154">
        <v>22.1933085501859</v>
      </c>
      <c r="Q27" s="153">
        <v>3.0209</v>
      </c>
      <c r="R27" s="154">
        <v>19.0784027750404</v>
      </c>
      <c r="S27" s="153">
        <v>3.4164</v>
      </c>
      <c r="T27" s="154">
        <v>16.1487726932753</v>
      </c>
      <c r="U27" s="153">
        <v>3.8104</v>
      </c>
      <c r="V27" s="154">
        <v>12.6171124575144</v>
      </c>
      <c r="W27" s="153">
        <v>4.2485</v>
      </c>
      <c r="X27" s="154">
        <v>8.69342748228311</v>
      </c>
    </row>
  </sheetData>
  <mergeCells count="14">
    <mergeCell ref="A1:X1"/>
    <mergeCell ref="C2:D2"/>
    <mergeCell ref="E2:F2"/>
    <mergeCell ref="G2:H2"/>
    <mergeCell ref="I2:J2"/>
    <mergeCell ref="K2:L2"/>
    <mergeCell ref="M2:N2"/>
    <mergeCell ref="O2:P2"/>
    <mergeCell ref="Q2:R2"/>
    <mergeCell ref="S2:T2"/>
    <mergeCell ref="U2:V2"/>
    <mergeCell ref="W2:X2"/>
    <mergeCell ref="A2:A3"/>
    <mergeCell ref="B2:B3"/>
  </mergeCells>
  <printOptions horizontalCentered="1"/>
  <pageMargins left="0.748031496062992" right="0.748031496062992" top="0.551181102362205" bottom="0.748031496062992" header="0.511811023622047" footer="0.511811023622047"/>
  <pageSetup paperSize="9" orientation="portrait" horizontalDpi="600"/>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X29"/>
  <sheetViews>
    <sheetView zoomScale="80" zoomScaleNormal="80" workbookViewId="0">
      <pane xSplit="2" ySplit="3" topLeftCell="N4" activePane="bottomRight" state="frozen"/>
      <selection/>
      <selection pane="topRight"/>
      <selection pane="bottomLeft"/>
      <selection pane="bottomRight" activeCell="C4" sqref="C4:C15"/>
    </sheetView>
  </sheetViews>
  <sheetFormatPr defaultColWidth="9" defaultRowHeight="14.25"/>
  <cols>
    <col min="1" max="1" width="31.375" style="239" customWidth="1"/>
    <col min="2" max="2" width="9.625" style="239" customWidth="1"/>
    <col min="3" max="3" width="9.84166666666667" style="239" customWidth="1"/>
    <col min="4" max="22" width="9.525" style="239" customWidth="1"/>
    <col min="23" max="23" width="9.84166666666667" style="239" customWidth="1"/>
    <col min="24" max="24" width="9.525" style="239" customWidth="1"/>
    <col min="25" max="16384" width="9" style="239"/>
  </cols>
  <sheetData>
    <row r="1" ht="24.95" customHeight="1" spans="1:24">
      <c r="A1" s="135" t="s">
        <v>84</v>
      </c>
      <c r="B1" s="135"/>
      <c r="C1" s="135"/>
      <c r="D1" s="135"/>
      <c r="E1" s="135"/>
      <c r="F1" s="135"/>
      <c r="G1" s="135"/>
      <c r="H1" s="135"/>
      <c r="I1" s="135"/>
      <c r="J1" s="135"/>
      <c r="K1" s="135"/>
      <c r="L1" s="135"/>
      <c r="M1" s="135"/>
      <c r="N1" s="135"/>
      <c r="O1" s="135"/>
      <c r="P1" s="135"/>
      <c r="Q1" s="135"/>
      <c r="R1" s="135"/>
      <c r="S1" s="135"/>
      <c r="T1" s="135"/>
      <c r="U1" s="135"/>
      <c r="V1" s="135"/>
      <c r="W1" s="135"/>
      <c r="X1" s="135"/>
    </row>
    <row r="2" ht="21" customHeight="1" spans="1:24">
      <c r="A2" s="136" t="s">
        <v>1</v>
      </c>
      <c r="B2" s="241" t="s">
        <v>102</v>
      </c>
      <c r="C2" s="137" t="s">
        <v>3</v>
      </c>
      <c r="D2" s="138"/>
      <c r="E2" s="137" t="s">
        <v>4</v>
      </c>
      <c r="F2" s="138"/>
      <c r="G2" s="137" t="s">
        <v>5</v>
      </c>
      <c r="H2" s="138"/>
      <c r="I2" s="137" t="s">
        <v>6</v>
      </c>
      <c r="J2" s="138"/>
      <c r="K2" s="137" t="s">
        <v>7</v>
      </c>
      <c r="L2" s="138"/>
      <c r="M2" s="137" t="s">
        <v>8</v>
      </c>
      <c r="N2" s="138"/>
      <c r="O2" s="137" t="s">
        <v>9</v>
      </c>
      <c r="P2" s="138"/>
      <c r="Q2" s="137" t="s">
        <v>10</v>
      </c>
      <c r="R2" s="138"/>
      <c r="S2" s="137" t="s">
        <v>11</v>
      </c>
      <c r="T2" s="138"/>
      <c r="U2" s="137" t="s">
        <v>12</v>
      </c>
      <c r="V2" s="138"/>
      <c r="W2" s="137" t="s">
        <v>13</v>
      </c>
      <c r="X2" s="138"/>
    </row>
    <row r="3" ht="21" customHeight="1" spans="1:24">
      <c r="A3" s="139"/>
      <c r="B3" s="242"/>
      <c r="C3" s="140" t="s">
        <v>14</v>
      </c>
      <c r="D3" s="141" t="s">
        <v>15</v>
      </c>
      <c r="E3" s="140" t="s">
        <v>14</v>
      </c>
      <c r="F3" s="141" t="s">
        <v>15</v>
      </c>
      <c r="G3" s="140" t="s">
        <v>14</v>
      </c>
      <c r="H3" s="141" t="s">
        <v>15</v>
      </c>
      <c r="I3" s="140" t="s">
        <v>14</v>
      </c>
      <c r="J3" s="141" t="s">
        <v>15</v>
      </c>
      <c r="K3" s="140" t="s">
        <v>14</v>
      </c>
      <c r="L3" s="141" t="s">
        <v>15</v>
      </c>
      <c r="M3" s="140" t="s">
        <v>14</v>
      </c>
      <c r="N3" s="141" t="s">
        <v>15</v>
      </c>
      <c r="O3" s="140" t="s">
        <v>14</v>
      </c>
      <c r="P3" s="141" t="s">
        <v>15</v>
      </c>
      <c r="Q3" s="140" t="s">
        <v>14</v>
      </c>
      <c r="R3" s="141" t="s">
        <v>15</v>
      </c>
      <c r="S3" s="140" t="s">
        <v>14</v>
      </c>
      <c r="T3" s="141" t="s">
        <v>15</v>
      </c>
      <c r="U3" s="140" t="s">
        <v>14</v>
      </c>
      <c r="V3" s="141" t="s">
        <v>15</v>
      </c>
      <c r="W3" s="140" t="s">
        <v>14</v>
      </c>
      <c r="X3" s="141" t="s">
        <v>15</v>
      </c>
    </row>
    <row r="4" ht="24" customHeight="1" spans="1:24">
      <c r="A4" s="243" t="s">
        <v>84</v>
      </c>
      <c r="B4" s="244" t="s">
        <v>17</v>
      </c>
      <c r="C4" s="219"/>
      <c r="D4" s="197">
        <v>-11.3</v>
      </c>
      <c r="E4" s="219"/>
      <c r="F4" s="197">
        <v>8.6</v>
      </c>
      <c r="G4" s="219"/>
      <c r="H4" s="197">
        <v>8.7</v>
      </c>
      <c r="I4" s="219"/>
      <c r="J4" s="197">
        <v>4.7</v>
      </c>
      <c r="K4" s="219"/>
      <c r="L4" s="197">
        <v>1.1</v>
      </c>
      <c r="M4" s="219"/>
      <c r="N4" s="197">
        <v>-4.5</v>
      </c>
      <c r="O4" s="219"/>
      <c r="P4" s="197">
        <v>-7</v>
      </c>
      <c r="Q4" s="219"/>
      <c r="R4" s="197">
        <v>-8.9</v>
      </c>
      <c r="S4" s="219"/>
      <c r="T4" s="197">
        <v>-9.5</v>
      </c>
      <c r="U4" s="219"/>
      <c r="V4" s="197">
        <v>-10.6</v>
      </c>
      <c r="W4" s="219"/>
      <c r="X4" s="197">
        <v>-11.3</v>
      </c>
    </row>
    <row r="5" ht="24" customHeight="1" spans="1:24">
      <c r="A5" s="245" t="s">
        <v>280</v>
      </c>
      <c r="B5" s="246" t="s">
        <v>17</v>
      </c>
      <c r="C5" s="146"/>
      <c r="D5" s="147">
        <v>-2.3</v>
      </c>
      <c r="E5" s="146"/>
      <c r="F5" s="147">
        <v>21.2</v>
      </c>
      <c r="G5" s="146"/>
      <c r="H5" s="147">
        <v>24.7</v>
      </c>
      <c r="I5" s="146"/>
      <c r="J5" s="147">
        <v>17.000681865725</v>
      </c>
      <c r="K5" s="146"/>
      <c r="L5" s="147">
        <v>10.7615212877443</v>
      </c>
      <c r="M5" s="146"/>
      <c r="N5" s="147">
        <v>2.307179935467</v>
      </c>
      <c r="O5" s="146"/>
      <c r="P5" s="147">
        <v>-1.58502402494216</v>
      </c>
      <c r="Q5" s="146"/>
      <c r="R5" s="147">
        <v>-4.2949631261843</v>
      </c>
      <c r="S5" s="146"/>
      <c r="T5" s="147">
        <v>-5.56066203741943</v>
      </c>
      <c r="U5" s="146"/>
      <c r="V5" s="147">
        <v>-7.10604383049261</v>
      </c>
      <c r="W5" s="146"/>
      <c r="X5" s="147">
        <v>-8.30492022593583</v>
      </c>
    </row>
    <row r="6" ht="24" customHeight="1" spans="1:24">
      <c r="A6" s="245" t="s">
        <v>281</v>
      </c>
      <c r="B6" s="246" t="s">
        <v>17</v>
      </c>
      <c r="C6" s="146"/>
      <c r="D6" s="147">
        <v>-15.3</v>
      </c>
      <c r="E6" s="146"/>
      <c r="F6" s="147">
        <v>61.9</v>
      </c>
      <c r="G6" s="146"/>
      <c r="H6" s="147">
        <v>59.1</v>
      </c>
      <c r="I6" s="146"/>
      <c r="J6" s="147">
        <v>48.8</v>
      </c>
      <c r="K6" s="146"/>
      <c r="L6" s="147">
        <v>42.4</v>
      </c>
      <c r="M6" s="146"/>
      <c r="N6" s="147">
        <v>27</v>
      </c>
      <c r="O6" s="146"/>
      <c r="P6" s="147">
        <v>22.3</v>
      </c>
      <c r="Q6" s="146"/>
      <c r="R6" s="147">
        <v>18.1</v>
      </c>
      <c r="S6" s="146"/>
      <c r="T6" s="147">
        <v>14.8</v>
      </c>
      <c r="U6" s="146"/>
      <c r="V6" s="147">
        <v>11.7</v>
      </c>
      <c r="W6" s="146"/>
      <c r="X6" s="147">
        <v>10.9</v>
      </c>
    </row>
    <row r="7" ht="24" customHeight="1" spans="1:24">
      <c r="A7" s="245" t="s">
        <v>282</v>
      </c>
      <c r="B7" s="246" t="s">
        <v>17</v>
      </c>
      <c r="C7" s="146"/>
      <c r="D7" s="147">
        <v>-16</v>
      </c>
      <c r="E7" s="146"/>
      <c r="F7" s="147">
        <v>94.6</v>
      </c>
      <c r="G7" s="146"/>
      <c r="H7" s="147">
        <v>88.1</v>
      </c>
      <c r="I7" s="146"/>
      <c r="J7" s="147">
        <v>62.7</v>
      </c>
      <c r="K7" s="146"/>
      <c r="L7" s="147">
        <v>55.3</v>
      </c>
      <c r="M7" s="146"/>
      <c r="N7" s="147">
        <v>34.3</v>
      </c>
      <c r="O7" s="146"/>
      <c r="P7" s="147">
        <v>25.1</v>
      </c>
      <c r="Q7" s="146"/>
      <c r="R7" s="147">
        <v>20.2</v>
      </c>
      <c r="S7" s="146"/>
      <c r="T7" s="147">
        <v>17.3</v>
      </c>
      <c r="U7" s="146"/>
      <c r="V7" s="147">
        <v>15.1</v>
      </c>
      <c r="W7" s="146"/>
      <c r="X7" s="147">
        <v>22.8</v>
      </c>
    </row>
    <row r="8" ht="24" customHeight="1" spans="1:24">
      <c r="A8" s="245" t="s">
        <v>283</v>
      </c>
      <c r="B8" s="246" t="s">
        <v>17</v>
      </c>
      <c r="C8" s="146"/>
      <c r="D8" s="147">
        <v>-26.4</v>
      </c>
      <c r="E8" s="146"/>
      <c r="F8" s="147">
        <v>42.5</v>
      </c>
      <c r="G8" s="146"/>
      <c r="H8" s="147">
        <v>12.3</v>
      </c>
      <c r="I8" s="146"/>
      <c r="J8" s="147">
        <v>15.3</v>
      </c>
      <c r="K8" s="146"/>
      <c r="L8" s="147">
        <v>11</v>
      </c>
      <c r="M8" s="146"/>
      <c r="N8" s="147">
        <v>-1.6</v>
      </c>
      <c r="O8" s="146"/>
      <c r="P8" s="147">
        <v>5.7</v>
      </c>
      <c r="Q8" s="146"/>
      <c r="R8" s="147">
        <v>4.7</v>
      </c>
      <c r="S8" s="146"/>
      <c r="T8" s="147">
        <v>-1.1</v>
      </c>
      <c r="U8" s="146"/>
      <c r="V8" s="147">
        <v>-1.7</v>
      </c>
      <c r="W8" s="146"/>
      <c r="X8" s="147">
        <v>-5.1</v>
      </c>
    </row>
    <row r="9" ht="24" customHeight="1" spans="1:24">
      <c r="A9" s="245" t="s">
        <v>284</v>
      </c>
      <c r="B9" s="246" t="s">
        <v>17</v>
      </c>
      <c r="C9" s="146"/>
      <c r="D9" s="147">
        <v>12.7</v>
      </c>
      <c r="E9" s="146"/>
      <c r="F9" s="147">
        <v>0.6</v>
      </c>
      <c r="G9" s="146"/>
      <c r="H9" s="147">
        <v>9.4</v>
      </c>
      <c r="I9" s="146"/>
      <c r="J9" s="147">
        <v>5</v>
      </c>
      <c r="K9" s="146"/>
      <c r="L9" s="147">
        <v>0.2</v>
      </c>
      <c r="M9" s="146"/>
      <c r="N9" s="147">
        <v>-4.2</v>
      </c>
      <c r="O9" s="146"/>
      <c r="P9" s="147">
        <v>-8.7</v>
      </c>
      <c r="Q9" s="146"/>
      <c r="R9" s="147">
        <v>-10.6</v>
      </c>
      <c r="S9" s="146"/>
      <c r="T9" s="147">
        <v>-11.3</v>
      </c>
      <c r="U9" s="146"/>
      <c r="V9" s="147">
        <v>-12.4</v>
      </c>
      <c r="W9" s="146"/>
      <c r="X9" s="147">
        <v>-13.4</v>
      </c>
    </row>
    <row r="10" ht="24" customHeight="1" spans="1:24">
      <c r="A10" s="245" t="s">
        <v>285</v>
      </c>
      <c r="B10" s="246" t="s">
        <v>17</v>
      </c>
      <c r="C10" s="146"/>
      <c r="D10" s="147">
        <v>18.4</v>
      </c>
      <c r="E10" s="146"/>
      <c r="F10" s="147">
        <v>4.8</v>
      </c>
      <c r="G10" s="146"/>
      <c r="H10" s="147">
        <v>0</v>
      </c>
      <c r="I10" s="146"/>
      <c r="J10" s="147">
        <v>-10</v>
      </c>
      <c r="K10" s="146"/>
      <c r="L10" s="147">
        <v>-17.2</v>
      </c>
      <c r="M10" s="146"/>
      <c r="N10" s="147">
        <v>-19.2</v>
      </c>
      <c r="O10" s="146"/>
      <c r="P10" s="147">
        <v>-20.8</v>
      </c>
      <c r="Q10" s="146"/>
      <c r="R10" s="147">
        <v>-21.2</v>
      </c>
      <c r="S10" s="146"/>
      <c r="T10" s="147">
        <v>-22.6</v>
      </c>
      <c r="U10" s="146"/>
      <c r="V10" s="147">
        <v>-23.7</v>
      </c>
      <c r="W10" s="146"/>
      <c r="X10" s="147">
        <v>-25.8</v>
      </c>
    </row>
    <row r="11" ht="24" customHeight="1" spans="1:24">
      <c r="A11" s="245" t="s">
        <v>286</v>
      </c>
      <c r="B11" s="246" t="s">
        <v>17</v>
      </c>
      <c r="C11" s="146"/>
      <c r="D11" s="147">
        <v>17.2</v>
      </c>
      <c r="E11" s="146"/>
      <c r="F11" s="147">
        <v>20.8</v>
      </c>
      <c r="G11" s="146"/>
      <c r="H11" s="147">
        <v>46.3</v>
      </c>
      <c r="I11" s="146"/>
      <c r="J11" s="147">
        <v>47.2</v>
      </c>
      <c r="K11" s="146"/>
      <c r="L11" s="147">
        <v>43.7</v>
      </c>
      <c r="M11" s="146"/>
      <c r="N11" s="147">
        <v>37</v>
      </c>
      <c r="O11" s="146"/>
      <c r="P11" s="147">
        <v>25.6</v>
      </c>
      <c r="Q11" s="146"/>
      <c r="R11" s="147">
        <v>30.7</v>
      </c>
      <c r="S11" s="146"/>
      <c r="T11" s="147">
        <v>33.3</v>
      </c>
      <c r="U11" s="146"/>
      <c r="V11" s="147">
        <v>31</v>
      </c>
      <c r="W11" s="146"/>
      <c r="X11" s="147">
        <v>20.1</v>
      </c>
    </row>
    <row r="12" ht="24" customHeight="1" spans="1:24">
      <c r="A12" s="245" t="s">
        <v>287</v>
      </c>
      <c r="B12" s="246" t="s">
        <v>17</v>
      </c>
      <c r="C12" s="146"/>
      <c r="D12" s="147">
        <v>-37.6</v>
      </c>
      <c r="E12" s="146"/>
      <c r="F12" s="147">
        <v>-25.2</v>
      </c>
      <c r="G12" s="146"/>
      <c r="H12" s="147">
        <v>-35.6</v>
      </c>
      <c r="I12" s="146"/>
      <c r="J12" s="147">
        <v>-31.9</v>
      </c>
      <c r="K12" s="146"/>
      <c r="L12" s="147">
        <v>-30</v>
      </c>
      <c r="M12" s="146"/>
      <c r="N12" s="147">
        <v>-28.7</v>
      </c>
      <c r="O12" s="146"/>
      <c r="P12" s="147">
        <v>-27</v>
      </c>
      <c r="Q12" s="146"/>
      <c r="R12" s="147">
        <v>-26.8</v>
      </c>
      <c r="S12" s="146"/>
      <c r="T12" s="147">
        <v>-25.2</v>
      </c>
      <c r="U12" s="146"/>
      <c r="V12" s="147">
        <v>-24.8</v>
      </c>
      <c r="W12" s="146"/>
      <c r="X12" s="147">
        <v>-24.1</v>
      </c>
    </row>
    <row r="13" ht="24" customHeight="1" spans="1:24">
      <c r="A13" s="245" t="s">
        <v>288</v>
      </c>
      <c r="B13" s="246" t="s">
        <v>17</v>
      </c>
      <c r="C13" s="146"/>
      <c r="D13" s="147">
        <v>-61.4</v>
      </c>
      <c r="E13" s="146"/>
      <c r="F13" s="147">
        <v>-59.5</v>
      </c>
      <c r="G13" s="146"/>
      <c r="H13" s="147">
        <v>-41.3</v>
      </c>
      <c r="I13" s="146"/>
      <c r="J13" s="147">
        <v>-39.8</v>
      </c>
      <c r="K13" s="146"/>
      <c r="L13" s="147">
        <v>-34.1</v>
      </c>
      <c r="M13" s="146"/>
      <c r="N13" s="147">
        <v>-36</v>
      </c>
      <c r="O13" s="146"/>
      <c r="P13" s="147">
        <v>-32.2</v>
      </c>
      <c r="Q13" s="146"/>
      <c r="R13" s="147">
        <v>-30.6</v>
      </c>
      <c r="S13" s="146"/>
      <c r="T13" s="147">
        <v>-19.6</v>
      </c>
      <c r="U13" s="146"/>
      <c r="V13" s="147">
        <v>-17.7</v>
      </c>
      <c r="W13" s="146"/>
      <c r="X13" s="147">
        <v>-20.9</v>
      </c>
    </row>
    <row r="14" ht="24" customHeight="1" spans="1:24">
      <c r="A14" s="245" t="s">
        <v>289</v>
      </c>
      <c r="B14" s="246" t="s">
        <v>17</v>
      </c>
      <c r="C14" s="146"/>
      <c r="D14" s="147">
        <v>12.7</v>
      </c>
      <c r="E14" s="146"/>
      <c r="F14" s="147">
        <v>0.6</v>
      </c>
      <c r="G14" s="146"/>
      <c r="H14" s="147">
        <v>9.2</v>
      </c>
      <c r="I14" s="146"/>
      <c r="J14" s="147">
        <v>4.9</v>
      </c>
      <c r="K14" s="146"/>
      <c r="L14" s="147">
        <v>0</v>
      </c>
      <c r="M14" s="146"/>
      <c r="N14" s="147">
        <v>-4.3</v>
      </c>
      <c r="O14" s="146"/>
      <c r="P14" s="147">
        <v>-8.8</v>
      </c>
      <c r="Q14" s="146"/>
      <c r="R14" s="147">
        <v>-10.7</v>
      </c>
      <c r="S14" s="146"/>
      <c r="T14" s="147">
        <v>-11.4</v>
      </c>
      <c r="U14" s="146"/>
      <c r="V14" s="147">
        <v>-12.5</v>
      </c>
      <c r="W14" s="146"/>
      <c r="X14" s="147">
        <v>-13.4</v>
      </c>
    </row>
    <row r="15" ht="24" customHeight="1" spans="1:24">
      <c r="A15" s="245" t="s">
        <v>290</v>
      </c>
      <c r="B15" s="246" t="s">
        <v>17</v>
      </c>
      <c r="C15" s="146"/>
      <c r="D15" s="147">
        <v>-29.6</v>
      </c>
      <c r="E15" s="146"/>
      <c r="F15" s="147">
        <v>19.9</v>
      </c>
      <c r="G15" s="146"/>
      <c r="H15" s="147">
        <v>9.5</v>
      </c>
      <c r="I15" s="146"/>
      <c r="J15" s="147">
        <v>5.8</v>
      </c>
      <c r="K15" s="146"/>
      <c r="L15" s="147">
        <v>3.4</v>
      </c>
      <c r="M15" s="146"/>
      <c r="N15" s="147">
        <v>-4</v>
      </c>
      <c r="O15" s="146"/>
      <c r="P15" s="147">
        <v>-4</v>
      </c>
      <c r="Q15" s="146"/>
      <c r="R15" s="147">
        <v>-6.1</v>
      </c>
      <c r="S15" s="146"/>
      <c r="T15" s="147">
        <v>-6.8</v>
      </c>
      <c r="U15" s="146"/>
      <c r="V15" s="147">
        <v>-7.8</v>
      </c>
      <c r="W15" s="146"/>
      <c r="X15" s="147">
        <v>-8</v>
      </c>
    </row>
    <row r="16" ht="24" customHeight="1" spans="1:24">
      <c r="A16" s="247" t="s">
        <v>291</v>
      </c>
      <c r="B16" s="248" t="s">
        <v>175</v>
      </c>
      <c r="C16" s="249">
        <v>1483</v>
      </c>
      <c r="D16" s="197">
        <v>-2.3</v>
      </c>
      <c r="E16" s="249">
        <v>627</v>
      </c>
      <c r="F16" s="197">
        <v>11.4</v>
      </c>
      <c r="G16" s="249">
        <v>842</v>
      </c>
      <c r="H16" s="197">
        <v>17.6</v>
      </c>
      <c r="I16" s="249">
        <v>926</v>
      </c>
      <c r="J16" s="197">
        <v>13.2</v>
      </c>
      <c r="K16" s="249">
        <v>1001</v>
      </c>
      <c r="L16" s="197">
        <v>10.7</v>
      </c>
      <c r="M16" s="249">
        <v>1087</v>
      </c>
      <c r="N16" s="197">
        <v>8.1</v>
      </c>
      <c r="O16" s="249">
        <v>1149</v>
      </c>
      <c r="P16" s="197">
        <v>6.5</v>
      </c>
      <c r="Q16" s="249">
        <v>1193</v>
      </c>
      <c r="R16" s="197">
        <v>4.4</v>
      </c>
      <c r="S16" s="249">
        <v>1255</v>
      </c>
      <c r="T16" s="197">
        <v>4.2</v>
      </c>
      <c r="U16" s="249">
        <v>1303</v>
      </c>
      <c r="V16" s="197">
        <v>4.5</v>
      </c>
      <c r="W16" s="249">
        <v>1378</v>
      </c>
      <c r="X16" s="197">
        <v>4</v>
      </c>
    </row>
    <row r="17" ht="24" customHeight="1" spans="1:24">
      <c r="A17" s="245" t="s">
        <v>292</v>
      </c>
      <c r="B17" s="246" t="s">
        <v>175</v>
      </c>
      <c r="C17" s="250">
        <v>643</v>
      </c>
      <c r="D17" s="147">
        <v>4.2</v>
      </c>
      <c r="E17" s="250">
        <v>350</v>
      </c>
      <c r="F17" s="147">
        <v>12.2</v>
      </c>
      <c r="G17" s="250">
        <v>447</v>
      </c>
      <c r="H17" s="147">
        <v>17.3</v>
      </c>
      <c r="I17" s="250">
        <v>480</v>
      </c>
      <c r="J17" s="147">
        <v>13.2</v>
      </c>
      <c r="K17" s="250">
        <v>509</v>
      </c>
      <c r="L17" s="147">
        <v>10.9</v>
      </c>
      <c r="M17" s="250">
        <v>539</v>
      </c>
      <c r="N17" s="147">
        <v>5.9</v>
      </c>
      <c r="O17" s="250">
        <v>554</v>
      </c>
      <c r="P17" s="147">
        <v>3.9</v>
      </c>
      <c r="Q17" s="250">
        <v>562</v>
      </c>
      <c r="R17" s="147">
        <v>1.6</v>
      </c>
      <c r="S17" s="250">
        <v>578</v>
      </c>
      <c r="T17" s="147">
        <v>0.7</v>
      </c>
      <c r="U17" s="250">
        <v>590</v>
      </c>
      <c r="V17" s="147">
        <v>0.7</v>
      </c>
      <c r="W17" s="250">
        <v>611</v>
      </c>
      <c r="X17" s="147">
        <v>-0.2</v>
      </c>
    </row>
    <row r="18" ht="24" customHeight="1" spans="1:24">
      <c r="A18" s="245" t="s">
        <v>293</v>
      </c>
      <c r="B18" s="246" t="s">
        <v>175</v>
      </c>
      <c r="C18" s="250">
        <v>701</v>
      </c>
      <c r="D18" s="147">
        <v>7.7</v>
      </c>
      <c r="E18" s="250">
        <v>290</v>
      </c>
      <c r="F18" s="147">
        <v>7.4</v>
      </c>
      <c r="G18" s="250">
        <v>390</v>
      </c>
      <c r="H18" s="147">
        <v>15.7</v>
      </c>
      <c r="I18" s="250">
        <v>430</v>
      </c>
      <c r="J18" s="147">
        <v>11.4</v>
      </c>
      <c r="K18" s="250">
        <v>470</v>
      </c>
      <c r="L18" s="147">
        <v>11.1</v>
      </c>
      <c r="M18" s="250">
        <v>508</v>
      </c>
      <c r="N18" s="147">
        <v>12.1</v>
      </c>
      <c r="O18" s="250">
        <v>543</v>
      </c>
      <c r="P18" s="147">
        <v>9</v>
      </c>
      <c r="Q18" s="250">
        <v>571</v>
      </c>
      <c r="R18" s="147">
        <v>7.5</v>
      </c>
      <c r="S18" s="250">
        <v>603</v>
      </c>
      <c r="T18" s="147">
        <v>7.7</v>
      </c>
      <c r="U18" s="250">
        <v>628</v>
      </c>
      <c r="V18" s="147">
        <v>7.2</v>
      </c>
      <c r="W18" s="250">
        <v>663</v>
      </c>
      <c r="X18" s="147">
        <v>6.6</v>
      </c>
    </row>
    <row r="19" ht="24" customHeight="1" spans="1:24">
      <c r="A19" s="245" t="s">
        <v>294</v>
      </c>
      <c r="B19" s="246" t="s">
        <v>175</v>
      </c>
      <c r="C19" s="250">
        <v>844</v>
      </c>
      <c r="D19" s="147">
        <v>8.3</v>
      </c>
      <c r="E19" s="250">
        <v>678</v>
      </c>
      <c r="F19" s="147">
        <v>15.3</v>
      </c>
      <c r="G19" s="250">
        <v>718</v>
      </c>
      <c r="H19" s="147">
        <v>15.4</v>
      </c>
      <c r="I19" s="250">
        <v>736</v>
      </c>
      <c r="J19" s="147">
        <v>13.8</v>
      </c>
      <c r="K19" s="250">
        <v>762</v>
      </c>
      <c r="L19" s="147">
        <v>14.4</v>
      </c>
      <c r="M19" s="250">
        <v>791</v>
      </c>
      <c r="N19" s="147">
        <v>14.8</v>
      </c>
      <c r="O19" s="250">
        <v>818</v>
      </c>
      <c r="P19" s="147">
        <v>14.7</v>
      </c>
      <c r="Q19" s="250">
        <v>836</v>
      </c>
      <c r="R19" s="147">
        <v>14.5</v>
      </c>
      <c r="S19" s="250">
        <v>858</v>
      </c>
      <c r="T19" s="147">
        <v>15.3</v>
      </c>
      <c r="U19" s="250">
        <v>876</v>
      </c>
      <c r="V19" s="147">
        <v>14.7</v>
      </c>
      <c r="W19" s="250">
        <v>902</v>
      </c>
      <c r="X19" s="147">
        <v>14.5</v>
      </c>
    </row>
    <row r="20" ht="24" customHeight="1" spans="1:24">
      <c r="A20" s="245" t="s">
        <v>295</v>
      </c>
      <c r="B20" s="246" t="s">
        <v>175</v>
      </c>
      <c r="C20" s="250">
        <v>76</v>
      </c>
      <c r="D20" s="147">
        <v>18.8</v>
      </c>
      <c r="E20" s="250">
        <v>29</v>
      </c>
      <c r="F20" s="147">
        <v>-14.7</v>
      </c>
      <c r="G20" s="250">
        <v>32</v>
      </c>
      <c r="H20" s="147">
        <v>-20</v>
      </c>
      <c r="I20" s="250">
        <v>34</v>
      </c>
      <c r="J20" s="147">
        <v>-22.7272727272727</v>
      </c>
      <c r="K20" s="250">
        <v>38</v>
      </c>
      <c r="L20" s="147">
        <v>-29.6296296296296</v>
      </c>
      <c r="M20" s="250">
        <v>44</v>
      </c>
      <c r="N20" s="147">
        <v>-20</v>
      </c>
      <c r="O20" s="250">
        <v>49</v>
      </c>
      <c r="P20" s="147">
        <v>-10.9090909090909</v>
      </c>
      <c r="Q20" s="250">
        <v>49</v>
      </c>
      <c r="R20" s="147">
        <v>-12.5</v>
      </c>
      <c r="S20" s="250">
        <v>52</v>
      </c>
      <c r="T20" s="147">
        <v>-14.7540983606557</v>
      </c>
      <c r="U20" s="250">
        <v>54</v>
      </c>
      <c r="V20" s="147">
        <v>-18.1818181818182</v>
      </c>
      <c r="W20" s="250">
        <v>58</v>
      </c>
      <c r="X20" s="147">
        <v>-18.3098591549296</v>
      </c>
    </row>
    <row r="21" ht="24" customHeight="1" spans="1:24">
      <c r="A21" s="247" t="s">
        <v>296</v>
      </c>
      <c r="B21" s="248" t="s">
        <v>175</v>
      </c>
      <c r="C21" s="249">
        <v>360</v>
      </c>
      <c r="D21" s="197">
        <v>-6</v>
      </c>
      <c r="E21" s="249">
        <v>332</v>
      </c>
      <c r="F21" s="197">
        <v>-3.2</v>
      </c>
      <c r="G21" s="249">
        <v>336</v>
      </c>
      <c r="H21" s="197">
        <v>-2</v>
      </c>
      <c r="I21" s="249">
        <v>337</v>
      </c>
      <c r="J21" s="197">
        <v>-2.9</v>
      </c>
      <c r="K21" s="249">
        <v>339</v>
      </c>
      <c r="L21" s="197">
        <v>-3.1</v>
      </c>
      <c r="M21" s="249">
        <v>339</v>
      </c>
      <c r="N21" s="197">
        <v>-2.9</v>
      </c>
      <c r="O21" s="249">
        <v>340</v>
      </c>
      <c r="P21" s="197">
        <v>-3.1</v>
      </c>
      <c r="Q21" s="249">
        <v>340</v>
      </c>
      <c r="R21" s="197">
        <v>-3.7</v>
      </c>
      <c r="S21" s="249">
        <v>340</v>
      </c>
      <c r="T21" s="197">
        <v>-4.2</v>
      </c>
      <c r="U21" s="249">
        <v>340</v>
      </c>
      <c r="V21" s="197">
        <v>-4.5</v>
      </c>
      <c r="W21" s="249">
        <v>343</v>
      </c>
      <c r="X21" s="197">
        <v>-3.4</v>
      </c>
    </row>
    <row r="22" ht="24" customHeight="1" spans="1:24">
      <c r="A22" s="247" t="s">
        <v>297</v>
      </c>
      <c r="B22" s="248" t="s">
        <v>51</v>
      </c>
      <c r="C22" s="219">
        <v>3255.96</v>
      </c>
      <c r="D22" s="197">
        <v>-15</v>
      </c>
      <c r="E22" s="219">
        <v>2874.95</v>
      </c>
      <c r="F22" s="197">
        <v>-10.8</v>
      </c>
      <c r="G22" s="219">
        <v>2884.84</v>
      </c>
      <c r="H22" s="197">
        <v>-10.6</v>
      </c>
      <c r="I22" s="219">
        <v>2885.0734</v>
      </c>
      <c r="J22" s="197">
        <v>-10.9814418152635</v>
      </c>
      <c r="K22" s="219">
        <v>2896.83</v>
      </c>
      <c r="L22" s="197">
        <v>-11.1</v>
      </c>
      <c r="M22" s="219">
        <v>2922.07</v>
      </c>
      <c r="N22" s="197">
        <v>-10.5</v>
      </c>
      <c r="O22" s="219">
        <v>2952.33</v>
      </c>
      <c r="P22" s="197">
        <v>-9.7</v>
      </c>
      <c r="Q22" s="219">
        <v>2968.46</v>
      </c>
      <c r="R22" s="197">
        <v>-9.4</v>
      </c>
      <c r="S22" s="219">
        <v>2981.28</v>
      </c>
      <c r="T22" s="197">
        <v>-9.7</v>
      </c>
      <c r="U22" s="219">
        <v>3010.93</v>
      </c>
      <c r="V22" s="197">
        <v>-8.7</v>
      </c>
      <c r="W22" s="219">
        <v>3027.73</v>
      </c>
      <c r="X22" s="197">
        <v>-8.4</v>
      </c>
    </row>
    <row r="23" ht="24" customHeight="1" spans="1:24">
      <c r="A23" s="245" t="s">
        <v>298</v>
      </c>
      <c r="B23" s="246" t="s">
        <v>51</v>
      </c>
      <c r="C23" s="146">
        <v>2341.99</v>
      </c>
      <c r="D23" s="147">
        <v>-14.9</v>
      </c>
      <c r="E23" s="146">
        <v>2025.08</v>
      </c>
      <c r="F23" s="147">
        <v>-11.9</v>
      </c>
      <c r="G23" s="146">
        <v>2033.32</v>
      </c>
      <c r="H23" s="147">
        <v>-12</v>
      </c>
      <c r="I23" s="146">
        <v>2030.9314</v>
      </c>
      <c r="J23" s="147">
        <v>-12.5697103609168</v>
      </c>
      <c r="K23" s="146">
        <v>2037.28</v>
      </c>
      <c r="L23" s="147">
        <v>-12.8</v>
      </c>
      <c r="M23" s="146">
        <v>2060.14</v>
      </c>
      <c r="N23" s="147">
        <v>-11.9</v>
      </c>
      <c r="O23" s="146">
        <v>2087.61</v>
      </c>
      <c r="P23" s="147">
        <v>-10.8</v>
      </c>
      <c r="Q23" s="146">
        <v>2098.02</v>
      </c>
      <c r="R23" s="147">
        <v>-10.6</v>
      </c>
      <c r="S23" s="146">
        <v>2110.35</v>
      </c>
      <c r="T23" s="147">
        <v>-10.8</v>
      </c>
      <c r="U23" s="146">
        <v>2131.48</v>
      </c>
      <c r="V23" s="147">
        <v>-10.2</v>
      </c>
      <c r="W23" s="146">
        <v>2144.03</v>
      </c>
      <c r="X23" s="147">
        <v>-9.8</v>
      </c>
    </row>
    <row r="24" s="239" customFormat="1" ht="24" customHeight="1" spans="1:24">
      <c r="A24" s="247" t="s">
        <v>299</v>
      </c>
      <c r="B24" s="248" t="s">
        <v>51</v>
      </c>
      <c r="C24" s="251">
        <v>255.4</v>
      </c>
      <c r="D24" s="252">
        <v>-33.4</v>
      </c>
      <c r="E24" s="251">
        <v>47.35</v>
      </c>
      <c r="F24" s="252">
        <v>27.5</v>
      </c>
      <c r="G24" s="251">
        <v>68.63</v>
      </c>
      <c r="H24" s="252">
        <v>13.9</v>
      </c>
      <c r="I24" s="251">
        <v>89.2031</v>
      </c>
      <c r="J24" s="252">
        <v>9.50029338184568</v>
      </c>
      <c r="K24" s="251">
        <v>111.05</v>
      </c>
      <c r="L24" s="252">
        <v>6.5</v>
      </c>
      <c r="M24" s="251">
        <v>129.87</v>
      </c>
      <c r="N24" s="252">
        <v>7.1</v>
      </c>
      <c r="O24" s="251">
        <v>148.25</v>
      </c>
      <c r="P24" s="252">
        <v>6.6</v>
      </c>
      <c r="Q24" s="251">
        <v>167.83</v>
      </c>
      <c r="R24" s="252">
        <v>8.1</v>
      </c>
      <c r="S24" s="251">
        <v>188.33</v>
      </c>
      <c r="T24" s="252">
        <v>8.6</v>
      </c>
      <c r="U24" s="251">
        <v>211.24</v>
      </c>
      <c r="V24" s="252">
        <v>3.7</v>
      </c>
      <c r="W24" s="251">
        <v>226.61</v>
      </c>
      <c r="X24" s="252">
        <v>0.3</v>
      </c>
    </row>
    <row r="25" s="239" customFormat="1" ht="24" customHeight="1" spans="1:24">
      <c r="A25" s="253" t="s">
        <v>298</v>
      </c>
      <c r="B25" s="254" t="s">
        <v>51</v>
      </c>
      <c r="C25" s="255">
        <v>237.42</v>
      </c>
      <c r="D25" s="256">
        <v>-27.4</v>
      </c>
      <c r="E25" s="255">
        <v>43</v>
      </c>
      <c r="F25" s="256">
        <v>24.6</v>
      </c>
      <c r="G25" s="255">
        <v>63.31</v>
      </c>
      <c r="H25" s="256">
        <v>12</v>
      </c>
      <c r="I25" s="255">
        <v>81.6473</v>
      </c>
      <c r="J25" s="256">
        <v>6.58652069987819</v>
      </c>
      <c r="K25" s="255">
        <v>102.03</v>
      </c>
      <c r="L25" s="256">
        <v>3.9</v>
      </c>
      <c r="M25" s="255">
        <v>119.83</v>
      </c>
      <c r="N25" s="256">
        <v>5</v>
      </c>
      <c r="O25" s="255">
        <v>136.43</v>
      </c>
      <c r="P25" s="256">
        <v>3.4</v>
      </c>
      <c r="Q25" s="255">
        <v>154.94</v>
      </c>
      <c r="R25" s="256">
        <v>5.5</v>
      </c>
      <c r="S25" s="255">
        <v>174.15</v>
      </c>
      <c r="T25" s="256">
        <v>6.2</v>
      </c>
      <c r="U25" s="255">
        <v>194.68</v>
      </c>
      <c r="V25" s="256">
        <v>0.7</v>
      </c>
      <c r="W25" s="255">
        <v>208.91</v>
      </c>
      <c r="X25" s="256">
        <v>-2.3</v>
      </c>
    </row>
    <row r="26" s="239" customFormat="1" ht="24" customHeight="1" spans="1:24">
      <c r="A26" s="257" t="s">
        <v>300</v>
      </c>
      <c r="B26" s="258" t="s">
        <v>17</v>
      </c>
      <c r="C26" s="251">
        <v>229.04</v>
      </c>
      <c r="D26" s="252">
        <v>-34.4</v>
      </c>
      <c r="E26" s="251">
        <v>39.28</v>
      </c>
      <c r="F26" s="252">
        <v>19.5</v>
      </c>
      <c r="G26" s="251">
        <v>57.83</v>
      </c>
      <c r="H26" s="252">
        <v>6.1</v>
      </c>
      <c r="I26" s="251">
        <v>74.197</v>
      </c>
      <c r="J26" s="252">
        <v>0.515875918836244</v>
      </c>
      <c r="K26" s="251">
        <v>92.74</v>
      </c>
      <c r="L26" s="252">
        <v>-2</v>
      </c>
      <c r="M26" s="251">
        <v>108.42</v>
      </c>
      <c r="N26" s="252">
        <v>-1.6</v>
      </c>
      <c r="O26" s="251">
        <v>123.38</v>
      </c>
      <c r="P26" s="252">
        <v>-2.3</v>
      </c>
      <c r="Q26" s="251">
        <v>139.79</v>
      </c>
      <c r="R26" s="252">
        <v>-0.7</v>
      </c>
      <c r="S26" s="251">
        <v>156.22</v>
      </c>
      <c r="T26" s="252">
        <v>-0.7</v>
      </c>
      <c r="U26" s="251">
        <v>175.73</v>
      </c>
      <c r="V26" s="252">
        <v>-4.9</v>
      </c>
      <c r="W26" s="251">
        <v>188.93</v>
      </c>
      <c r="X26" s="252">
        <v>-7.9</v>
      </c>
    </row>
    <row r="27" s="239" customFormat="1" ht="24" customHeight="1" spans="1:24">
      <c r="A27" s="259" t="s">
        <v>298</v>
      </c>
      <c r="B27" s="260" t="s">
        <v>17</v>
      </c>
      <c r="C27" s="261">
        <v>214.79</v>
      </c>
      <c r="D27" s="262">
        <v>-28.7</v>
      </c>
      <c r="E27" s="261">
        <v>36.17</v>
      </c>
      <c r="F27" s="262">
        <v>19.9</v>
      </c>
      <c r="G27" s="261">
        <v>53.81</v>
      </c>
      <c r="H27" s="262">
        <v>6.4</v>
      </c>
      <c r="I27" s="261">
        <v>69.0485</v>
      </c>
      <c r="J27" s="262">
        <v>0.446746793053393</v>
      </c>
      <c r="K27" s="261">
        <v>86.6</v>
      </c>
      <c r="L27" s="262">
        <v>-1.8</v>
      </c>
      <c r="M27" s="261">
        <v>101.59</v>
      </c>
      <c r="N27" s="262">
        <v>-1</v>
      </c>
      <c r="O27" s="261">
        <v>115.32</v>
      </c>
      <c r="P27" s="262">
        <v>-2.8</v>
      </c>
      <c r="Q27" s="261">
        <v>130.81</v>
      </c>
      <c r="R27" s="262">
        <v>-1</v>
      </c>
      <c r="S27" s="261">
        <v>144.67</v>
      </c>
      <c r="T27" s="262">
        <v>-1.2</v>
      </c>
      <c r="U27" s="261">
        <v>163.71</v>
      </c>
      <c r="V27" s="262">
        <v>-6.2</v>
      </c>
      <c r="W27" s="261">
        <v>175.88</v>
      </c>
      <c r="X27" s="262">
        <v>-9</v>
      </c>
    </row>
    <row r="29" s="240" customFormat="1" ht="18" customHeight="1" spans="1:24">
      <c r="A29" s="263" t="s">
        <v>301</v>
      </c>
      <c r="B29" s="263"/>
      <c r="C29" s="263"/>
      <c r="D29" s="263"/>
      <c r="E29" s="263"/>
      <c r="F29" s="263"/>
      <c r="G29" s="263"/>
      <c r="H29" s="263"/>
      <c r="I29" s="263"/>
      <c r="J29" s="263"/>
      <c r="K29" s="263"/>
      <c r="L29" s="263"/>
      <c r="M29" s="263"/>
      <c r="N29" s="263"/>
      <c r="O29" s="263"/>
      <c r="P29" s="263"/>
      <c r="Q29" s="263"/>
      <c r="R29" s="263"/>
      <c r="S29" s="263"/>
      <c r="T29" s="263"/>
      <c r="U29" s="263"/>
      <c r="V29" s="263"/>
      <c r="W29" s="263"/>
      <c r="X29" s="263"/>
    </row>
  </sheetData>
  <mergeCells count="15">
    <mergeCell ref="A1:X1"/>
    <mergeCell ref="C2:D2"/>
    <mergeCell ref="E2:F2"/>
    <mergeCell ref="G2:H2"/>
    <mergeCell ref="I2:J2"/>
    <mergeCell ref="K2:L2"/>
    <mergeCell ref="M2:N2"/>
    <mergeCell ref="O2:P2"/>
    <mergeCell ref="Q2:R2"/>
    <mergeCell ref="S2:T2"/>
    <mergeCell ref="U2:V2"/>
    <mergeCell ref="W2:X2"/>
    <mergeCell ref="A29:X29"/>
    <mergeCell ref="A2:A3"/>
    <mergeCell ref="B2:B3"/>
  </mergeCells>
  <printOptions horizontalCentered="1"/>
  <pageMargins left="0.748031496062992" right="0.748031496062992" top="0.551181102362205" bottom="0.748031496062992" header="0.511811023622047" footer="0.511811023622047"/>
  <pageSetup paperSize="9" orientation="portrait" horizontalDpi="600"/>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FL31"/>
  <sheetViews>
    <sheetView zoomScale="90" zoomScaleNormal="90" workbookViewId="0">
      <pane xSplit="1" ySplit="3" topLeftCell="B4" activePane="bottomRight" state="frozen"/>
      <selection/>
      <selection pane="topRight"/>
      <selection pane="bottomLeft"/>
      <selection pane="bottomRight" activeCell="W11" sqref="B11:W11"/>
    </sheetView>
  </sheetViews>
  <sheetFormatPr defaultColWidth="9" defaultRowHeight="14.25"/>
  <cols>
    <col min="1" max="1" width="30.1416666666667" style="133" customWidth="1"/>
    <col min="2" max="23" width="8.88333333333333" style="133" customWidth="1"/>
    <col min="24" max="168" width="9" style="133"/>
    <col min="169" max="16384" width="9" style="134"/>
  </cols>
  <sheetData>
    <row r="1" ht="28.5" customHeight="1" spans="1:168">
      <c r="A1" s="135" t="s">
        <v>85</v>
      </c>
      <c r="B1" s="135"/>
      <c r="C1" s="135"/>
      <c r="D1" s="135"/>
      <c r="E1" s="135"/>
      <c r="F1" s="135"/>
      <c r="G1" s="135"/>
      <c r="H1" s="135"/>
      <c r="I1" s="135"/>
      <c r="J1" s="135"/>
      <c r="K1" s="135"/>
      <c r="L1" s="135"/>
      <c r="M1" s="135"/>
      <c r="N1" s="135"/>
      <c r="O1" s="135"/>
      <c r="P1" s="135"/>
      <c r="Q1" s="135"/>
      <c r="R1" s="135"/>
      <c r="S1" s="135"/>
      <c r="T1" s="135"/>
      <c r="U1" s="135"/>
      <c r="V1" s="135"/>
      <c r="W1" s="135"/>
    </row>
    <row r="2" ht="20.85" customHeight="1" spans="1:168">
      <c r="A2" s="136" t="s">
        <v>1</v>
      </c>
      <c r="B2" s="137" t="s">
        <v>3</v>
      </c>
      <c r="C2" s="138"/>
      <c r="D2" s="137" t="s">
        <v>4</v>
      </c>
      <c r="E2" s="138"/>
      <c r="F2" s="137" t="s">
        <v>5</v>
      </c>
      <c r="G2" s="138"/>
      <c r="H2" s="137" t="s">
        <v>6</v>
      </c>
      <c r="I2" s="138"/>
      <c r="J2" s="137" t="s">
        <v>7</v>
      </c>
      <c r="K2" s="138"/>
      <c r="L2" s="137" t="s">
        <v>8</v>
      </c>
      <c r="M2" s="138"/>
      <c r="N2" s="137" t="s">
        <v>9</v>
      </c>
      <c r="O2" s="138"/>
      <c r="P2" s="137" t="s">
        <v>10</v>
      </c>
      <c r="Q2" s="138"/>
      <c r="R2" s="137" t="s">
        <v>11</v>
      </c>
      <c r="S2" s="138"/>
      <c r="T2" s="137" t="s">
        <v>12</v>
      </c>
      <c r="U2" s="138"/>
      <c r="V2" s="137" t="s">
        <v>13</v>
      </c>
      <c r="W2" s="138"/>
    </row>
    <row r="3" ht="20.85" customHeight="1" spans="1:168">
      <c r="A3" s="139"/>
      <c r="B3" s="140" t="s">
        <v>14</v>
      </c>
      <c r="C3" s="141" t="s">
        <v>15</v>
      </c>
      <c r="D3" s="140" t="s">
        <v>14</v>
      </c>
      <c r="E3" s="141" t="s">
        <v>15</v>
      </c>
      <c r="F3" s="140" t="s">
        <v>14</v>
      </c>
      <c r="G3" s="141" t="s">
        <v>15</v>
      </c>
      <c r="H3" s="140" t="s">
        <v>14</v>
      </c>
      <c r="I3" s="141" t="s">
        <v>15</v>
      </c>
      <c r="J3" s="140" t="s">
        <v>14</v>
      </c>
      <c r="K3" s="141" t="s">
        <v>15</v>
      </c>
      <c r="L3" s="140" t="s">
        <v>14</v>
      </c>
      <c r="M3" s="141" t="s">
        <v>15</v>
      </c>
      <c r="N3" s="140" t="s">
        <v>14</v>
      </c>
      <c r="O3" s="141" t="s">
        <v>15</v>
      </c>
      <c r="P3" s="140" t="s">
        <v>14</v>
      </c>
      <c r="Q3" s="141" t="s">
        <v>15</v>
      </c>
      <c r="R3" s="140" t="s">
        <v>14</v>
      </c>
      <c r="S3" s="141" t="s">
        <v>15</v>
      </c>
      <c r="T3" s="140" t="s">
        <v>14</v>
      </c>
      <c r="U3" s="141" t="s">
        <v>15</v>
      </c>
      <c r="V3" s="140" t="s">
        <v>14</v>
      </c>
      <c r="W3" s="141" t="s">
        <v>15</v>
      </c>
    </row>
    <row r="4" s="220" customFormat="1" ht="20.85" customHeight="1" spans="1:168">
      <c r="A4" s="221" t="s">
        <v>302</v>
      </c>
      <c r="B4" s="222">
        <v>1987.45464</v>
      </c>
      <c r="C4" s="223">
        <v>1.53</v>
      </c>
      <c r="D4" s="222">
        <v>259.8447</v>
      </c>
      <c r="E4" s="223">
        <v>1.01</v>
      </c>
      <c r="F4" s="222">
        <v>381.62659</v>
      </c>
      <c r="G4" s="223">
        <v>1.6495</v>
      </c>
      <c r="H4" s="222">
        <v>504.339</v>
      </c>
      <c r="I4" s="223">
        <v>1.84</v>
      </c>
      <c r="J4" s="222">
        <v>626.5142</v>
      </c>
      <c r="K4" s="223">
        <v>2.06</v>
      </c>
      <c r="L4" s="222">
        <v>763.1877</v>
      </c>
      <c r="M4" s="223">
        <v>4.3</v>
      </c>
      <c r="N4" s="222">
        <v>902.3366</v>
      </c>
      <c r="O4" s="223">
        <v>4.08</v>
      </c>
      <c r="P4" s="222">
        <v>1037.31704</v>
      </c>
      <c r="Q4" s="223">
        <v>3.65</v>
      </c>
      <c r="R4" s="222">
        <v>1184.7481</v>
      </c>
      <c r="S4" s="223">
        <v>3.31</v>
      </c>
      <c r="T4" s="222">
        <v>1334.5605</v>
      </c>
      <c r="U4" s="223">
        <v>3.3</v>
      </c>
      <c r="V4" s="222">
        <v>1486.47006</v>
      </c>
      <c r="W4" s="223">
        <v>3.14</v>
      </c>
      <c r="X4" s="224"/>
      <c r="Y4" s="224"/>
      <c r="Z4" s="224"/>
      <c r="AA4" s="224"/>
      <c r="AB4" s="224"/>
      <c r="AC4" s="224"/>
      <c r="AD4" s="224"/>
      <c r="AE4" s="224"/>
      <c r="AF4" s="224"/>
      <c r="AG4" s="224"/>
      <c r="AH4" s="224"/>
      <c r="AI4" s="224"/>
      <c r="AJ4" s="224"/>
      <c r="AK4" s="224"/>
      <c r="AL4" s="224"/>
      <c r="AM4" s="224"/>
      <c r="AN4" s="224"/>
      <c r="AO4" s="224"/>
      <c r="AP4" s="224"/>
      <c r="AQ4" s="224"/>
      <c r="AR4" s="224"/>
      <c r="AS4" s="224"/>
      <c r="AT4" s="224"/>
      <c r="AU4" s="224"/>
      <c r="AV4" s="224"/>
      <c r="AW4" s="224"/>
      <c r="AX4" s="224"/>
      <c r="AY4" s="224"/>
      <c r="AZ4" s="224"/>
      <c r="BA4" s="224"/>
      <c r="BB4" s="224"/>
      <c r="BC4" s="224"/>
      <c r="BD4" s="224"/>
      <c r="BE4" s="224"/>
      <c r="BF4" s="224"/>
      <c r="BG4" s="224"/>
      <c r="BH4" s="224"/>
      <c r="BI4" s="224"/>
      <c r="BJ4" s="224"/>
      <c r="BK4" s="224"/>
      <c r="BL4" s="224"/>
      <c r="BM4" s="224"/>
      <c r="BN4" s="224"/>
      <c r="BO4" s="224"/>
      <c r="BP4" s="224"/>
      <c r="BQ4" s="224"/>
      <c r="BR4" s="224"/>
      <c r="BS4" s="224"/>
      <c r="BT4" s="224"/>
      <c r="BU4" s="224"/>
      <c r="BV4" s="224"/>
      <c r="BW4" s="224"/>
      <c r="BX4" s="224"/>
      <c r="BY4" s="224"/>
      <c r="BZ4" s="224"/>
      <c r="CA4" s="224"/>
      <c r="CB4" s="224"/>
      <c r="CC4" s="224"/>
      <c r="CD4" s="224"/>
      <c r="CE4" s="224"/>
      <c r="CF4" s="224"/>
      <c r="CG4" s="224"/>
      <c r="CH4" s="224"/>
      <c r="CI4" s="224"/>
      <c r="CJ4" s="224"/>
      <c r="CK4" s="224"/>
      <c r="CL4" s="224"/>
      <c r="CM4" s="224"/>
      <c r="CN4" s="224"/>
      <c r="CO4" s="224"/>
      <c r="CP4" s="224"/>
      <c r="CQ4" s="224"/>
      <c r="CR4" s="224"/>
      <c r="CS4" s="224"/>
      <c r="CT4" s="224"/>
      <c r="CU4" s="224"/>
      <c r="CV4" s="224"/>
      <c r="CW4" s="224"/>
      <c r="CX4" s="224"/>
      <c r="CY4" s="224"/>
      <c r="CZ4" s="224"/>
      <c r="DA4" s="224"/>
      <c r="DB4" s="224"/>
      <c r="DC4" s="224"/>
      <c r="DD4" s="224"/>
      <c r="DE4" s="224"/>
      <c r="DF4" s="224"/>
      <c r="DG4" s="224"/>
      <c r="DH4" s="224"/>
      <c r="DI4" s="224"/>
      <c r="DJ4" s="224"/>
      <c r="DK4" s="224"/>
      <c r="DL4" s="224"/>
      <c r="DM4" s="224"/>
      <c r="DN4" s="224"/>
      <c r="DO4" s="224"/>
      <c r="DP4" s="224"/>
      <c r="DQ4" s="224"/>
      <c r="DR4" s="224"/>
      <c r="DS4" s="224"/>
      <c r="DT4" s="224"/>
      <c r="DU4" s="224"/>
      <c r="DV4" s="224"/>
      <c r="DW4" s="224"/>
      <c r="DX4" s="224"/>
      <c r="DY4" s="224"/>
      <c r="DZ4" s="224"/>
      <c r="EA4" s="224"/>
      <c r="EB4" s="224"/>
      <c r="EC4" s="224"/>
      <c r="ED4" s="224"/>
      <c r="EE4" s="224"/>
      <c r="EF4" s="224"/>
      <c r="EG4" s="224"/>
      <c r="EH4" s="224"/>
      <c r="EI4" s="224"/>
      <c r="EJ4" s="224"/>
      <c r="EK4" s="224"/>
      <c r="EL4" s="224"/>
      <c r="EM4" s="224"/>
      <c r="EN4" s="224"/>
      <c r="EO4" s="224"/>
      <c r="EP4" s="224"/>
      <c r="EQ4" s="224"/>
      <c r="ER4" s="224"/>
      <c r="ES4" s="224"/>
      <c r="ET4" s="224"/>
      <c r="EU4" s="224"/>
      <c r="EV4" s="224"/>
      <c r="EW4" s="224"/>
      <c r="EX4" s="224"/>
      <c r="EY4" s="224"/>
      <c r="EZ4" s="224"/>
      <c r="FA4" s="224"/>
      <c r="FB4" s="224"/>
      <c r="FC4" s="224"/>
      <c r="FD4" s="224"/>
      <c r="FE4" s="224"/>
      <c r="FF4" s="224"/>
      <c r="FG4" s="224"/>
      <c r="FH4" s="224"/>
      <c r="FI4" s="224"/>
      <c r="FJ4" s="224"/>
      <c r="FK4" s="224"/>
      <c r="FL4" s="224"/>
    </row>
    <row r="5" s="220" customFormat="1" ht="20.85" customHeight="1" spans="1:168">
      <c r="A5" s="225" t="s">
        <v>303</v>
      </c>
      <c r="B5" s="226"/>
      <c r="C5" s="227"/>
      <c r="D5" s="226"/>
      <c r="E5" s="227"/>
      <c r="F5" s="226"/>
      <c r="G5" s="227"/>
      <c r="H5" s="226"/>
      <c r="I5" s="227"/>
      <c r="J5" s="226"/>
      <c r="K5" s="227"/>
      <c r="L5" s="226"/>
      <c r="M5" s="227"/>
      <c r="N5" s="226"/>
      <c r="O5" s="227"/>
      <c r="P5" s="226"/>
      <c r="Q5" s="227"/>
      <c r="R5" s="226"/>
      <c r="S5" s="227"/>
      <c r="T5" s="226"/>
      <c r="U5" s="227"/>
      <c r="V5" s="226"/>
      <c r="W5" s="227"/>
      <c r="X5" s="224"/>
      <c r="Y5" s="224"/>
      <c r="Z5" s="224"/>
      <c r="AA5" s="224"/>
      <c r="AB5" s="224"/>
      <c r="AC5" s="224"/>
      <c r="AD5" s="224"/>
      <c r="AE5" s="224"/>
      <c r="AF5" s="224"/>
      <c r="AG5" s="224"/>
      <c r="AH5" s="224"/>
      <c r="AI5" s="224"/>
      <c r="AJ5" s="224"/>
      <c r="AK5" s="224"/>
      <c r="AL5" s="224"/>
      <c r="AM5" s="224"/>
      <c r="AN5" s="224"/>
      <c r="AO5" s="224"/>
      <c r="AP5" s="224"/>
      <c r="AQ5" s="224"/>
      <c r="AR5" s="224"/>
      <c r="AS5" s="224"/>
      <c r="AT5" s="224"/>
      <c r="AU5" s="224"/>
      <c r="AV5" s="224"/>
      <c r="AW5" s="224"/>
      <c r="AX5" s="224"/>
      <c r="AY5" s="224"/>
      <c r="AZ5" s="224"/>
      <c r="BA5" s="224"/>
      <c r="BB5" s="224"/>
      <c r="BC5" s="224"/>
      <c r="BD5" s="224"/>
      <c r="BE5" s="224"/>
      <c r="BF5" s="224"/>
      <c r="BG5" s="224"/>
      <c r="BH5" s="224"/>
      <c r="BI5" s="224"/>
      <c r="BJ5" s="224"/>
      <c r="BK5" s="224"/>
      <c r="BL5" s="224"/>
      <c r="BM5" s="224"/>
      <c r="BN5" s="224"/>
      <c r="BO5" s="224"/>
      <c r="BP5" s="224"/>
      <c r="BQ5" s="224"/>
      <c r="BR5" s="224"/>
      <c r="BS5" s="224"/>
      <c r="BT5" s="224"/>
      <c r="BU5" s="224"/>
      <c r="BV5" s="224"/>
      <c r="BW5" s="224"/>
      <c r="BX5" s="224"/>
      <c r="BY5" s="224"/>
      <c r="BZ5" s="224"/>
      <c r="CA5" s="224"/>
      <c r="CB5" s="224"/>
      <c r="CC5" s="224"/>
      <c r="CD5" s="224"/>
      <c r="CE5" s="224"/>
      <c r="CF5" s="224"/>
      <c r="CG5" s="224"/>
      <c r="CH5" s="224"/>
      <c r="CI5" s="224"/>
      <c r="CJ5" s="224"/>
      <c r="CK5" s="224"/>
      <c r="CL5" s="224"/>
      <c r="CM5" s="224"/>
      <c r="CN5" s="224"/>
      <c r="CO5" s="224"/>
      <c r="CP5" s="224"/>
      <c r="CQ5" s="224"/>
      <c r="CR5" s="224"/>
      <c r="CS5" s="224"/>
      <c r="CT5" s="224"/>
      <c r="CU5" s="224"/>
      <c r="CV5" s="224"/>
      <c r="CW5" s="224"/>
      <c r="CX5" s="224"/>
      <c r="CY5" s="224"/>
      <c r="CZ5" s="224"/>
      <c r="DA5" s="224"/>
      <c r="DB5" s="224"/>
      <c r="DC5" s="224"/>
      <c r="DD5" s="224"/>
      <c r="DE5" s="224"/>
      <c r="DF5" s="224"/>
      <c r="DG5" s="224"/>
      <c r="DH5" s="224"/>
      <c r="DI5" s="224"/>
      <c r="DJ5" s="224"/>
      <c r="DK5" s="224"/>
      <c r="DL5" s="224"/>
      <c r="DM5" s="224"/>
      <c r="DN5" s="224"/>
      <c r="DO5" s="224"/>
      <c r="DP5" s="224"/>
      <c r="DQ5" s="224"/>
      <c r="DR5" s="224"/>
      <c r="DS5" s="224"/>
      <c r="DT5" s="224"/>
      <c r="DU5" s="224"/>
      <c r="DV5" s="224"/>
      <c r="DW5" s="224"/>
      <c r="DX5" s="224"/>
      <c r="DY5" s="224"/>
      <c r="DZ5" s="224"/>
      <c r="EA5" s="224"/>
      <c r="EB5" s="224"/>
      <c r="EC5" s="224"/>
      <c r="ED5" s="224"/>
      <c r="EE5" s="224"/>
      <c r="EF5" s="224"/>
      <c r="EG5" s="224"/>
      <c r="EH5" s="224"/>
      <c r="EI5" s="224"/>
      <c r="EJ5" s="224"/>
      <c r="EK5" s="224"/>
      <c r="EL5" s="224"/>
      <c r="EM5" s="224"/>
      <c r="EN5" s="224"/>
      <c r="EO5" s="224"/>
      <c r="EP5" s="224"/>
      <c r="EQ5" s="224"/>
      <c r="ER5" s="224"/>
      <c r="ES5" s="224"/>
      <c r="ET5" s="224"/>
      <c r="EU5" s="224"/>
      <c r="EV5" s="224"/>
      <c r="EW5" s="224"/>
      <c r="EX5" s="224"/>
      <c r="EY5" s="224"/>
      <c r="EZ5" s="224"/>
      <c r="FA5" s="224"/>
      <c r="FB5" s="224"/>
      <c r="FC5" s="224"/>
      <c r="FD5" s="224"/>
      <c r="FE5" s="224"/>
      <c r="FF5" s="224"/>
      <c r="FG5" s="224"/>
      <c r="FH5" s="224"/>
      <c r="FI5" s="224"/>
      <c r="FJ5" s="224"/>
      <c r="FK5" s="224"/>
      <c r="FL5" s="224"/>
    </row>
    <row r="6" ht="21" customHeight="1" spans="1:168">
      <c r="A6" s="228" t="s">
        <v>304</v>
      </c>
      <c r="B6" s="229">
        <v>1602.89825</v>
      </c>
      <c r="C6" s="230">
        <v>1.43</v>
      </c>
      <c r="D6" s="229">
        <v>209.03322</v>
      </c>
      <c r="E6" s="230">
        <v>0.75</v>
      </c>
      <c r="F6" s="229">
        <v>304.89247</v>
      </c>
      <c r="G6" s="230">
        <v>1.46</v>
      </c>
      <c r="H6" s="229">
        <v>403.72916</v>
      </c>
      <c r="I6" s="230">
        <v>1.67</v>
      </c>
      <c r="J6" s="229">
        <v>501.99729</v>
      </c>
      <c r="K6" s="230">
        <v>1.87</v>
      </c>
      <c r="L6" s="229">
        <v>615.22684</v>
      </c>
      <c r="M6" s="230">
        <v>4.66</v>
      </c>
      <c r="N6" s="229">
        <v>727.65662</v>
      </c>
      <c r="O6" s="230">
        <v>4.41</v>
      </c>
      <c r="P6" s="229">
        <v>836.36322</v>
      </c>
      <c r="Q6" s="230">
        <v>3.91</v>
      </c>
      <c r="R6" s="229">
        <v>954.90281</v>
      </c>
      <c r="S6" s="230">
        <v>3.5</v>
      </c>
      <c r="T6" s="229">
        <v>1075.7554</v>
      </c>
      <c r="U6" s="230">
        <v>3.46</v>
      </c>
      <c r="V6" s="229">
        <v>1198.26246</v>
      </c>
      <c r="W6" s="230">
        <v>3.29</v>
      </c>
    </row>
    <row r="7" ht="21" customHeight="1" spans="1:168">
      <c r="A7" s="228" t="s">
        <v>305</v>
      </c>
      <c r="B7" s="229">
        <v>384.55639</v>
      </c>
      <c r="C7" s="230">
        <v>1.93</v>
      </c>
      <c r="D7" s="229">
        <v>50.81148</v>
      </c>
      <c r="E7" s="230">
        <v>2.08</v>
      </c>
      <c r="F7" s="229">
        <v>76.73412</v>
      </c>
      <c r="G7" s="230">
        <v>2.39</v>
      </c>
      <c r="H7" s="229">
        <v>100.60984</v>
      </c>
      <c r="I7" s="230">
        <v>2.54</v>
      </c>
      <c r="J7" s="229">
        <v>124.51691</v>
      </c>
      <c r="K7" s="230">
        <v>2.85</v>
      </c>
      <c r="L7" s="229">
        <v>147.96086</v>
      </c>
      <c r="M7" s="230">
        <v>2.86</v>
      </c>
      <c r="N7" s="229">
        <v>174.67998</v>
      </c>
      <c r="O7" s="230">
        <v>2.74</v>
      </c>
      <c r="P7" s="229">
        <v>200.95382</v>
      </c>
      <c r="Q7" s="230">
        <v>2.58</v>
      </c>
      <c r="R7" s="229">
        <v>229.84529</v>
      </c>
      <c r="S7" s="230">
        <v>2.54</v>
      </c>
      <c r="T7" s="229">
        <v>258.8051</v>
      </c>
      <c r="U7" s="230">
        <v>2.6</v>
      </c>
      <c r="V7" s="229">
        <v>288.2076</v>
      </c>
      <c r="W7" s="230">
        <v>2.52</v>
      </c>
    </row>
    <row r="8" ht="21" customHeight="1" spans="1:168">
      <c r="A8" s="225" t="s">
        <v>306</v>
      </c>
      <c r="B8" s="229"/>
      <c r="C8" s="231"/>
      <c r="D8" s="229"/>
      <c r="E8" s="231"/>
      <c r="F8" s="229"/>
      <c r="G8" s="231"/>
      <c r="H8" s="229"/>
      <c r="I8" s="231"/>
      <c r="J8" s="229"/>
      <c r="K8" s="231"/>
      <c r="L8" s="229"/>
      <c r="M8" s="231"/>
      <c r="N8" s="229"/>
      <c r="O8" s="231"/>
      <c r="P8" s="229"/>
      <c r="Q8" s="231"/>
      <c r="R8" s="229"/>
      <c r="S8" s="231"/>
      <c r="T8" s="229"/>
      <c r="U8" s="231"/>
      <c r="V8" s="229"/>
      <c r="W8" s="231"/>
    </row>
    <row r="9" ht="21" customHeight="1" spans="1:168">
      <c r="A9" s="228" t="s">
        <v>307</v>
      </c>
      <c r="B9" s="232">
        <v>1738.4543</v>
      </c>
      <c r="C9" s="230">
        <v>1.5</v>
      </c>
      <c r="D9" s="232">
        <v>227.47418</v>
      </c>
      <c r="E9" s="230">
        <v>1.09</v>
      </c>
      <c r="F9" s="232">
        <v>335.00738</v>
      </c>
      <c r="G9" s="230">
        <v>1.76</v>
      </c>
      <c r="H9" s="232">
        <v>442.41886</v>
      </c>
      <c r="I9" s="230">
        <v>1.94</v>
      </c>
      <c r="J9" s="232">
        <v>549.29448</v>
      </c>
      <c r="K9" s="230">
        <v>2.15</v>
      </c>
      <c r="L9" s="232">
        <v>671.16205</v>
      </c>
      <c r="M9" s="230">
        <v>4.71</v>
      </c>
      <c r="N9" s="232">
        <v>793.30443</v>
      </c>
      <c r="O9" s="230">
        <v>4.48</v>
      </c>
      <c r="P9" s="232">
        <v>911.58007</v>
      </c>
      <c r="Q9" s="230">
        <v>4.02</v>
      </c>
      <c r="R9" s="232">
        <v>1040.75701</v>
      </c>
      <c r="S9" s="230">
        <v>3.66</v>
      </c>
      <c r="T9" s="232">
        <v>1171.99189</v>
      </c>
      <c r="U9" s="230">
        <v>3.62</v>
      </c>
      <c r="V9" s="232">
        <v>1304.96891</v>
      </c>
      <c r="W9" s="230">
        <v>3.44</v>
      </c>
    </row>
    <row r="10" ht="21" customHeight="1" spans="1:168">
      <c r="A10" s="228" t="s">
        <v>308</v>
      </c>
      <c r="B10" s="232">
        <v>249.00034</v>
      </c>
      <c r="C10" s="230">
        <v>1.71</v>
      </c>
      <c r="D10" s="232">
        <v>32.37052</v>
      </c>
      <c r="E10" s="230">
        <v>0.43</v>
      </c>
      <c r="F10" s="232">
        <v>46.61921</v>
      </c>
      <c r="G10" s="230">
        <v>0.84</v>
      </c>
      <c r="H10" s="232">
        <v>61.92014</v>
      </c>
      <c r="I10" s="230">
        <v>1.11</v>
      </c>
      <c r="J10" s="232">
        <v>77.21972</v>
      </c>
      <c r="K10" s="230">
        <v>1.47</v>
      </c>
      <c r="L10" s="232">
        <v>92.02565</v>
      </c>
      <c r="M10" s="230">
        <v>1.43</v>
      </c>
      <c r="N10" s="232">
        <v>109.03217</v>
      </c>
      <c r="O10" s="230">
        <v>1.26</v>
      </c>
      <c r="P10" s="232">
        <v>125.73697</v>
      </c>
      <c r="Q10" s="230">
        <v>1.04</v>
      </c>
      <c r="R10" s="232">
        <v>143.99109</v>
      </c>
      <c r="S10" s="230">
        <v>0.88</v>
      </c>
      <c r="T10" s="232">
        <v>162.56861</v>
      </c>
      <c r="U10" s="230">
        <v>1.02</v>
      </c>
      <c r="V10" s="232">
        <v>181.50115</v>
      </c>
      <c r="W10" s="230">
        <v>1.05</v>
      </c>
    </row>
    <row r="11" s="220" customFormat="1" ht="21" customHeight="1" spans="1:168">
      <c r="A11" s="225" t="s">
        <v>309</v>
      </c>
      <c r="B11" s="226"/>
      <c r="C11" s="233"/>
      <c r="D11" s="226"/>
      <c r="E11" s="233"/>
      <c r="F11" s="226"/>
      <c r="G11" s="233"/>
      <c r="H11" s="226"/>
      <c r="I11" s="233"/>
      <c r="J11" s="226"/>
      <c r="K11" s="233"/>
      <c r="L11" s="226"/>
      <c r="M11" s="233"/>
      <c r="N11" s="226"/>
      <c r="O11" s="233"/>
      <c r="P11" s="226"/>
      <c r="Q11" s="233"/>
      <c r="R11" s="226"/>
      <c r="S11" s="233"/>
      <c r="T11" s="226"/>
      <c r="U11" s="233"/>
      <c r="V11" s="226"/>
      <c r="W11" s="233"/>
      <c r="X11" s="224"/>
      <c r="Y11" s="224"/>
      <c r="Z11" s="224"/>
      <c r="AA11" s="224"/>
      <c r="AB11" s="224"/>
      <c r="AC11" s="224"/>
      <c r="AD11" s="224"/>
      <c r="AE11" s="224"/>
      <c r="AF11" s="224"/>
      <c r="AG11" s="224"/>
      <c r="AH11" s="224"/>
      <c r="AI11" s="224"/>
      <c r="AJ11" s="224"/>
      <c r="AK11" s="224"/>
      <c r="AL11" s="224"/>
      <c r="AM11" s="224"/>
      <c r="AN11" s="224"/>
      <c r="AO11" s="224"/>
      <c r="AP11" s="224"/>
      <c r="AQ11" s="224"/>
      <c r="AR11" s="224"/>
      <c r="AS11" s="224"/>
      <c r="AT11" s="224"/>
      <c r="AU11" s="224"/>
      <c r="AV11" s="224"/>
      <c r="AW11" s="224"/>
      <c r="AX11" s="224"/>
      <c r="AY11" s="224"/>
      <c r="AZ11" s="224"/>
      <c r="BA11" s="224"/>
      <c r="BB11" s="224"/>
      <c r="BC11" s="224"/>
      <c r="BD11" s="224"/>
      <c r="BE11" s="224"/>
      <c r="BF11" s="224"/>
      <c r="BG11" s="224"/>
      <c r="BH11" s="224"/>
      <c r="BI11" s="224"/>
      <c r="BJ11" s="224"/>
      <c r="BK11" s="224"/>
      <c r="BL11" s="224"/>
      <c r="BM11" s="224"/>
      <c r="BN11" s="224"/>
      <c r="BO11" s="224"/>
      <c r="BP11" s="224"/>
      <c r="BQ11" s="224"/>
      <c r="BR11" s="224"/>
      <c r="BS11" s="224"/>
      <c r="BT11" s="224"/>
      <c r="BU11" s="224"/>
      <c r="BV11" s="224"/>
      <c r="BW11" s="224"/>
      <c r="BX11" s="224"/>
      <c r="BY11" s="224"/>
      <c r="BZ11" s="224"/>
      <c r="CA11" s="224"/>
      <c r="CB11" s="224"/>
      <c r="CC11" s="224"/>
      <c r="CD11" s="224"/>
      <c r="CE11" s="224"/>
      <c r="CF11" s="224"/>
      <c r="CG11" s="224"/>
      <c r="CH11" s="224"/>
      <c r="CI11" s="224"/>
      <c r="CJ11" s="224"/>
      <c r="CK11" s="224"/>
      <c r="CL11" s="224"/>
      <c r="CM11" s="224"/>
      <c r="CN11" s="224"/>
      <c r="CO11" s="224"/>
      <c r="CP11" s="224"/>
      <c r="CQ11" s="224"/>
      <c r="CR11" s="224"/>
      <c r="CS11" s="224"/>
      <c r="CT11" s="224"/>
      <c r="CU11" s="224"/>
      <c r="CV11" s="224"/>
      <c r="CW11" s="224"/>
      <c r="CX11" s="224"/>
      <c r="CY11" s="224"/>
      <c r="CZ11" s="224"/>
      <c r="DA11" s="224"/>
      <c r="DB11" s="224"/>
      <c r="DC11" s="224"/>
      <c r="DD11" s="224"/>
      <c r="DE11" s="224"/>
      <c r="DF11" s="224"/>
      <c r="DG11" s="224"/>
      <c r="DH11" s="224"/>
      <c r="DI11" s="224"/>
      <c r="DJ11" s="224"/>
      <c r="DK11" s="224"/>
      <c r="DL11" s="224"/>
      <c r="DM11" s="224"/>
      <c r="DN11" s="224"/>
      <c r="DO11" s="224"/>
      <c r="DP11" s="224"/>
      <c r="DQ11" s="224"/>
      <c r="DR11" s="224"/>
      <c r="DS11" s="224"/>
      <c r="DT11" s="224"/>
      <c r="DU11" s="224"/>
      <c r="DV11" s="224"/>
      <c r="DW11" s="224"/>
      <c r="DX11" s="224"/>
      <c r="DY11" s="224"/>
      <c r="DZ11" s="224"/>
      <c r="EA11" s="224"/>
      <c r="EB11" s="224"/>
      <c r="EC11" s="224"/>
      <c r="ED11" s="224"/>
      <c r="EE11" s="224"/>
      <c r="EF11" s="224"/>
      <c r="EG11" s="224"/>
      <c r="EH11" s="224"/>
      <c r="EI11" s="224"/>
      <c r="EJ11" s="224"/>
      <c r="EK11" s="224"/>
      <c r="EL11" s="224"/>
      <c r="EM11" s="224"/>
      <c r="EN11" s="224"/>
      <c r="EO11" s="224"/>
      <c r="EP11" s="224"/>
      <c r="EQ11" s="224"/>
      <c r="ER11" s="224"/>
      <c r="ES11" s="224"/>
      <c r="ET11" s="224"/>
      <c r="EU11" s="224"/>
      <c r="EV11" s="224"/>
      <c r="EW11" s="224"/>
      <c r="EX11" s="224"/>
      <c r="EY11" s="224"/>
      <c r="EZ11" s="224"/>
      <c r="FA11" s="224"/>
      <c r="FB11" s="224"/>
      <c r="FC11" s="224"/>
      <c r="FD11" s="224"/>
      <c r="FE11" s="224"/>
      <c r="FF11" s="224"/>
      <c r="FG11" s="224"/>
      <c r="FH11" s="224"/>
      <c r="FI11" s="224"/>
      <c r="FJ11" s="224"/>
      <c r="FK11" s="224"/>
      <c r="FL11" s="224"/>
    </row>
    <row r="12" ht="21" customHeight="1" spans="1:168">
      <c r="A12" s="228" t="s">
        <v>310</v>
      </c>
      <c r="B12" s="232">
        <v>48.75533</v>
      </c>
      <c r="C12" s="230">
        <v>11.4</v>
      </c>
      <c r="D12" s="232">
        <v>9.15935</v>
      </c>
      <c r="E12" s="230">
        <v>11.9</v>
      </c>
      <c r="F12" s="232">
        <v>13.44007</v>
      </c>
      <c r="G12" s="230">
        <v>15.5</v>
      </c>
      <c r="H12" s="232">
        <v>17.36406</v>
      </c>
      <c r="I12" s="230">
        <v>17.2</v>
      </c>
      <c r="J12" s="232">
        <v>21.63173</v>
      </c>
      <c r="K12" s="230">
        <v>17.2</v>
      </c>
      <c r="L12" s="232">
        <v>25.40665</v>
      </c>
      <c r="M12" s="230">
        <v>16.8</v>
      </c>
      <c r="N12" s="232">
        <v>29.94696</v>
      </c>
      <c r="O12" s="230">
        <v>15.8</v>
      </c>
      <c r="P12" s="232">
        <v>34.63854</v>
      </c>
      <c r="Q12" s="230">
        <v>14.6</v>
      </c>
      <c r="R12" s="232">
        <v>39.26378</v>
      </c>
      <c r="S12" s="230">
        <v>13.2</v>
      </c>
      <c r="T12" s="232">
        <v>43.6198</v>
      </c>
      <c r="U12" s="230">
        <v>12.1</v>
      </c>
      <c r="V12" s="232">
        <v>47.89263</v>
      </c>
      <c r="W12" s="230">
        <v>10.8</v>
      </c>
    </row>
    <row r="13" ht="21" customHeight="1" spans="1:168">
      <c r="A13" s="228" t="s">
        <v>311</v>
      </c>
      <c r="B13" s="229">
        <v>2.28165</v>
      </c>
      <c r="C13" s="230">
        <v>-15.2</v>
      </c>
      <c r="D13" s="229">
        <v>0.40898</v>
      </c>
      <c r="E13" s="230">
        <v>7.4</v>
      </c>
      <c r="F13" s="229">
        <v>0.587</v>
      </c>
      <c r="G13" s="230">
        <v>7.9</v>
      </c>
      <c r="H13" s="229">
        <v>0.7411</v>
      </c>
      <c r="I13" s="230">
        <v>5.8</v>
      </c>
      <c r="J13" s="229">
        <v>0.91348</v>
      </c>
      <c r="K13" s="230">
        <v>0.5</v>
      </c>
      <c r="L13" s="229">
        <v>1.08682</v>
      </c>
      <c r="M13" s="230">
        <v>-5</v>
      </c>
      <c r="N13" s="229">
        <v>1.2558</v>
      </c>
      <c r="O13" s="230">
        <v>-7.2</v>
      </c>
      <c r="P13" s="229">
        <v>1.36709</v>
      </c>
      <c r="Q13" s="230">
        <v>-8</v>
      </c>
      <c r="R13" s="229">
        <v>1.55027</v>
      </c>
      <c r="S13" s="230">
        <v>-7.5</v>
      </c>
      <c r="T13" s="229">
        <v>1.72995</v>
      </c>
      <c r="U13" s="230">
        <v>-6.2</v>
      </c>
      <c r="V13" s="229">
        <v>1.86967</v>
      </c>
      <c r="W13" s="230">
        <v>-6.3</v>
      </c>
    </row>
    <row r="14" ht="21" customHeight="1" spans="1:168">
      <c r="A14" s="234" t="s">
        <v>312</v>
      </c>
      <c r="B14" s="229">
        <v>5.75335</v>
      </c>
      <c r="C14" s="235">
        <v>-18.8</v>
      </c>
      <c r="D14" s="229">
        <v>1.28296</v>
      </c>
      <c r="E14" s="235">
        <v>-4.2</v>
      </c>
      <c r="F14" s="229">
        <v>1.62407</v>
      </c>
      <c r="G14" s="235">
        <v>-3.6</v>
      </c>
      <c r="H14" s="229">
        <v>2.02586</v>
      </c>
      <c r="I14" s="235">
        <v>-4.2</v>
      </c>
      <c r="J14" s="229">
        <v>2.3945</v>
      </c>
      <c r="K14" s="235">
        <v>-5.9</v>
      </c>
      <c r="L14" s="229">
        <v>2.7752</v>
      </c>
      <c r="M14" s="235">
        <v>-4.8</v>
      </c>
      <c r="N14" s="229">
        <v>3.03407</v>
      </c>
      <c r="O14" s="235">
        <v>-5</v>
      </c>
      <c r="P14" s="229">
        <v>3.34259</v>
      </c>
      <c r="Q14" s="235">
        <v>-9.1</v>
      </c>
      <c r="R14" s="229">
        <v>3.95156</v>
      </c>
      <c r="S14" s="235">
        <v>-7.8</v>
      </c>
      <c r="T14" s="229">
        <v>4.74647</v>
      </c>
      <c r="U14" s="235">
        <v>-0.5</v>
      </c>
      <c r="V14" s="229">
        <v>5.16523</v>
      </c>
      <c r="W14" s="235">
        <v>-0.6</v>
      </c>
    </row>
    <row r="15" ht="21" customHeight="1" spans="1:168">
      <c r="A15" s="228" t="s">
        <v>313</v>
      </c>
      <c r="B15" s="232">
        <v>0.90605</v>
      </c>
      <c r="C15" s="230">
        <v>-10.5</v>
      </c>
      <c r="D15" s="232">
        <v>0.21192</v>
      </c>
      <c r="E15" s="230">
        <v>-10.5</v>
      </c>
      <c r="F15" s="232">
        <v>0.27737</v>
      </c>
      <c r="G15" s="230">
        <v>-13</v>
      </c>
      <c r="H15" s="232">
        <v>0.33834</v>
      </c>
      <c r="I15" s="230">
        <v>-15.1</v>
      </c>
      <c r="J15" s="232">
        <v>0.40804</v>
      </c>
      <c r="K15" s="230">
        <v>-13.7</v>
      </c>
      <c r="L15" s="232">
        <v>0.56939</v>
      </c>
      <c r="M15" s="230">
        <v>3.2</v>
      </c>
      <c r="N15" s="232">
        <v>0.62745</v>
      </c>
      <c r="O15" s="230">
        <v>-0.9</v>
      </c>
      <c r="P15" s="232">
        <v>0.65963</v>
      </c>
      <c r="Q15" s="230">
        <v>-3.3</v>
      </c>
      <c r="R15" s="232">
        <v>0.71003</v>
      </c>
      <c r="S15" s="230">
        <v>-5</v>
      </c>
      <c r="T15" s="232">
        <v>0.76794</v>
      </c>
      <c r="U15" s="230">
        <v>-6.1</v>
      </c>
      <c r="V15" s="232">
        <v>0.83749</v>
      </c>
      <c r="W15" s="230">
        <v>-6.3</v>
      </c>
    </row>
    <row r="16" ht="21" customHeight="1" spans="1:168">
      <c r="A16" s="234" t="s">
        <v>314</v>
      </c>
      <c r="B16" s="229">
        <v>0.71257</v>
      </c>
      <c r="C16" s="235">
        <v>-12.2</v>
      </c>
      <c r="D16" s="229">
        <v>0.13677</v>
      </c>
      <c r="E16" s="235">
        <v>-7.1</v>
      </c>
      <c r="F16" s="229">
        <v>0.19733</v>
      </c>
      <c r="G16" s="235">
        <v>-8.3</v>
      </c>
      <c r="H16" s="229">
        <v>0.24476</v>
      </c>
      <c r="I16" s="235">
        <v>-8.2</v>
      </c>
      <c r="J16" s="229">
        <v>0.29982</v>
      </c>
      <c r="K16" s="235">
        <v>-8.2</v>
      </c>
      <c r="L16" s="229">
        <v>0.3536</v>
      </c>
      <c r="M16" s="235">
        <v>-8.5</v>
      </c>
      <c r="N16" s="229">
        <v>0.4056</v>
      </c>
      <c r="O16" s="235">
        <v>-8.8</v>
      </c>
      <c r="P16" s="229">
        <v>0.41368</v>
      </c>
      <c r="Q16" s="235">
        <v>-10.6</v>
      </c>
      <c r="R16" s="229">
        <v>0.45369</v>
      </c>
      <c r="S16" s="235">
        <v>-12.5</v>
      </c>
      <c r="T16" s="229">
        <v>0.49648</v>
      </c>
      <c r="U16" s="235">
        <v>-13.1</v>
      </c>
      <c r="V16" s="229">
        <v>0.54146</v>
      </c>
      <c r="W16" s="235">
        <v>-13</v>
      </c>
    </row>
    <row r="17" ht="21" customHeight="1" spans="1:23">
      <c r="A17" s="228" t="s">
        <v>315</v>
      </c>
      <c r="B17" s="232">
        <v>0.95042</v>
      </c>
      <c r="C17" s="230">
        <v>-48.7</v>
      </c>
      <c r="D17" s="232">
        <v>0.23493</v>
      </c>
      <c r="E17" s="230">
        <v>-27.7</v>
      </c>
      <c r="F17" s="232">
        <v>0.32222</v>
      </c>
      <c r="G17" s="230">
        <v>-22.6</v>
      </c>
      <c r="H17" s="232">
        <v>0.40063</v>
      </c>
      <c r="I17" s="230">
        <v>-14</v>
      </c>
      <c r="J17" s="232">
        <v>0.50312</v>
      </c>
      <c r="K17" s="230">
        <v>-5</v>
      </c>
      <c r="L17" s="232">
        <v>0.59104</v>
      </c>
      <c r="M17" s="230">
        <v>0</v>
      </c>
      <c r="N17" s="232">
        <v>0.65356</v>
      </c>
      <c r="O17" s="230">
        <v>3.1</v>
      </c>
      <c r="P17" s="232">
        <v>0.63117</v>
      </c>
      <c r="Q17" s="230">
        <v>4.2</v>
      </c>
      <c r="R17" s="232">
        <v>0.7033</v>
      </c>
      <c r="S17" s="230">
        <v>6.9</v>
      </c>
      <c r="T17" s="232">
        <v>0.81878</v>
      </c>
      <c r="U17" s="230">
        <v>12.5</v>
      </c>
      <c r="V17" s="232">
        <v>0.89414</v>
      </c>
      <c r="W17" s="230">
        <v>15.3</v>
      </c>
    </row>
    <row r="18" ht="21" customHeight="1" spans="1:23">
      <c r="A18" s="228" t="s">
        <v>316</v>
      </c>
      <c r="B18" s="229">
        <v>6.06175</v>
      </c>
      <c r="C18" s="230">
        <v>-6.8</v>
      </c>
      <c r="D18" s="229">
        <v>1.0766</v>
      </c>
      <c r="E18" s="230">
        <v>-1.6</v>
      </c>
      <c r="F18" s="229">
        <v>1.59166</v>
      </c>
      <c r="G18" s="230">
        <v>-1</v>
      </c>
      <c r="H18" s="229">
        <v>2.0781</v>
      </c>
      <c r="I18" s="230">
        <v>0.1</v>
      </c>
      <c r="J18" s="229">
        <v>2.55854</v>
      </c>
      <c r="K18" s="230">
        <v>-0.2</v>
      </c>
      <c r="L18" s="229">
        <v>4.4022</v>
      </c>
      <c r="M18" s="230">
        <v>40.6</v>
      </c>
      <c r="N18" s="229">
        <v>5.0531</v>
      </c>
      <c r="O18" s="230">
        <v>38.5</v>
      </c>
      <c r="P18" s="229">
        <v>5.62191</v>
      </c>
      <c r="Q18" s="230">
        <v>32</v>
      </c>
      <c r="R18" s="229">
        <v>6.17054</v>
      </c>
      <c r="S18" s="230">
        <v>27</v>
      </c>
      <c r="T18" s="229">
        <v>6.92153</v>
      </c>
      <c r="U18" s="230">
        <v>28.9</v>
      </c>
      <c r="V18" s="229">
        <v>7.52579</v>
      </c>
      <c r="W18" s="230">
        <v>28.6</v>
      </c>
    </row>
    <row r="19" ht="21" customHeight="1" spans="1:23">
      <c r="A19" s="234" t="s">
        <v>317</v>
      </c>
      <c r="B19" s="229">
        <v>0.1417</v>
      </c>
      <c r="C19" s="235">
        <v>5.3</v>
      </c>
      <c r="D19" s="229">
        <v>0.03045</v>
      </c>
      <c r="E19" s="235">
        <v>2.3</v>
      </c>
      <c r="F19" s="229">
        <v>0.04177</v>
      </c>
      <c r="G19" s="235">
        <v>-4.5</v>
      </c>
      <c r="H19" s="229">
        <v>0.05446</v>
      </c>
      <c r="I19" s="235">
        <v>-0.1</v>
      </c>
      <c r="J19" s="229">
        <v>0.06449</v>
      </c>
      <c r="K19" s="235">
        <v>1.7</v>
      </c>
      <c r="L19" s="229">
        <v>0.08381</v>
      </c>
      <c r="M19" s="235">
        <v>3.3</v>
      </c>
      <c r="N19" s="229">
        <v>0.09758</v>
      </c>
      <c r="O19" s="235">
        <v>5.4</v>
      </c>
      <c r="P19" s="229">
        <v>0.11102</v>
      </c>
      <c r="Q19" s="235">
        <v>3.2</v>
      </c>
      <c r="R19" s="229">
        <v>0.13093</v>
      </c>
      <c r="S19" s="235">
        <v>6.7</v>
      </c>
      <c r="T19" s="229">
        <v>0.14965</v>
      </c>
      <c r="U19" s="235">
        <v>11.5</v>
      </c>
      <c r="V19" s="229">
        <v>0.16128</v>
      </c>
      <c r="W19" s="235">
        <v>11.8</v>
      </c>
    </row>
    <row r="20" ht="21" customHeight="1" spans="1:23">
      <c r="A20" s="234" t="s">
        <v>318</v>
      </c>
      <c r="B20" s="229">
        <v>0.05149</v>
      </c>
      <c r="C20" s="235">
        <v>-19.5</v>
      </c>
      <c r="D20" s="229">
        <v>0.01097</v>
      </c>
      <c r="E20" s="235">
        <v>-38</v>
      </c>
      <c r="F20" s="229">
        <v>0.01359</v>
      </c>
      <c r="G20" s="235">
        <v>-33.7</v>
      </c>
      <c r="H20" s="229">
        <v>0.01623</v>
      </c>
      <c r="I20" s="235">
        <v>-30.3</v>
      </c>
      <c r="J20" s="229">
        <v>0.01955</v>
      </c>
      <c r="K20" s="235">
        <v>-28.6</v>
      </c>
      <c r="L20" s="229">
        <v>0.32114</v>
      </c>
      <c r="M20" s="235">
        <v>352.8</v>
      </c>
      <c r="N20" s="229">
        <v>0.324</v>
      </c>
      <c r="O20" s="235">
        <v>311.6</v>
      </c>
      <c r="P20" s="229">
        <v>0.32617</v>
      </c>
      <c r="Q20" s="235">
        <v>279.5</v>
      </c>
      <c r="R20" s="229">
        <v>0.32815</v>
      </c>
      <c r="S20" s="235">
        <v>256.1</v>
      </c>
      <c r="T20" s="229">
        <v>0.33015</v>
      </c>
      <c r="U20" s="235">
        <v>236.7</v>
      </c>
      <c r="V20" s="229">
        <v>0.33293</v>
      </c>
      <c r="W20" s="235">
        <v>223.1</v>
      </c>
    </row>
    <row r="21" ht="21" customHeight="1" spans="1:23">
      <c r="A21" s="234" t="s">
        <v>319</v>
      </c>
      <c r="B21" s="229">
        <v>3.36469</v>
      </c>
      <c r="C21" s="235">
        <v>5.9</v>
      </c>
      <c r="D21" s="229">
        <v>0.24845</v>
      </c>
      <c r="E21" s="235">
        <v>5.2</v>
      </c>
      <c r="F21" s="229">
        <v>0.66642</v>
      </c>
      <c r="G21" s="235">
        <v>14.3</v>
      </c>
      <c r="H21" s="229">
        <v>1.17808</v>
      </c>
      <c r="I21" s="235">
        <v>10</v>
      </c>
      <c r="J21" s="229">
        <v>1.3707</v>
      </c>
      <c r="K21" s="235">
        <v>6.3</v>
      </c>
      <c r="L21" s="229">
        <v>1.66774</v>
      </c>
      <c r="M21" s="235">
        <v>0.1</v>
      </c>
      <c r="N21" s="229">
        <v>1.76977</v>
      </c>
      <c r="O21" s="235">
        <v>-0.5</v>
      </c>
      <c r="P21" s="229">
        <v>1.83363</v>
      </c>
      <c r="Q21" s="235">
        <v>-1.7</v>
      </c>
      <c r="R21" s="229">
        <v>2.27974</v>
      </c>
      <c r="S21" s="235">
        <v>-4.2</v>
      </c>
      <c r="T21" s="229">
        <v>2.50544</v>
      </c>
      <c r="U21" s="235">
        <v>-3.3</v>
      </c>
      <c r="V21" s="229">
        <v>2.99769</v>
      </c>
      <c r="W21" s="235">
        <v>-2.2</v>
      </c>
    </row>
    <row r="22" ht="21" customHeight="1" spans="1:23">
      <c r="A22" s="234" t="s">
        <v>320</v>
      </c>
      <c r="B22" s="229">
        <v>6.00923</v>
      </c>
      <c r="C22" s="235">
        <v>7.7</v>
      </c>
      <c r="D22" s="229">
        <v>0.73234</v>
      </c>
      <c r="E22" s="235">
        <v>-18.4</v>
      </c>
      <c r="F22" s="229">
        <v>1.19076</v>
      </c>
      <c r="G22" s="235">
        <v>-3.9</v>
      </c>
      <c r="H22" s="229">
        <v>1.77617</v>
      </c>
      <c r="I22" s="235">
        <v>4.5</v>
      </c>
      <c r="J22" s="229">
        <v>2.59042</v>
      </c>
      <c r="K22" s="235">
        <v>16.7</v>
      </c>
      <c r="L22" s="229">
        <v>20.39939</v>
      </c>
      <c r="M22" s="235">
        <v>491.8</v>
      </c>
      <c r="N22" s="229">
        <v>22.34714</v>
      </c>
      <c r="O22" s="235">
        <v>443.6</v>
      </c>
      <c r="P22" s="229">
        <v>23.22301</v>
      </c>
      <c r="Q22" s="235">
        <v>395.7</v>
      </c>
      <c r="R22" s="229">
        <v>24.22682</v>
      </c>
      <c r="S22" s="235">
        <v>354.9</v>
      </c>
      <c r="T22" s="229">
        <v>25.95469</v>
      </c>
      <c r="U22" s="235">
        <v>320.8</v>
      </c>
      <c r="V22" s="229">
        <v>29.80956</v>
      </c>
      <c r="W22" s="235">
        <v>311.5</v>
      </c>
    </row>
    <row r="23" ht="21" customHeight="1" spans="1:23">
      <c r="A23" s="228" t="s">
        <v>321</v>
      </c>
      <c r="B23" s="229">
        <v>16.20649</v>
      </c>
      <c r="C23" s="230">
        <v>-0.1</v>
      </c>
      <c r="D23" s="229">
        <v>2.85577</v>
      </c>
      <c r="E23" s="230">
        <v>4.4</v>
      </c>
      <c r="F23" s="229">
        <v>4.30174</v>
      </c>
      <c r="G23" s="230">
        <v>2.5</v>
      </c>
      <c r="H23" s="229">
        <v>5.66688</v>
      </c>
      <c r="I23" s="230">
        <v>2.9</v>
      </c>
      <c r="J23" s="229">
        <v>7.00641</v>
      </c>
      <c r="K23" s="230">
        <v>2.1</v>
      </c>
      <c r="L23" s="229">
        <v>8.30643</v>
      </c>
      <c r="M23" s="230">
        <v>2</v>
      </c>
      <c r="N23" s="229">
        <v>9.51852</v>
      </c>
      <c r="O23" s="230">
        <v>1.7</v>
      </c>
      <c r="P23" s="229">
        <v>11.10018</v>
      </c>
      <c r="Q23" s="230">
        <v>1.9</v>
      </c>
      <c r="R23" s="229">
        <v>12.54407</v>
      </c>
      <c r="S23" s="230">
        <v>1.9</v>
      </c>
      <c r="T23" s="229">
        <v>13.92049</v>
      </c>
      <c r="U23" s="230">
        <v>1.4</v>
      </c>
      <c r="V23" s="229">
        <v>15.34935</v>
      </c>
      <c r="W23" s="230">
        <v>1.1</v>
      </c>
    </row>
    <row r="24" ht="21" customHeight="1" spans="1:23">
      <c r="A24" s="234" t="s">
        <v>322</v>
      </c>
      <c r="B24" s="229">
        <v>0.23287</v>
      </c>
      <c r="C24" s="235">
        <v>-40.8</v>
      </c>
      <c r="D24" s="229">
        <v>0.02298</v>
      </c>
      <c r="E24" s="235">
        <v>-35.4</v>
      </c>
      <c r="F24" s="229">
        <v>0.03497</v>
      </c>
      <c r="G24" s="235">
        <v>-41.5</v>
      </c>
      <c r="H24" s="229">
        <v>0.06597</v>
      </c>
      <c r="I24" s="235">
        <v>-33.3</v>
      </c>
      <c r="J24" s="229">
        <v>0.07578</v>
      </c>
      <c r="K24" s="235">
        <v>-33.7</v>
      </c>
      <c r="L24" s="229">
        <v>2.16909</v>
      </c>
      <c r="M24" s="235">
        <v>351.7</v>
      </c>
      <c r="N24" s="229">
        <v>2.19131</v>
      </c>
      <c r="O24" s="235">
        <v>331.8</v>
      </c>
      <c r="P24" s="229">
        <v>2.20931</v>
      </c>
      <c r="Q24" s="235">
        <v>306.2</v>
      </c>
      <c r="R24" s="229">
        <v>2.23524</v>
      </c>
      <c r="S24" s="235">
        <v>256.4</v>
      </c>
      <c r="T24" s="229">
        <v>2.2471</v>
      </c>
      <c r="U24" s="235">
        <v>235.9</v>
      </c>
      <c r="V24" s="229">
        <v>2.28273</v>
      </c>
      <c r="W24" s="235">
        <v>221.2</v>
      </c>
    </row>
    <row r="25" ht="21" customHeight="1" spans="1:23">
      <c r="A25" s="228" t="s">
        <v>323</v>
      </c>
      <c r="B25" s="229">
        <v>0.18217</v>
      </c>
      <c r="C25" s="230">
        <v>-35.6</v>
      </c>
      <c r="D25" s="229">
        <v>0.01545</v>
      </c>
      <c r="E25" s="230">
        <v>-11.1</v>
      </c>
      <c r="F25" s="229">
        <v>0.02048</v>
      </c>
      <c r="G25" s="230">
        <v>-11.5</v>
      </c>
      <c r="H25" s="229">
        <v>0.02465</v>
      </c>
      <c r="I25" s="230">
        <v>-23.1</v>
      </c>
      <c r="J25" s="229">
        <v>0.03121</v>
      </c>
      <c r="K25" s="230">
        <v>-20.5</v>
      </c>
      <c r="L25" s="229">
        <v>0.42232</v>
      </c>
      <c r="M25" s="230">
        <v>812.7</v>
      </c>
      <c r="N25" s="229">
        <v>0.60825</v>
      </c>
      <c r="O25" s="230">
        <v>1036.1</v>
      </c>
      <c r="P25" s="229">
        <v>0.63321</v>
      </c>
      <c r="Q25" s="230">
        <v>639</v>
      </c>
      <c r="R25" s="229">
        <v>0.64592</v>
      </c>
      <c r="S25" s="230">
        <v>598.4</v>
      </c>
      <c r="T25" s="229">
        <v>0.99515</v>
      </c>
      <c r="U25" s="230">
        <v>888.5</v>
      </c>
      <c r="V25" s="229">
        <v>1.0561</v>
      </c>
      <c r="W25" s="230">
        <v>552.1</v>
      </c>
    </row>
    <row r="26" ht="21" customHeight="1" spans="1:23">
      <c r="A26" s="228" t="s">
        <v>324</v>
      </c>
      <c r="B26" s="229">
        <v>3.61306</v>
      </c>
      <c r="C26" s="230">
        <v>-22</v>
      </c>
      <c r="D26" s="229">
        <v>0.91398</v>
      </c>
      <c r="E26" s="230">
        <v>25.8</v>
      </c>
      <c r="F26" s="229">
        <v>1.38276</v>
      </c>
      <c r="G26" s="230">
        <v>39.2</v>
      </c>
      <c r="H26" s="229">
        <v>1.87027</v>
      </c>
      <c r="I26" s="230">
        <v>47.5</v>
      </c>
      <c r="J26" s="229">
        <v>2.25919</v>
      </c>
      <c r="K26" s="230">
        <v>46</v>
      </c>
      <c r="L26" s="229">
        <v>3.27825</v>
      </c>
      <c r="M26" s="230">
        <v>78.5</v>
      </c>
      <c r="N26" s="229">
        <v>3.95702</v>
      </c>
      <c r="O26" s="230">
        <v>76.3</v>
      </c>
      <c r="P26" s="229">
        <v>4.48461</v>
      </c>
      <c r="Q26" s="230">
        <v>73.1</v>
      </c>
      <c r="R26" s="229">
        <v>4.80431</v>
      </c>
      <c r="S26" s="230">
        <v>66.2</v>
      </c>
      <c r="T26" s="229">
        <v>5.12614</v>
      </c>
      <c r="U26" s="230">
        <v>59.7</v>
      </c>
      <c r="V26" s="229">
        <v>5.74287</v>
      </c>
      <c r="W26" s="230">
        <v>57.2</v>
      </c>
    </row>
    <row r="27" ht="21" customHeight="1" spans="1:23">
      <c r="A27" s="228" t="s">
        <v>325</v>
      </c>
      <c r="B27" s="229">
        <v>86.41542</v>
      </c>
      <c r="C27" s="230">
        <v>-3.1</v>
      </c>
      <c r="D27" s="229">
        <v>17.90271</v>
      </c>
      <c r="E27" s="230">
        <v>-3.7</v>
      </c>
      <c r="F27" s="229">
        <v>24.72772</v>
      </c>
      <c r="G27" s="230">
        <v>-2.8</v>
      </c>
      <c r="H27" s="229">
        <v>32.10128</v>
      </c>
      <c r="I27" s="230">
        <v>-3.5</v>
      </c>
      <c r="J27" s="229">
        <v>39.30825</v>
      </c>
      <c r="K27" s="230">
        <v>-2.8</v>
      </c>
      <c r="L27" s="229">
        <v>45.92164</v>
      </c>
      <c r="M27" s="230">
        <v>-2.8</v>
      </c>
      <c r="N27" s="229">
        <v>52.78268</v>
      </c>
      <c r="O27" s="230">
        <v>-3</v>
      </c>
      <c r="P27" s="229">
        <v>60.70936</v>
      </c>
      <c r="Q27" s="230">
        <v>-3.6</v>
      </c>
      <c r="R27" s="229">
        <v>57.48252</v>
      </c>
      <c r="S27" s="230">
        <v>-4.4</v>
      </c>
      <c r="T27" s="229">
        <v>63.55298</v>
      </c>
      <c r="U27" s="230">
        <v>-5.1</v>
      </c>
      <c r="V27" s="229">
        <v>68.77452</v>
      </c>
      <c r="W27" s="230">
        <v>-6.2</v>
      </c>
    </row>
    <row r="28" ht="21" customHeight="1" spans="1:23">
      <c r="A28" s="228" t="s">
        <v>326</v>
      </c>
      <c r="B28" s="229">
        <v>0.37795</v>
      </c>
      <c r="C28" s="230">
        <v>-16.5</v>
      </c>
      <c r="D28" s="229">
        <v>0.0605</v>
      </c>
      <c r="E28" s="230">
        <v>-60.2</v>
      </c>
      <c r="F28" s="229">
        <v>0.01927</v>
      </c>
      <c r="G28" s="230">
        <v>-60.2</v>
      </c>
      <c r="H28" s="229">
        <v>0.02365</v>
      </c>
      <c r="I28" s="230">
        <v>-67</v>
      </c>
      <c r="J28" s="229">
        <v>0.02811</v>
      </c>
      <c r="K28" s="230">
        <v>-77.4</v>
      </c>
      <c r="L28" s="229">
        <v>0.39329</v>
      </c>
      <c r="M28" s="230">
        <v>27.7</v>
      </c>
      <c r="N28" s="229">
        <v>0.41432</v>
      </c>
      <c r="O28" s="230">
        <v>25.9</v>
      </c>
      <c r="P28" s="229">
        <v>0.43167</v>
      </c>
      <c r="Q28" s="230">
        <v>22.6</v>
      </c>
      <c r="R28" s="229">
        <v>0.53513</v>
      </c>
      <c r="S28" s="230">
        <v>26.3</v>
      </c>
      <c r="T28" s="229">
        <v>0.73014</v>
      </c>
      <c r="U28" s="230">
        <v>65.8</v>
      </c>
      <c r="V28" s="229">
        <v>0.8172</v>
      </c>
      <c r="W28" s="230">
        <v>80.9</v>
      </c>
    </row>
    <row r="29" ht="21" customHeight="1" spans="1:23">
      <c r="A29" s="234" t="s">
        <v>327</v>
      </c>
      <c r="B29" s="229">
        <v>0.43449</v>
      </c>
      <c r="C29" s="235">
        <v>-21.4</v>
      </c>
      <c r="D29" s="229">
        <v>0.07441</v>
      </c>
      <c r="E29" s="235">
        <v>-10.3</v>
      </c>
      <c r="F29" s="229">
        <v>0.10362</v>
      </c>
      <c r="G29" s="235">
        <v>-13.2</v>
      </c>
      <c r="H29" s="229">
        <v>0.13537</v>
      </c>
      <c r="I29" s="235">
        <v>-12.3</v>
      </c>
      <c r="J29" s="229">
        <v>0.17988</v>
      </c>
      <c r="K29" s="235">
        <v>-1</v>
      </c>
      <c r="L29" s="229">
        <v>0.22074</v>
      </c>
      <c r="M29" s="235">
        <v>4.9</v>
      </c>
      <c r="N29" s="229">
        <v>0.2594</v>
      </c>
      <c r="O29" s="235">
        <v>4.2</v>
      </c>
      <c r="P29" s="229">
        <v>0.29978</v>
      </c>
      <c r="Q29" s="235">
        <v>3.9</v>
      </c>
      <c r="R29" s="229">
        <v>0.38483</v>
      </c>
      <c r="S29" s="235">
        <v>17.6</v>
      </c>
      <c r="T29" s="229">
        <v>0.47342</v>
      </c>
      <c r="U29" s="235">
        <v>30.3</v>
      </c>
      <c r="V29" s="229">
        <v>0.53867</v>
      </c>
      <c r="W29" s="235">
        <v>37.7</v>
      </c>
    </row>
    <row r="30" ht="21" customHeight="1" spans="1:23">
      <c r="A30" s="236" t="s">
        <v>328</v>
      </c>
      <c r="B30" s="237">
        <v>75.78258</v>
      </c>
      <c r="C30" s="238">
        <v>-2.6</v>
      </c>
      <c r="D30" s="237">
        <v>9.19178</v>
      </c>
      <c r="E30" s="238">
        <v>-13.2</v>
      </c>
      <c r="F30" s="237">
        <v>14.37845</v>
      </c>
      <c r="G30" s="238">
        <v>-8.4</v>
      </c>
      <c r="H30" s="237">
        <v>19.75835</v>
      </c>
      <c r="I30" s="238">
        <v>-7.8</v>
      </c>
      <c r="J30" s="237">
        <v>25.3862</v>
      </c>
      <c r="K30" s="238">
        <v>-8.7</v>
      </c>
      <c r="L30" s="237">
        <v>31.86671</v>
      </c>
      <c r="M30" s="238">
        <v>-6.8</v>
      </c>
      <c r="N30" s="237">
        <v>37.57529</v>
      </c>
      <c r="O30" s="238">
        <v>-6.5</v>
      </c>
      <c r="P30" s="237">
        <v>44.14395</v>
      </c>
      <c r="Q30" s="238">
        <v>-6.3</v>
      </c>
      <c r="R30" s="237">
        <v>49.56528</v>
      </c>
      <c r="S30" s="238">
        <v>-6.7</v>
      </c>
      <c r="T30" s="237">
        <v>56.65311</v>
      </c>
      <c r="U30" s="238">
        <v>-6.5</v>
      </c>
      <c r="V30" s="237">
        <v>62.70664</v>
      </c>
      <c r="W30" s="238">
        <v>-8.2</v>
      </c>
    </row>
    <row r="31" ht="20" customHeight="1"/>
  </sheetData>
  <mergeCells count="13">
    <mergeCell ref="A1:W1"/>
    <mergeCell ref="B2:C2"/>
    <mergeCell ref="D2:E2"/>
    <mergeCell ref="F2:G2"/>
    <mergeCell ref="H2:I2"/>
    <mergeCell ref="J2:K2"/>
    <mergeCell ref="L2:M2"/>
    <mergeCell ref="N2:O2"/>
    <mergeCell ref="P2:Q2"/>
    <mergeCell ref="R2:S2"/>
    <mergeCell ref="T2:U2"/>
    <mergeCell ref="V2:W2"/>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W28"/>
  <sheetViews>
    <sheetView zoomScale="80" zoomScaleNormal="80" workbookViewId="0">
      <pane xSplit="1" ySplit="3" topLeftCell="O4" activePane="bottomRight" state="frozen"/>
      <selection/>
      <selection pane="topRight"/>
      <selection pane="bottomLeft"/>
      <selection pane="bottomRight" activeCell="V5" sqref="V5"/>
    </sheetView>
  </sheetViews>
  <sheetFormatPr defaultColWidth="9" defaultRowHeight="14.25"/>
  <cols>
    <col min="1" max="1" width="30.625" style="133" customWidth="1"/>
    <col min="2" max="2" width="10.375" style="133"/>
    <col min="3" max="21" width="9.25" style="133"/>
    <col min="22" max="22" width="10.375" style="133"/>
    <col min="23" max="23" width="9.25" style="133"/>
    <col min="24" max="168" width="9" style="133"/>
    <col min="169" max="16384" width="9" style="134"/>
  </cols>
  <sheetData>
    <row r="1" ht="28.5" customHeight="1" spans="1:23">
      <c r="A1" s="135" t="s">
        <v>329</v>
      </c>
      <c r="B1" s="135"/>
      <c r="C1" s="135"/>
      <c r="D1" s="135"/>
      <c r="E1" s="135"/>
      <c r="F1" s="135"/>
      <c r="G1" s="135"/>
      <c r="H1" s="135"/>
      <c r="I1" s="135"/>
      <c r="J1" s="135"/>
      <c r="K1" s="135"/>
      <c r="L1" s="135"/>
      <c r="M1" s="135"/>
      <c r="N1" s="135"/>
      <c r="O1" s="135"/>
      <c r="P1" s="135"/>
      <c r="Q1" s="135"/>
      <c r="R1" s="135"/>
      <c r="S1" s="135"/>
      <c r="T1" s="135"/>
      <c r="U1" s="135"/>
      <c r="V1" s="135"/>
      <c r="W1" s="135"/>
    </row>
    <row r="2" ht="21" customHeight="1" spans="1:23">
      <c r="A2" s="136" t="s">
        <v>1</v>
      </c>
      <c r="B2" s="137" t="s">
        <v>3</v>
      </c>
      <c r="C2" s="138"/>
      <c r="D2" s="137" t="s">
        <v>4</v>
      </c>
      <c r="E2" s="138"/>
      <c r="F2" s="137" t="s">
        <v>5</v>
      </c>
      <c r="G2" s="138"/>
      <c r="H2" s="137" t="s">
        <v>6</v>
      </c>
      <c r="I2" s="138"/>
      <c r="J2" s="137" t="s">
        <v>7</v>
      </c>
      <c r="K2" s="138"/>
      <c r="L2" s="137" t="s">
        <v>8</v>
      </c>
      <c r="M2" s="138"/>
      <c r="N2" s="137" t="s">
        <v>9</v>
      </c>
      <c r="O2" s="138"/>
      <c r="P2" s="137" t="s">
        <v>10</v>
      </c>
      <c r="Q2" s="138"/>
      <c r="R2" s="137" t="s">
        <v>11</v>
      </c>
      <c r="S2" s="138"/>
      <c r="T2" s="137" t="s">
        <v>12</v>
      </c>
      <c r="U2" s="138"/>
      <c r="V2" s="137" t="s">
        <v>13</v>
      </c>
      <c r="W2" s="138"/>
    </row>
    <row r="3" ht="21" customHeight="1" spans="1:23">
      <c r="A3" s="139"/>
      <c r="B3" s="140" t="s">
        <v>14</v>
      </c>
      <c r="C3" s="141" t="s">
        <v>15</v>
      </c>
      <c r="D3" s="140" t="s">
        <v>14</v>
      </c>
      <c r="E3" s="141" t="s">
        <v>15</v>
      </c>
      <c r="F3" s="140" t="s">
        <v>14</v>
      </c>
      <c r="G3" s="141" t="s">
        <v>15</v>
      </c>
      <c r="H3" s="140" t="s">
        <v>14</v>
      </c>
      <c r="I3" s="141" t="s">
        <v>15</v>
      </c>
      <c r="J3" s="140" t="s">
        <v>14</v>
      </c>
      <c r="K3" s="141" t="s">
        <v>15</v>
      </c>
      <c r="L3" s="140" t="s">
        <v>14</v>
      </c>
      <c r="M3" s="141" t="s">
        <v>15</v>
      </c>
      <c r="N3" s="140" t="s">
        <v>14</v>
      </c>
      <c r="O3" s="141" t="s">
        <v>15</v>
      </c>
      <c r="P3" s="140" t="s">
        <v>14</v>
      </c>
      <c r="Q3" s="141" t="s">
        <v>15</v>
      </c>
      <c r="R3" s="140" t="s">
        <v>14</v>
      </c>
      <c r="S3" s="141" t="s">
        <v>15</v>
      </c>
      <c r="T3" s="140" t="s">
        <v>14</v>
      </c>
      <c r="U3" s="141" t="s">
        <v>15</v>
      </c>
      <c r="V3" s="140" t="s">
        <v>14</v>
      </c>
      <c r="W3" s="141" t="s">
        <v>15</v>
      </c>
    </row>
    <row r="4" ht="24.95" customHeight="1" spans="1:23">
      <c r="A4" s="204" t="s">
        <v>330</v>
      </c>
      <c r="B4" s="219">
        <v>164.9645</v>
      </c>
      <c r="C4" s="197">
        <v>6.0123206399638</v>
      </c>
      <c r="D4" s="219">
        <v>34.5244</v>
      </c>
      <c r="E4" s="197">
        <v>6.3830967340361</v>
      </c>
      <c r="F4" s="219">
        <v>50.1758</v>
      </c>
      <c r="G4" s="197">
        <v>6.37745745499569</v>
      </c>
      <c r="H4" s="219">
        <v>61.5541</v>
      </c>
      <c r="I4" s="197">
        <v>4.65981449837196</v>
      </c>
      <c r="J4" s="219">
        <v>72.1845</v>
      </c>
      <c r="K4" s="197">
        <v>5.92158358890078</v>
      </c>
      <c r="L4" s="219">
        <v>86.844</v>
      </c>
      <c r="M4" s="197">
        <v>6.63883346124328</v>
      </c>
      <c r="N4" s="219">
        <v>98.8388</v>
      </c>
      <c r="O4" s="197">
        <v>8.06058200797892</v>
      </c>
      <c r="P4" s="219">
        <v>110.2546</v>
      </c>
      <c r="Q4" s="197">
        <v>6.710013482163</v>
      </c>
      <c r="R4" s="219">
        <v>158.1991</v>
      </c>
      <c r="S4" s="197">
        <v>7.25327823645493</v>
      </c>
      <c r="T4" s="219">
        <v>176.763</v>
      </c>
      <c r="U4" s="197">
        <v>6.06885101669849</v>
      </c>
      <c r="V4" s="219">
        <v>191.2846</v>
      </c>
      <c r="W4" s="197">
        <v>6.4</v>
      </c>
    </row>
    <row r="5" ht="24.95" customHeight="1" spans="1:23">
      <c r="A5" s="149" t="s">
        <v>331</v>
      </c>
      <c r="B5" s="219">
        <v>87.5113</v>
      </c>
      <c r="C5" s="197">
        <v>-3.16354284930209</v>
      </c>
      <c r="D5" s="219">
        <v>16.9546</v>
      </c>
      <c r="E5" s="197">
        <v>-1.293605328117</v>
      </c>
      <c r="F5" s="219">
        <v>21.9817</v>
      </c>
      <c r="G5" s="197">
        <v>-11.8549528632895</v>
      </c>
      <c r="H5" s="219">
        <v>29.783</v>
      </c>
      <c r="I5" s="197">
        <v>-10.8135868312067</v>
      </c>
      <c r="J5" s="219">
        <v>36.4207</v>
      </c>
      <c r="K5" s="197">
        <v>-5.81665373674683</v>
      </c>
      <c r="L5" s="219">
        <v>43.9141</v>
      </c>
      <c r="M5" s="197">
        <v>-4.58559118384516</v>
      </c>
      <c r="N5" s="219">
        <v>51.7348</v>
      </c>
      <c r="O5" s="197">
        <v>-2.55283000032021</v>
      </c>
      <c r="P5" s="219">
        <v>57.1001</v>
      </c>
      <c r="Q5" s="197">
        <v>-3.49806235940909</v>
      </c>
      <c r="R5" s="219">
        <v>95.742</v>
      </c>
      <c r="S5" s="197">
        <v>0.594814779952265</v>
      </c>
      <c r="T5" s="219">
        <v>108.6026</v>
      </c>
      <c r="U5" s="197">
        <v>2.07490996216584</v>
      </c>
      <c r="V5" s="219">
        <v>117.3374</v>
      </c>
      <c r="W5" s="197">
        <v>3.3</v>
      </c>
    </row>
    <row r="6" ht="24.95" customHeight="1" spans="1:23">
      <c r="A6" s="148" t="s">
        <v>332</v>
      </c>
      <c r="B6" s="146">
        <v>29.6677</v>
      </c>
      <c r="C6" s="147">
        <v>-9.65326333227763</v>
      </c>
      <c r="D6" s="146">
        <v>7.7962</v>
      </c>
      <c r="E6" s="147">
        <v>30.5611843317201</v>
      </c>
      <c r="F6" s="146">
        <v>9.7385</v>
      </c>
      <c r="G6" s="147">
        <v>-0.62957898818391</v>
      </c>
      <c r="H6" s="146">
        <v>12.6364</v>
      </c>
      <c r="I6" s="147">
        <v>0.0475044337471475</v>
      </c>
      <c r="J6" s="146">
        <v>14.9919</v>
      </c>
      <c r="K6" s="147">
        <v>7.39106453392169</v>
      </c>
      <c r="L6" s="146">
        <v>18.3396</v>
      </c>
      <c r="M6" s="147">
        <v>5.71105782532511</v>
      </c>
      <c r="N6" s="146">
        <v>21.5637</v>
      </c>
      <c r="O6" s="147">
        <v>8.92793097700075</v>
      </c>
      <c r="P6" s="146">
        <v>23.7889</v>
      </c>
      <c r="Q6" s="147">
        <v>4.74292985553701</v>
      </c>
      <c r="R6" s="146">
        <v>49.4881</v>
      </c>
      <c r="S6" s="147">
        <v>8.9624062183307</v>
      </c>
      <c r="T6" s="146">
        <v>55.0772</v>
      </c>
      <c r="U6" s="147">
        <v>10.6900169478743</v>
      </c>
      <c r="V6" s="146">
        <v>59.3698</v>
      </c>
      <c r="W6" s="147">
        <v>13.1</v>
      </c>
    </row>
    <row r="7" ht="24.95" customHeight="1" spans="1:23">
      <c r="A7" s="148" t="s">
        <v>333</v>
      </c>
      <c r="B7" s="146">
        <v>6.7118</v>
      </c>
      <c r="C7" s="147">
        <v>33.7518184173293</v>
      </c>
      <c r="D7" s="146">
        <v>1.3128</v>
      </c>
      <c r="E7" s="147">
        <v>28.4917294704904</v>
      </c>
      <c r="F7" s="146">
        <v>1.5927</v>
      </c>
      <c r="G7" s="147">
        <v>33.1355011284795</v>
      </c>
      <c r="H7" s="146">
        <v>3.2801</v>
      </c>
      <c r="I7" s="147">
        <v>16.6465149359886</v>
      </c>
      <c r="J7" s="146">
        <v>4.6203</v>
      </c>
      <c r="K7" s="147">
        <v>19.0553494124923</v>
      </c>
      <c r="L7" s="146">
        <v>5.3952</v>
      </c>
      <c r="M7" s="147">
        <v>26.6122219093213</v>
      </c>
      <c r="N7" s="146">
        <v>6.2572</v>
      </c>
      <c r="O7" s="147">
        <v>20.6881919530918</v>
      </c>
      <c r="P7" s="146">
        <v>6.3393</v>
      </c>
      <c r="Q7" s="147">
        <v>21.4378759434504</v>
      </c>
      <c r="R7" s="146">
        <v>11.6982</v>
      </c>
      <c r="S7" s="147">
        <v>22.1879061610417</v>
      </c>
      <c r="T7" s="146">
        <v>14.3203</v>
      </c>
      <c r="U7" s="147">
        <v>21.8579213141885</v>
      </c>
      <c r="V7" s="146">
        <v>15.1434</v>
      </c>
      <c r="W7" s="147">
        <v>26.9</v>
      </c>
    </row>
    <row r="8" ht="24.95" customHeight="1" spans="1:23">
      <c r="A8" s="148" t="s">
        <v>334</v>
      </c>
      <c r="B8" s="146">
        <v>2.6448</v>
      </c>
      <c r="C8" s="147">
        <v>-4.35411543468827</v>
      </c>
      <c r="D8" s="146">
        <v>1.0581</v>
      </c>
      <c r="E8" s="147">
        <v>29.653228770984</v>
      </c>
      <c r="F8" s="146">
        <v>1.0146</v>
      </c>
      <c r="G8" s="147">
        <v>19.0705316277432</v>
      </c>
      <c r="H8" s="146">
        <v>1.0619</v>
      </c>
      <c r="I8" s="147">
        <v>19.1272156158851</v>
      </c>
      <c r="J8" s="146">
        <v>1.2469</v>
      </c>
      <c r="K8" s="147">
        <v>17.7320366348787</v>
      </c>
      <c r="L8" s="146">
        <v>1.4741</v>
      </c>
      <c r="M8" s="147">
        <v>18.1359192178234</v>
      </c>
      <c r="N8" s="146">
        <v>1.736</v>
      </c>
      <c r="O8" s="147">
        <v>18.0872049520441</v>
      </c>
      <c r="P8" s="146">
        <v>2.0486</v>
      </c>
      <c r="Q8" s="147">
        <v>21.7810010700273</v>
      </c>
      <c r="R8" s="146">
        <v>4.1243</v>
      </c>
      <c r="S8" s="147">
        <v>20.6511623063103</v>
      </c>
      <c r="T8" s="146">
        <v>4.6484</v>
      </c>
      <c r="U8" s="147">
        <v>20.0385703246662</v>
      </c>
      <c r="V8" s="146">
        <v>5.0998</v>
      </c>
      <c r="W8" s="147">
        <v>18.5</v>
      </c>
    </row>
    <row r="9" ht="24.95" customHeight="1" spans="1:23">
      <c r="A9" s="148" t="s">
        <v>335</v>
      </c>
      <c r="B9" s="146">
        <v>13.8513</v>
      </c>
      <c r="C9" s="147">
        <v>10.1284844244439</v>
      </c>
      <c r="D9" s="146">
        <v>2.5068</v>
      </c>
      <c r="E9" s="147">
        <v>5.11132542244959</v>
      </c>
      <c r="F9" s="146">
        <v>3.4161</v>
      </c>
      <c r="G9" s="147">
        <v>-10.8207591500026</v>
      </c>
      <c r="H9" s="146">
        <v>4.5782</v>
      </c>
      <c r="I9" s="147">
        <v>-10.7945910136004</v>
      </c>
      <c r="J9" s="146">
        <v>5.7154</v>
      </c>
      <c r="K9" s="147">
        <v>-5.18894529046813</v>
      </c>
      <c r="L9" s="146">
        <v>6.9242</v>
      </c>
      <c r="M9" s="147">
        <v>-0.532946432419235</v>
      </c>
      <c r="N9" s="146">
        <v>8.3099</v>
      </c>
      <c r="O9" s="147">
        <v>1.89944819129368</v>
      </c>
      <c r="P9" s="146">
        <v>9.4707</v>
      </c>
      <c r="Q9" s="147">
        <v>0.978792822185981</v>
      </c>
      <c r="R9" s="146">
        <v>10.6034</v>
      </c>
      <c r="S9" s="147">
        <v>1.92048906147872</v>
      </c>
      <c r="T9" s="146">
        <v>11.7705</v>
      </c>
      <c r="U9" s="147">
        <v>1.06643311609696</v>
      </c>
      <c r="V9" s="146">
        <v>12.901</v>
      </c>
      <c r="W9" s="147">
        <v>3.0069304717192</v>
      </c>
    </row>
    <row r="10" ht="24.95" customHeight="1" spans="1:23">
      <c r="A10" s="148" t="s">
        <v>336</v>
      </c>
      <c r="B10" s="146">
        <v>6.9423</v>
      </c>
      <c r="C10" s="147">
        <v>1.75744606003752</v>
      </c>
      <c r="D10" s="146">
        <v>0.618</v>
      </c>
      <c r="E10" s="147">
        <v>-42.2699673049977</v>
      </c>
      <c r="F10" s="146">
        <v>0.8484</v>
      </c>
      <c r="G10" s="147">
        <v>-29.7100248550124</v>
      </c>
      <c r="H10" s="146">
        <v>1.0534</v>
      </c>
      <c r="I10" s="147">
        <v>-25.795998872922</v>
      </c>
      <c r="J10" s="146">
        <v>1.2297</v>
      </c>
      <c r="K10" s="147">
        <v>-22.7963335007534</v>
      </c>
      <c r="L10" s="146">
        <v>1.4588</v>
      </c>
      <c r="M10" s="147">
        <v>-15.6421673509513</v>
      </c>
      <c r="N10" s="146">
        <v>1.7054</v>
      </c>
      <c r="O10" s="147">
        <v>-14.0683261110551</v>
      </c>
      <c r="P10" s="146">
        <v>1.9558</v>
      </c>
      <c r="Q10" s="147">
        <v>-9.41176470588235</v>
      </c>
      <c r="R10" s="146">
        <v>2.1879</v>
      </c>
      <c r="S10" s="147">
        <v>-6.96121789419969</v>
      </c>
      <c r="T10" s="146">
        <v>2.8928</v>
      </c>
      <c r="U10" s="147">
        <v>4.82298800594268</v>
      </c>
      <c r="V10" s="146">
        <v>3.2984</v>
      </c>
      <c r="W10" s="147">
        <v>-3.78904996645568</v>
      </c>
    </row>
    <row r="11" ht="24.95" customHeight="1" spans="1:23">
      <c r="A11" s="148" t="s">
        <v>337</v>
      </c>
      <c r="B11" s="146">
        <v>6.1925</v>
      </c>
      <c r="C11" s="147">
        <v>-23.1909404380938</v>
      </c>
      <c r="D11" s="146">
        <v>0.6771</v>
      </c>
      <c r="E11" s="147">
        <v>-16.1797474622431</v>
      </c>
      <c r="F11" s="146">
        <v>1.3293</v>
      </c>
      <c r="G11" s="147">
        <v>1.02599179206566</v>
      </c>
      <c r="H11" s="146">
        <v>1.6142</v>
      </c>
      <c r="I11" s="147">
        <v>-13.660676080445</v>
      </c>
      <c r="J11" s="146">
        <v>2.0523</v>
      </c>
      <c r="K11" s="147">
        <v>-11.6644428184049</v>
      </c>
      <c r="L11" s="146">
        <v>2.6641</v>
      </c>
      <c r="M11" s="147">
        <v>-14.879545018851</v>
      </c>
      <c r="N11" s="146">
        <v>2.8758</v>
      </c>
      <c r="O11" s="147">
        <v>-17.2812517977334</v>
      </c>
      <c r="P11" s="146">
        <v>3.2685</v>
      </c>
      <c r="Q11" s="147">
        <v>-14.043392504931</v>
      </c>
      <c r="R11" s="146">
        <v>6.6098</v>
      </c>
      <c r="S11" s="147">
        <v>-21.1953752374881</v>
      </c>
      <c r="T11" s="146">
        <v>7.1654</v>
      </c>
      <c r="U11" s="147">
        <v>-21.8136242037559</v>
      </c>
      <c r="V11" s="146">
        <v>7.8609</v>
      </c>
      <c r="W11" s="147">
        <v>23.4</v>
      </c>
    </row>
    <row r="12" ht="24.95" customHeight="1" spans="1:23">
      <c r="A12" s="148" t="s">
        <v>338</v>
      </c>
      <c r="B12" s="146">
        <v>8.6378</v>
      </c>
      <c r="C12" s="147">
        <v>-13.7935508338407</v>
      </c>
      <c r="D12" s="146">
        <v>1.2253</v>
      </c>
      <c r="E12" s="147">
        <v>-21.7060702875399</v>
      </c>
      <c r="F12" s="146">
        <v>1.8256</v>
      </c>
      <c r="G12" s="147">
        <v>-33.147795517797</v>
      </c>
      <c r="H12" s="146">
        <v>2.3406</v>
      </c>
      <c r="I12" s="147">
        <v>-32.3565111843246</v>
      </c>
      <c r="J12" s="146">
        <v>2.8741</v>
      </c>
      <c r="K12" s="147">
        <v>-29.8726332227211</v>
      </c>
      <c r="L12" s="146">
        <v>3.4973</v>
      </c>
      <c r="M12" s="147">
        <v>-28.0005764400708</v>
      </c>
      <c r="N12" s="146">
        <v>4.0106</v>
      </c>
      <c r="O12" s="147">
        <v>-27.9912381499569</v>
      </c>
      <c r="P12" s="146">
        <v>4.5627</v>
      </c>
      <c r="Q12" s="147">
        <v>-26.9547259221311</v>
      </c>
      <c r="R12" s="146">
        <v>4.9874</v>
      </c>
      <c r="S12" s="147">
        <v>-28.9199897386198</v>
      </c>
      <c r="T12" s="146">
        <v>5.4641</v>
      </c>
      <c r="U12" s="147">
        <v>-27.2549358965825</v>
      </c>
      <c r="V12" s="146">
        <v>5.8868</v>
      </c>
      <c r="W12" s="147">
        <v>-26.9119984108065</v>
      </c>
    </row>
    <row r="13" ht="24.95" customHeight="1" spans="1:23">
      <c r="A13" s="149" t="s">
        <v>339</v>
      </c>
      <c r="B13" s="219">
        <v>77.4532</v>
      </c>
      <c r="C13" s="197">
        <v>18.7229646252372</v>
      </c>
      <c r="D13" s="219">
        <v>17.5698</v>
      </c>
      <c r="E13" s="197">
        <v>15.0149580062974</v>
      </c>
      <c r="F13" s="219">
        <v>28.1941</v>
      </c>
      <c r="G13" s="197">
        <v>26.8313419944578</v>
      </c>
      <c r="H13" s="219">
        <v>31.7711</v>
      </c>
      <c r="I13" s="197">
        <v>24.9876078900367</v>
      </c>
      <c r="J13" s="219">
        <v>35.7638</v>
      </c>
      <c r="K13" s="197">
        <v>21.3195834322738</v>
      </c>
      <c r="L13" s="219">
        <v>42.9299</v>
      </c>
      <c r="M13" s="197">
        <v>21.2267281132017</v>
      </c>
      <c r="N13" s="219">
        <v>47.104</v>
      </c>
      <c r="O13" s="197">
        <v>22.7433812799666</v>
      </c>
      <c r="P13" s="219">
        <v>53.1545</v>
      </c>
      <c r="Q13" s="197">
        <v>20.3903351618734</v>
      </c>
      <c r="R13" s="219">
        <v>62.4571</v>
      </c>
      <c r="S13" s="197">
        <v>19.3646965289749</v>
      </c>
      <c r="T13" s="219">
        <v>68.1604</v>
      </c>
      <c r="U13" s="197">
        <v>13.1212212240454</v>
      </c>
      <c r="V13" s="219">
        <v>73.9472</v>
      </c>
      <c r="W13" s="197">
        <v>11.7466074288996</v>
      </c>
    </row>
    <row r="14" ht="24.95" customHeight="1" spans="1:23">
      <c r="A14" s="149" t="s">
        <v>340</v>
      </c>
      <c r="B14" s="219">
        <v>533.0464</v>
      </c>
      <c r="C14" s="197">
        <v>-1.89219313886734</v>
      </c>
      <c r="D14" s="219">
        <v>108.9436</v>
      </c>
      <c r="E14" s="197">
        <v>26.4278071639283</v>
      </c>
      <c r="F14" s="219">
        <v>160.2533</v>
      </c>
      <c r="G14" s="197">
        <v>31.8778108322738</v>
      </c>
      <c r="H14" s="219">
        <v>202.3112</v>
      </c>
      <c r="I14" s="197">
        <v>23.7876306107477</v>
      </c>
      <c r="J14" s="219">
        <v>244.5811</v>
      </c>
      <c r="K14" s="197">
        <v>17.0885403302095</v>
      </c>
      <c r="L14" s="219">
        <v>296.8274</v>
      </c>
      <c r="M14" s="197">
        <v>17.9623644183955</v>
      </c>
      <c r="N14" s="219">
        <v>333.8119</v>
      </c>
      <c r="O14" s="197">
        <v>15.5553486233895</v>
      </c>
      <c r="P14" s="219">
        <v>367.3675</v>
      </c>
      <c r="Q14" s="197">
        <v>10.2110545406982</v>
      </c>
      <c r="R14" s="219">
        <v>412.3226</v>
      </c>
      <c r="S14" s="197">
        <v>10.5978771092378</v>
      </c>
      <c r="T14" s="219">
        <v>449.6999</v>
      </c>
      <c r="U14" s="197">
        <v>9.45361047308455</v>
      </c>
      <c r="V14" s="219">
        <v>495.5309</v>
      </c>
      <c r="W14" s="197">
        <v>8.80917268904169</v>
      </c>
    </row>
    <row r="15" ht="24.95" customHeight="1" spans="1:23">
      <c r="A15" s="148" t="s">
        <v>341</v>
      </c>
      <c r="B15" s="146">
        <v>52.9773</v>
      </c>
      <c r="C15" s="147">
        <v>-2.19400838538042</v>
      </c>
      <c r="D15" s="146">
        <v>10.7102</v>
      </c>
      <c r="E15" s="147">
        <v>17.8278711068572</v>
      </c>
      <c r="F15" s="146">
        <v>15.5725</v>
      </c>
      <c r="G15" s="147">
        <v>18.4490758347912</v>
      </c>
      <c r="H15" s="146">
        <v>20.9066</v>
      </c>
      <c r="I15" s="147">
        <v>21.1337787022498</v>
      </c>
      <c r="J15" s="146">
        <v>24.4049</v>
      </c>
      <c r="K15" s="147">
        <v>20.2946627496599</v>
      </c>
      <c r="L15" s="146">
        <v>29.0033</v>
      </c>
      <c r="M15" s="147">
        <v>14.1740838572278</v>
      </c>
      <c r="N15" s="146">
        <v>32.7405</v>
      </c>
      <c r="O15" s="147">
        <v>13.5250122226499</v>
      </c>
      <c r="P15" s="146">
        <v>36.7825</v>
      </c>
      <c r="Q15" s="147">
        <v>13.2804439749556</v>
      </c>
      <c r="R15" s="146">
        <v>41.38</v>
      </c>
      <c r="S15" s="147">
        <v>12.5741335219544</v>
      </c>
      <c r="T15" s="146">
        <v>44.552</v>
      </c>
      <c r="U15" s="147">
        <v>10.1253964212707</v>
      </c>
      <c r="V15" s="146">
        <v>48.9746</v>
      </c>
      <c r="W15" s="147">
        <v>9.01267873996119</v>
      </c>
    </row>
    <row r="16" ht="24.95" customHeight="1" spans="1:23">
      <c r="A16" s="148" t="s">
        <v>342</v>
      </c>
      <c r="B16" s="146">
        <v>1.4497</v>
      </c>
      <c r="C16" s="147">
        <v>-11.6359868340851</v>
      </c>
      <c r="D16" s="146">
        <v>0.204</v>
      </c>
      <c r="E16" s="147">
        <v>280.597014925373</v>
      </c>
      <c r="F16" s="146">
        <v>0.2559</v>
      </c>
      <c r="G16" s="147">
        <v>104.72</v>
      </c>
      <c r="H16" s="146">
        <v>0.2906</v>
      </c>
      <c r="I16" s="147">
        <v>-30.1274344794422</v>
      </c>
      <c r="J16" s="146">
        <v>0.5254</v>
      </c>
      <c r="K16" s="147">
        <v>7.57575757575757</v>
      </c>
      <c r="L16" s="146">
        <v>0.6152</v>
      </c>
      <c r="M16" s="147">
        <v>1.51815181518151</v>
      </c>
      <c r="N16" s="146">
        <v>0.7794</v>
      </c>
      <c r="O16" s="147">
        <v>-25.0793040469095</v>
      </c>
      <c r="P16" s="146">
        <v>1.0854</v>
      </c>
      <c r="Q16" s="147">
        <v>1.07086320886489</v>
      </c>
      <c r="R16" s="146">
        <v>1.2958</v>
      </c>
      <c r="S16" s="147">
        <v>11.562634524322</v>
      </c>
      <c r="T16" s="146">
        <v>1.4945</v>
      </c>
      <c r="U16" s="147">
        <v>21.0807745280726</v>
      </c>
      <c r="V16" s="146">
        <v>1.6113</v>
      </c>
      <c r="W16" s="147">
        <v>40.553035589672</v>
      </c>
    </row>
    <row r="17" ht="24.95" customHeight="1" spans="1:23">
      <c r="A17" s="148" t="s">
        <v>343</v>
      </c>
      <c r="B17" s="146">
        <v>427.5453</v>
      </c>
      <c r="C17" s="147">
        <v>-1.64374422721454</v>
      </c>
      <c r="D17" s="146">
        <v>84.4609</v>
      </c>
      <c r="E17" s="147">
        <v>29.9504421129723</v>
      </c>
      <c r="F17" s="146">
        <v>127.5088</v>
      </c>
      <c r="G17" s="147">
        <v>37.0944434887321</v>
      </c>
      <c r="H17" s="146">
        <v>161.2427</v>
      </c>
      <c r="I17" s="147">
        <v>26.5910566533383</v>
      </c>
      <c r="J17" s="146">
        <v>197.0968</v>
      </c>
      <c r="K17" s="147">
        <v>17.983956076452</v>
      </c>
      <c r="L17" s="146">
        <v>241.2518</v>
      </c>
      <c r="M17" s="147">
        <v>20.4030940744153</v>
      </c>
      <c r="N17" s="146">
        <v>271.5853</v>
      </c>
      <c r="O17" s="147">
        <v>17.58883936651</v>
      </c>
      <c r="P17" s="146">
        <v>297.1253</v>
      </c>
      <c r="Q17" s="147">
        <v>10.3932466337757</v>
      </c>
      <c r="R17" s="146">
        <v>331.7694</v>
      </c>
      <c r="S17" s="147">
        <v>10.9151511099224</v>
      </c>
      <c r="T17" s="146">
        <v>363.3903</v>
      </c>
      <c r="U17" s="147">
        <v>10.1468775375908</v>
      </c>
      <c r="V17" s="146">
        <v>400.6552</v>
      </c>
      <c r="W17" s="147">
        <v>9.58840262582057</v>
      </c>
    </row>
    <row r="18" ht="24.95" customHeight="1" spans="1:23">
      <c r="A18" s="148" t="s">
        <v>344</v>
      </c>
      <c r="B18" s="146">
        <v>121.5823</v>
      </c>
      <c r="C18" s="147">
        <v>-4.41951163523817</v>
      </c>
      <c r="D18" s="146">
        <v>25.5677</v>
      </c>
      <c r="E18" s="147">
        <v>17.1685463285872</v>
      </c>
      <c r="F18" s="146">
        <v>35.6956</v>
      </c>
      <c r="G18" s="147">
        <v>16.5574418202182</v>
      </c>
      <c r="H18" s="146">
        <v>45.2023</v>
      </c>
      <c r="I18" s="147">
        <v>11.5269032627361</v>
      </c>
      <c r="J18" s="146">
        <v>54.8407</v>
      </c>
      <c r="K18" s="147">
        <v>11.5276283598693</v>
      </c>
      <c r="L18" s="146">
        <v>65.8675</v>
      </c>
      <c r="M18" s="147">
        <v>12.8821076696595</v>
      </c>
      <c r="N18" s="146">
        <v>75.7454</v>
      </c>
      <c r="O18" s="147">
        <v>12.6101267554123</v>
      </c>
      <c r="P18" s="146">
        <v>84.0777</v>
      </c>
      <c r="Q18" s="147">
        <v>10.5571269087997</v>
      </c>
      <c r="R18" s="146">
        <v>93.8844</v>
      </c>
      <c r="S18" s="147">
        <v>9.33075895607294</v>
      </c>
      <c r="T18" s="146">
        <v>102.9098</v>
      </c>
      <c r="U18" s="147">
        <v>8.8419013049208</v>
      </c>
      <c r="V18" s="146">
        <v>113.4118</v>
      </c>
      <c r="W18" s="147">
        <v>7.53195281981265</v>
      </c>
    </row>
    <row r="19" ht="24.95" customHeight="1" spans="1:23">
      <c r="A19" s="148" t="s">
        <v>345</v>
      </c>
      <c r="B19" s="150">
        <v>3.4338</v>
      </c>
      <c r="C19" s="151">
        <v>-31.2593838207915</v>
      </c>
      <c r="D19" s="150">
        <v>0.5951</v>
      </c>
      <c r="E19" s="151">
        <v>0.0504371217215915</v>
      </c>
      <c r="F19" s="150">
        <v>0.8444</v>
      </c>
      <c r="G19" s="151">
        <v>-7.03512055488275</v>
      </c>
      <c r="H19" s="150">
        <v>1.0777</v>
      </c>
      <c r="I19" s="151">
        <v>-10.0417362270451</v>
      </c>
      <c r="J19" s="150">
        <v>1.2798</v>
      </c>
      <c r="K19" s="151">
        <v>-19.2809839167455</v>
      </c>
      <c r="L19" s="150">
        <v>1.5115</v>
      </c>
      <c r="M19" s="151">
        <v>-17.7951813781476</v>
      </c>
      <c r="N19" s="150">
        <v>1.7552</v>
      </c>
      <c r="O19" s="151">
        <v>-17.3984658101558</v>
      </c>
      <c r="P19" s="150">
        <v>1.9943</v>
      </c>
      <c r="Q19" s="151">
        <v>-14.8717292013489</v>
      </c>
      <c r="R19" s="150">
        <v>2.2762</v>
      </c>
      <c r="S19" s="151">
        <v>-13.4853667806918</v>
      </c>
      <c r="T19" s="150">
        <v>2.548</v>
      </c>
      <c r="U19" s="151">
        <v>-11.576901721266</v>
      </c>
      <c r="V19" s="150">
        <v>2.7522</v>
      </c>
      <c r="W19" s="151">
        <v>-13.5588429284839</v>
      </c>
    </row>
    <row r="20" ht="24.95" customHeight="1" spans="1:23">
      <c r="A20" s="148" t="s">
        <v>346</v>
      </c>
      <c r="B20" s="146">
        <v>122.2368</v>
      </c>
      <c r="C20" s="147">
        <v>3.68118557925237</v>
      </c>
      <c r="D20" s="146">
        <v>21.7692</v>
      </c>
      <c r="E20" s="147">
        <v>24.1223593807908</v>
      </c>
      <c r="F20" s="146">
        <v>35.9047</v>
      </c>
      <c r="G20" s="147">
        <v>29.6484063277473</v>
      </c>
      <c r="H20" s="146">
        <v>45.917</v>
      </c>
      <c r="I20" s="147">
        <v>25.3562731372785</v>
      </c>
      <c r="J20" s="146">
        <v>55.4312</v>
      </c>
      <c r="K20" s="147">
        <v>12.9743423560031</v>
      </c>
      <c r="L20" s="146">
        <v>68.6026</v>
      </c>
      <c r="M20" s="147">
        <v>15.0168411134415</v>
      </c>
      <c r="N20" s="146">
        <v>78.1525</v>
      </c>
      <c r="O20" s="147">
        <v>12.8349024799784</v>
      </c>
      <c r="P20" s="146">
        <v>86.5319</v>
      </c>
      <c r="Q20" s="147">
        <v>6.01320449820335</v>
      </c>
      <c r="R20" s="146">
        <v>97.0929</v>
      </c>
      <c r="S20" s="147">
        <v>6.27204129479677</v>
      </c>
      <c r="T20" s="146">
        <v>106.037</v>
      </c>
      <c r="U20" s="147">
        <v>6.88588772027441</v>
      </c>
      <c r="V20" s="146">
        <v>116.9917</v>
      </c>
      <c r="W20" s="147">
        <v>8.91145057070857</v>
      </c>
    </row>
    <row r="21" ht="24.95" customHeight="1" spans="1:23">
      <c r="A21" s="148" t="s">
        <v>347</v>
      </c>
      <c r="B21" s="146">
        <v>69.7065</v>
      </c>
      <c r="C21" s="147">
        <v>-2.46542182919748</v>
      </c>
      <c r="D21" s="146">
        <v>15.1685</v>
      </c>
      <c r="E21" s="147">
        <v>265.69107259095</v>
      </c>
      <c r="F21" s="146">
        <v>26.323</v>
      </c>
      <c r="G21" s="147">
        <v>286.409676756408</v>
      </c>
      <c r="H21" s="146">
        <v>32.3584</v>
      </c>
      <c r="I21" s="147">
        <v>101.122513036939</v>
      </c>
      <c r="J21" s="146">
        <v>40.3305</v>
      </c>
      <c r="K21" s="147">
        <v>41.1465168775264</v>
      </c>
      <c r="L21" s="146">
        <v>51.2437</v>
      </c>
      <c r="M21" s="147">
        <v>47.6580711900255</v>
      </c>
      <c r="N21" s="146">
        <v>54.4473</v>
      </c>
      <c r="O21" s="147">
        <v>39.5175962321975</v>
      </c>
      <c r="P21" s="146">
        <v>56.768</v>
      </c>
      <c r="Q21" s="147">
        <v>15.9931999476919</v>
      </c>
      <c r="R21" s="146">
        <v>59.9612</v>
      </c>
      <c r="S21" s="147">
        <v>17.303941419631</v>
      </c>
      <c r="T21" s="146">
        <v>64.5407</v>
      </c>
      <c r="U21" s="147">
        <v>11.0564878035351</v>
      </c>
      <c r="V21" s="146">
        <v>72.5933</v>
      </c>
      <c r="W21" s="147">
        <v>17.0971108540974</v>
      </c>
    </row>
    <row r="22" ht="24.95" customHeight="1" spans="1:23">
      <c r="A22" s="148" t="s">
        <v>348</v>
      </c>
      <c r="B22" s="146">
        <v>3.5729</v>
      </c>
      <c r="C22" s="147">
        <v>-34.3578908690061</v>
      </c>
      <c r="D22" s="146">
        <v>0.6716</v>
      </c>
      <c r="E22" s="147">
        <v>-9.71904825917462</v>
      </c>
      <c r="F22" s="146">
        <v>0.936</v>
      </c>
      <c r="G22" s="147">
        <v>-9.80921179417999</v>
      </c>
      <c r="H22" s="146">
        <v>1.2441</v>
      </c>
      <c r="I22" s="147">
        <v>-1.5821533106558</v>
      </c>
      <c r="J22" s="146">
        <v>1.4777</v>
      </c>
      <c r="K22" s="147">
        <v>3.83669454008855</v>
      </c>
      <c r="L22" s="146">
        <v>1.8683</v>
      </c>
      <c r="M22" s="147">
        <v>10.700953961012</v>
      </c>
      <c r="N22" s="146">
        <v>2.1141</v>
      </c>
      <c r="O22" s="147">
        <v>11.3446042028756</v>
      </c>
      <c r="P22" s="146">
        <v>2.2629</v>
      </c>
      <c r="Q22" s="147">
        <v>8.49594860238769</v>
      </c>
      <c r="R22" s="146">
        <v>2.5028</v>
      </c>
      <c r="S22" s="147">
        <v>10.8071014300261</v>
      </c>
      <c r="T22" s="146">
        <v>2.4472</v>
      </c>
      <c r="U22" s="147">
        <v>0.78662328569663</v>
      </c>
      <c r="V22" s="146">
        <v>2.5421</v>
      </c>
      <c r="W22" s="147">
        <v>-21.6368680641184</v>
      </c>
    </row>
    <row r="23" ht="24.95" customHeight="1" spans="1:23">
      <c r="A23" s="148" t="s">
        <v>349</v>
      </c>
      <c r="B23" s="146">
        <v>17.5598</v>
      </c>
      <c r="C23" s="147">
        <v>-16.8172279357079</v>
      </c>
      <c r="D23" s="146">
        <v>2.6087</v>
      </c>
      <c r="E23" s="147">
        <v>5.22770360211366</v>
      </c>
      <c r="F23" s="146">
        <v>4.0647</v>
      </c>
      <c r="G23" s="147">
        <v>31.144737691166</v>
      </c>
      <c r="H23" s="146">
        <v>5.7792</v>
      </c>
      <c r="I23" s="147">
        <v>42.3553464541715</v>
      </c>
      <c r="J23" s="146">
        <v>6.2512</v>
      </c>
      <c r="K23" s="147">
        <v>31.173409434279</v>
      </c>
      <c r="L23" s="146">
        <v>7.1765</v>
      </c>
      <c r="M23" s="147">
        <v>21.238997854476</v>
      </c>
      <c r="N23" s="146">
        <v>8.1015</v>
      </c>
      <c r="O23" s="147">
        <v>20.2163493641584</v>
      </c>
      <c r="P23" s="146">
        <v>8.9436</v>
      </c>
      <c r="Q23" s="147">
        <v>7.96364031434469</v>
      </c>
      <c r="R23" s="146">
        <v>10.1314</v>
      </c>
      <c r="S23" s="147">
        <v>10.2137612183846</v>
      </c>
      <c r="T23" s="146">
        <v>12.0307</v>
      </c>
      <c r="U23" s="147">
        <v>21.7103199894787</v>
      </c>
      <c r="V23" s="146">
        <v>13.5262</v>
      </c>
      <c r="W23" s="147">
        <v>17.972020653084</v>
      </c>
    </row>
    <row r="24" ht="24.95" customHeight="1" spans="1:23">
      <c r="A24" s="211" t="s">
        <v>350</v>
      </c>
      <c r="B24" s="146">
        <v>50.9524</v>
      </c>
      <c r="C24" s="147">
        <v>20.8109960095127</v>
      </c>
      <c r="D24" s="146">
        <v>11.0842</v>
      </c>
      <c r="E24" s="147">
        <v>0.800276459140425</v>
      </c>
      <c r="F24" s="146">
        <v>13.8641</v>
      </c>
      <c r="G24" s="147">
        <v>7.58706853737274</v>
      </c>
      <c r="H24" s="146">
        <v>17.0304</v>
      </c>
      <c r="I24" s="147">
        <v>12.7303537386147</v>
      </c>
      <c r="J24" s="146">
        <v>22.3541</v>
      </c>
      <c r="K24" s="147">
        <v>26.8288946633835</v>
      </c>
      <c r="L24" s="146">
        <v>26.6762</v>
      </c>
      <c r="M24" s="147">
        <v>31.9036787974684</v>
      </c>
      <c r="N24" s="146">
        <v>30.38</v>
      </c>
      <c r="O24" s="147">
        <v>24.2932305602605</v>
      </c>
      <c r="P24" s="146">
        <v>32.2517</v>
      </c>
      <c r="Q24" s="147">
        <v>18.122086017646</v>
      </c>
      <c r="R24" s="146">
        <v>36.9328</v>
      </c>
      <c r="S24" s="147">
        <v>20.007928436116</v>
      </c>
      <c r="T24" s="146">
        <v>40.239</v>
      </c>
      <c r="U24" s="147">
        <v>18.7337895137518</v>
      </c>
      <c r="V24" s="146">
        <v>42.7437</v>
      </c>
      <c r="W24" s="147">
        <v>6.45339642612539</v>
      </c>
    </row>
    <row r="25" ht="24.95" customHeight="1" spans="1:23">
      <c r="A25" s="211" t="s">
        <v>351</v>
      </c>
      <c r="B25" s="146">
        <v>11.5277</v>
      </c>
      <c r="C25" s="147">
        <v>-37.572363896305</v>
      </c>
      <c r="D25" s="146">
        <v>2.2452</v>
      </c>
      <c r="E25" s="147">
        <v>-18.4779056679133</v>
      </c>
      <c r="F25" s="146">
        <v>3.0241</v>
      </c>
      <c r="G25" s="147">
        <v>-31.1374245701924</v>
      </c>
      <c r="H25" s="146">
        <v>3.7888</v>
      </c>
      <c r="I25" s="147">
        <v>-24.8850118953212</v>
      </c>
      <c r="J25" s="146">
        <v>4.1974</v>
      </c>
      <c r="K25" s="147">
        <v>-26.8286730353532</v>
      </c>
      <c r="L25" s="146">
        <v>5.449</v>
      </c>
      <c r="M25" s="147">
        <v>-15.7948416807034</v>
      </c>
      <c r="N25" s="146">
        <v>6.2482</v>
      </c>
      <c r="O25" s="147">
        <v>-9.06153577458229</v>
      </c>
      <c r="P25" s="146">
        <v>7.3277</v>
      </c>
      <c r="Q25" s="147">
        <v>-0.1376434353621</v>
      </c>
      <c r="R25" s="146">
        <v>8.7024</v>
      </c>
      <c r="S25" s="147">
        <v>4.90380442644294</v>
      </c>
      <c r="T25" s="146">
        <v>9.9926</v>
      </c>
      <c r="U25" s="147">
        <v>17.0367767627079</v>
      </c>
      <c r="V25" s="146">
        <v>10.8832</v>
      </c>
      <c r="W25" s="147">
        <v>14.9848387199019</v>
      </c>
    </row>
    <row r="26" ht="24.95" customHeight="1" spans="1:23">
      <c r="A26" s="211" t="s">
        <v>352</v>
      </c>
      <c r="B26" s="146">
        <v>19.4354</v>
      </c>
      <c r="C26" s="147">
        <v>-4.14956995186617</v>
      </c>
      <c r="D26" s="146">
        <v>3.3314</v>
      </c>
      <c r="E26" s="147">
        <v>5.795674680047</v>
      </c>
      <c r="F26" s="146">
        <v>4.8798</v>
      </c>
      <c r="G26" s="147">
        <v>8.30041280127836</v>
      </c>
      <c r="H26" s="146">
        <v>6.3749</v>
      </c>
      <c r="I26" s="147">
        <v>6.23593914043361</v>
      </c>
      <c r="J26" s="146">
        <v>8.068</v>
      </c>
      <c r="K26" s="147">
        <v>9.51094702265416</v>
      </c>
      <c r="L26" s="146">
        <v>9.5011</v>
      </c>
      <c r="M26" s="147">
        <v>8.74680950909361</v>
      </c>
      <c r="N26" s="146">
        <v>10.9023</v>
      </c>
      <c r="O26" s="147">
        <v>5.90000874219274</v>
      </c>
      <c r="P26" s="146">
        <v>12.79</v>
      </c>
      <c r="Q26" s="147">
        <v>7.62279011452276</v>
      </c>
      <c r="R26" s="146">
        <v>15.4087</v>
      </c>
      <c r="S26" s="147">
        <v>13.7248968566178</v>
      </c>
      <c r="T26" s="146">
        <v>17.0661</v>
      </c>
      <c r="U26" s="147">
        <v>8.09128105088481</v>
      </c>
      <c r="V26" s="146">
        <v>18.8465</v>
      </c>
      <c r="W26" s="147">
        <v>6.29723632261703</v>
      </c>
    </row>
    <row r="27" ht="24.95" customHeight="1" spans="1:23">
      <c r="A27" s="215" t="s">
        <v>353</v>
      </c>
      <c r="B27" s="153">
        <v>1.4979</v>
      </c>
      <c r="C27" s="154">
        <v>-40.3488511011111</v>
      </c>
      <c r="D27" s="153">
        <v>0.664</v>
      </c>
      <c r="E27" s="154">
        <v>70.9137709137709</v>
      </c>
      <c r="F27" s="153">
        <v>0.7505</v>
      </c>
      <c r="G27" s="154">
        <v>68.0851063829787</v>
      </c>
      <c r="H27" s="153">
        <v>0.8672</v>
      </c>
      <c r="I27" s="154">
        <v>62.0934579439252</v>
      </c>
      <c r="J27" s="153">
        <v>0.9368</v>
      </c>
      <c r="K27" s="154">
        <v>58.0830239622005</v>
      </c>
      <c r="L27" s="153">
        <v>1.0157</v>
      </c>
      <c r="M27" s="154">
        <v>59.5758051846033</v>
      </c>
      <c r="N27" s="153">
        <v>1.0994</v>
      </c>
      <c r="O27" s="154">
        <v>65.547357325704</v>
      </c>
      <c r="P27" s="153">
        <v>1.2393</v>
      </c>
      <c r="Q27" s="154">
        <v>76.1870912709696</v>
      </c>
      <c r="R27" s="153">
        <v>1.4894</v>
      </c>
      <c r="S27" s="154">
        <v>99.0910306108809</v>
      </c>
      <c r="T27" s="153">
        <v>1.5756</v>
      </c>
      <c r="U27" s="154">
        <v>51.136690647482</v>
      </c>
      <c r="V27" s="153">
        <v>1.9619</v>
      </c>
      <c r="W27" s="154">
        <v>78.2897128316976</v>
      </c>
    </row>
    <row r="28" ht="44" customHeight="1" spans="1:23">
      <c r="A28" s="174" t="s">
        <v>354</v>
      </c>
      <c r="B28" s="174"/>
      <c r="C28" s="174"/>
      <c r="D28" s="174"/>
      <c r="E28" s="174"/>
      <c r="F28" s="174"/>
      <c r="G28" s="174"/>
      <c r="H28" s="174"/>
      <c r="I28" s="174"/>
      <c r="J28" s="174"/>
      <c r="K28" s="174"/>
      <c r="L28" s="174"/>
      <c r="M28" s="174"/>
      <c r="N28" s="174"/>
      <c r="O28" s="174"/>
      <c r="P28" s="174"/>
      <c r="Q28" s="174"/>
      <c r="R28" s="174"/>
      <c r="S28" s="174"/>
      <c r="T28" s="174"/>
      <c r="U28" s="174"/>
      <c r="V28" s="174"/>
      <c r="W28" s="174"/>
    </row>
  </sheetData>
  <mergeCells count="14">
    <mergeCell ref="A1:W1"/>
    <mergeCell ref="B2:C2"/>
    <mergeCell ref="D2:E2"/>
    <mergeCell ref="F2:G2"/>
    <mergeCell ref="H2:I2"/>
    <mergeCell ref="J2:K2"/>
    <mergeCell ref="L2:M2"/>
    <mergeCell ref="N2:O2"/>
    <mergeCell ref="P2:Q2"/>
    <mergeCell ref="R2:S2"/>
    <mergeCell ref="T2:U2"/>
    <mergeCell ref="V2:W2"/>
    <mergeCell ref="A28:W28"/>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W35"/>
  <sheetViews>
    <sheetView zoomScale="80" zoomScaleNormal="80" workbookViewId="0">
      <pane xSplit="1" ySplit="3" topLeftCell="N4" activePane="bottomRight" state="frozen"/>
      <selection/>
      <selection pane="topRight"/>
      <selection pane="bottomLeft"/>
      <selection pane="bottomRight" activeCell="W33" sqref="W15 W33"/>
    </sheetView>
  </sheetViews>
  <sheetFormatPr defaultColWidth="9" defaultRowHeight="14.25"/>
  <cols>
    <col min="1" max="1" width="35.5" style="133" customWidth="1"/>
    <col min="2" max="23" width="9.525" style="133" customWidth="1"/>
    <col min="24" max="170" width="9" style="133"/>
    <col min="171" max="16384" width="9" style="134"/>
  </cols>
  <sheetData>
    <row r="1" ht="28.5" customHeight="1" spans="1:23">
      <c r="A1" s="135" t="s">
        <v>355</v>
      </c>
      <c r="B1" s="135"/>
      <c r="C1" s="135"/>
      <c r="D1" s="135"/>
      <c r="E1" s="135"/>
      <c r="F1" s="135"/>
      <c r="G1" s="135"/>
      <c r="H1" s="135"/>
      <c r="I1" s="135"/>
      <c r="J1" s="135"/>
      <c r="K1" s="135"/>
      <c r="L1" s="135"/>
      <c r="M1" s="135"/>
      <c r="N1" s="135"/>
      <c r="O1" s="135"/>
      <c r="P1" s="135"/>
      <c r="Q1" s="135"/>
      <c r="R1" s="135"/>
      <c r="S1" s="135"/>
      <c r="T1" s="135"/>
      <c r="U1" s="135"/>
      <c r="V1" s="135"/>
      <c r="W1" s="135"/>
    </row>
    <row r="2" ht="21" customHeight="1" spans="1:23">
      <c r="A2" s="136" t="s">
        <v>1</v>
      </c>
      <c r="B2" s="137" t="s">
        <v>3</v>
      </c>
      <c r="C2" s="138"/>
      <c r="D2" s="137" t="s">
        <v>4</v>
      </c>
      <c r="E2" s="138"/>
      <c r="F2" s="137" t="s">
        <v>5</v>
      </c>
      <c r="G2" s="138"/>
      <c r="H2" s="137" t="s">
        <v>6</v>
      </c>
      <c r="I2" s="138"/>
      <c r="J2" s="137" t="s">
        <v>7</v>
      </c>
      <c r="K2" s="138"/>
      <c r="L2" s="137" t="s">
        <v>8</v>
      </c>
      <c r="M2" s="138"/>
      <c r="N2" s="137" t="s">
        <v>9</v>
      </c>
      <c r="O2" s="138"/>
      <c r="P2" s="137" t="s">
        <v>10</v>
      </c>
      <c r="Q2" s="138"/>
      <c r="R2" s="137" t="s">
        <v>11</v>
      </c>
      <c r="S2" s="138"/>
      <c r="T2" s="137" t="s">
        <v>12</v>
      </c>
      <c r="U2" s="138"/>
      <c r="V2" s="137" t="s">
        <v>13</v>
      </c>
      <c r="W2" s="138"/>
    </row>
    <row r="3" ht="31" customHeight="1" spans="1:23">
      <c r="A3" s="139"/>
      <c r="B3" s="140" t="s">
        <v>14</v>
      </c>
      <c r="C3" s="141" t="s">
        <v>15</v>
      </c>
      <c r="D3" s="140" t="s">
        <v>14</v>
      </c>
      <c r="E3" s="141" t="s">
        <v>15</v>
      </c>
      <c r="F3" s="140" t="s">
        <v>14</v>
      </c>
      <c r="G3" s="141" t="s">
        <v>15</v>
      </c>
      <c r="H3" s="140" t="s">
        <v>14</v>
      </c>
      <c r="I3" s="141" t="s">
        <v>15</v>
      </c>
      <c r="J3" s="140" t="s">
        <v>14</v>
      </c>
      <c r="K3" s="141" t="s">
        <v>15</v>
      </c>
      <c r="L3" s="140" t="s">
        <v>14</v>
      </c>
      <c r="M3" s="141" t="s">
        <v>15</v>
      </c>
      <c r="N3" s="140" t="s">
        <v>14</v>
      </c>
      <c r="O3" s="141" t="s">
        <v>15</v>
      </c>
      <c r="P3" s="140" t="s">
        <v>14</v>
      </c>
      <c r="Q3" s="141" t="s">
        <v>15</v>
      </c>
      <c r="R3" s="140" t="s">
        <v>14</v>
      </c>
      <c r="S3" s="141" t="s">
        <v>15</v>
      </c>
      <c r="T3" s="140" t="s">
        <v>14</v>
      </c>
      <c r="U3" s="141" t="s">
        <v>15</v>
      </c>
      <c r="V3" s="140" t="s">
        <v>14</v>
      </c>
      <c r="W3" s="141" t="s">
        <v>15</v>
      </c>
    </row>
    <row r="4" ht="19.5" customHeight="1" spans="1:23">
      <c r="A4" s="204" t="s">
        <v>356</v>
      </c>
      <c r="B4" s="219">
        <v>4968.235657063</v>
      </c>
      <c r="C4" s="197">
        <v>5.37318780380383</v>
      </c>
      <c r="D4" s="219">
        <v>5073.5846202377</v>
      </c>
      <c r="E4" s="197">
        <v>5.88428555571392</v>
      </c>
      <c r="F4" s="219">
        <v>5193.1745656255</v>
      </c>
      <c r="G4" s="197">
        <v>5.71497552879694</v>
      </c>
      <c r="H4" s="219">
        <v>5145.0707546164</v>
      </c>
      <c r="I4" s="197">
        <v>6.44007732664693</v>
      </c>
      <c r="J4" s="219">
        <v>5158.4869949519</v>
      </c>
      <c r="K4" s="197">
        <v>6.08810228941171</v>
      </c>
      <c r="L4" s="219">
        <v>5220.3318026199</v>
      </c>
      <c r="M4" s="197">
        <v>5.93704045504494</v>
      </c>
      <c r="N4" s="219">
        <v>5147.0831281991</v>
      </c>
      <c r="O4" s="197">
        <v>6.33434357119303</v>
      </c>
      <c r="P4" s="219">
        <v>5145.0579524269</v>
      </c>
      <c r="Q4" s="197">
        <v>5.06736594067852</v>
      </c>
      <c r="R4" s="219">
        <v>5244.904375134</v>
      </c>
      <c r="S4" s="197">
        <v>5.27339195448424</v>
      </c>
      <c r="T4" s="219">
        <v>5198.5792223328</v>
      </c>
      <c r="U4" s="197">
        <v>5.14237676036324</v>
      </c>
      <c r="V4" s="219">
        <v>5238.0367229423</v>
      </c>
      <c r="W4" s="197">
        <v>6.30468679115886</v>
      </c>
    </row>
    <row r="5" ht="19.5" customHeight="1" spans="1:23">
      <c r="A5" s="148" t="s">
        <v>357</v>
      </c>
      <c r="B5" s="146">
        <v>4959.1727642012</v>
      </c>
      <c r="C5" s="147">
        <v>5.34911870195029</v>
      </c>
      <c r="D5" s="146">
        <v>5063.9660115581</v>
      </c>
      <c r="E5" s="147">
        <v>5.85664162325288</v>
      </c>
      <c r="F5" s="146">
        <v>5184.0933540568</v>
      </c>
      <c r="G5" s="147">
        <v>5.70994670803005</v>
      </c>
      <c r="H5" s="146">
        <v>5136.1470724611</v>
      </c>
      <c r="I5" s="147">
        <v>6.44188153627977</v>
      </c>
      <c r="J5" s="146">
        <v>5149.1707111403</v>
      </c>
      <c r="K5" s="147">
        <v>6.08644645397723</v>
      </c>
      <c r="L5" s="146">
        <v>5210.7155385002</v>
      </c>
      <c r="M5" s="147">
        <v>5.93354730527747</v>
      </c>
      <c r="N5" s="146">
        <v>5137.844324082</v>
      </c>
      <c r="O5" s="147">
        <v>6.33430445428061</v>
      </c>
      <c r="P5" s="146">
        <v>5136.0128950287</v>
      </c>
      <c r="Q5" s="147">
        <v>5.06465500469375</v>
      </c>
      <c r="R5" s="146">
        <v>5235.589218826</v>
      </c>
      <c r="S5" s="147">
        <v>5.27142937897063</v>
      </c>
      <c r="T5" s="146">
        <v>5189.3455619804</v>
      </c>
      <c r="U5" s="147">
        <v>5.14145923879234</v>
      </c>
      <c r="V5" s="146">
        <v>5228.6817425211</v>
      </c>
      <c r="W5" s="147">
        <v>6.30237940468509</v>
      </c>
    </row>
    <row r="6" ht="19.5" customHeight="1" spans="1:23">
      <c r="A6" s="148" t="s">
        <v>358</v>
      </c>
      <c r="B6" s="146">
        <v>3646.3105541303</v>
      </c>
      <c r="C6" s="147">
        <v>7.33495327594018</v>
      </c>
      <c r="D6" s="146">
        <v>3764.3324237731</v>
      </c>
      <c r="E6" s="147">
        <v>8.24126016915048</v>
      </c>
      <c r="F6" s="146">
        <v>3842.5702511898</v>
      </c>
      <c r="G6" s="147">
        <v>8.20044558496622</v>
      </c>
      <c r="H6" s="146">
        <v>3821.7570409972</v>
      </c>
      <c r="I6" s="147">
        <v>8.69441613846847</v>
      </c>
      <c r="J6" s="146">
        <v>3834.4257825898</v>
      </c>
      <c r="K6" s="147">
        <v>8.68613265058281</v>
      </c>
      <c r="L6" s="146">
        <v>3898.5384522869</v>
      </c>
      <c r="M6" s="147">
        <v>8.08542371103605</v>
      </c>
      <c r="N6" s="146">
        <v>3855.7698837636</v>
      </c>
      <c r="O6" s="147">
        <v>8.16284559262545</v>
      </c>
      <c r="P6" s="146">
        <v>3841.7766754693</v>
      </c>
      <c r="Q6" s="147">
        <v>7.73214559536705</v>
      </c>
      <c r="R6" s="146">
        <v>3908.3492263185</v>
      </c>
      <c r="S6" s="147">
        <v>7.80091142207439</v>
      </c>
      <c r="T6" s="146">
        <v>3857.4563033561</v>
      </c>
      <c r="U6" s="147">
        <v>7.91052837123084</v>
      </c>
      <c r="V6" s="146">
        <v>3880.4871724197</v>
      </c>
      <c r="W6" s="147">
        <v>8.13190694012017</v>
      </c>
    </row>
    <row r="7" ht="19.5" customHeight="1" spans="1:23">
      <c r="A7" s="148" t="s">
        <v>359</v>
      </c>
      <c r="B7" s="146">
        <v>600.3990578975</v>
      </c>
      <c r="C7" s="147">
        <v>-6.16232222131824</v>
      </c>
      <c r="D7" s="146">
        <v>603.657676791</v>
      </c>
      <c r="E7" s="147">
        <v>-5.78291984290481</v>
      </c>
      <c r="F7" s="146">
        <v>642.3378903365</v>
      </c>
      <c r="G7" s="147">
        <v>-3.3124849394985</v>
      </c>
      <c r="H7" s="146">
        <v>607.0558462958</v>
      </c>
      <c r="I7" s="147">
        <v>-5.57913183998561</v>
      </c>
      <c r="J7" s="146">
        <v>593.6537302567</v>
      </c>
      <c r="K7" s="147">
        <v>-5.4652070003819</v>
      </c>
      <c r="L7" s="146">
        <v>607.9406094878</v>
      </c>
      <c r="M7" s="147">
        <v>-4.76360677400047</v>
      </c>
      <c r="N7" s="146">
        <v>595.3317817307</v>
      </c>
      <c r="O7" s="147">
        <v>-3.02535668672918</v>
      </c>
      <c r="P7" s="146">
        <v>572.667622955</v>
      </c>
      <c r="Q7" s="147">
        <v>-7.03007458614013</v>
      </c>
      <c r="R7" s="146">
        <v>570.9956038748</v>
      </c>
      <c r="S7" s="147">
        <v>-9.54648175259268</v>
      </c>
      <c r="T7" s="146">
        <v>581.4883810065</v>
      </c>
      <c r="U7" s="147">
        <v>-7.46333611357733</v>
      </c>
      <c r="V7" s="146">
        <v>608.7289793009</v>
      </c>
      <c r="W7" s="147">
        <v>0.27604148501136</v>
      </c>
    </row>
    <row r="8" ht="19.5" customHeight="1" spans="1:23">
      <c r="A8" s="148" t="s">
        <v>360</v>
      </c>
      <c r="B8" s="146">
        <v>639.2380122459</v>
      </c>
      <c r="C8" s="147">
        <v>-0.978331033486811</v>
      </c>
      <c r="D8" s="146">
        <v>652.8801971576</v>
      </c>
      <c r="E8" s="147">
        <v>5.24523724667809</v>
      </c>
      <c r="F8" s="146">
        <v>653.6545937091</v>
      </c>
      <c r="G8" s="147">
        <v>0.549280416327164</v>
      </c>
      <c r="H8" s="146">
        <v>637.0255853552</v>
      </c>
      <c r="I8" s="147">
        <v>1.87341742886169</v>
      </c>
      <c r="J8" s="146">
        <v>644.9764195165</v>
      </c>
      <c r="K8" s="147">
        <v>-2.03189354367332</v>
      </c>
      <c r="L8" s="146">
        <v>639.479564155</v>
      </c>
      <c r="M8" s="147">
        <v>0.442515205709043</v>
      </c>
      <c r="N8" s="146">
        <v>626.8966956247</v>
      </c>
      <c r="O8" s="147">
        <v>1.8959231930759</v>
      </c>
      <c r="P8" s="146">
        <v>646.100887211</v>
      </c>
      <c r="Q8" s="147">
        <v>5.15453214911695</v>
      </c>
      <c r="R8" s="146">
        <v>681.5896721146</v>
      </c>
      <c r="S8" s="147">
        <v>5.98395783264522</v>
      </c>
      <c r="T8" s="146">
        <v>685.0236922257</v>
      </c>
      <c r="U8" s="147">
        <v>3.80309399263943</v>
      </c>
      <c r="V8" s="146">
        <v>673.7692733826</v>
      </c>
      <c r="W8" s="147">
        <v>3.5395002533718</v>
      </c>
    </row>
    <row r="9" ht="19.5" customHeight="1" spans="1:23">
      <c r="A9" s="148" t="s">
        <v>361</v>
      </c>
      <c r="B9" s="146">
        <v>73.2251399275</v>
      </c>
      <c r="C9" s="147">
        <v>194.591009846523</v>
      </c>
      <c r="D9" s="146">
        <v>43.0957138364</v>
      </c>
      <c r="E9" s="147">
        <v>-4.27619702224977</v>
      </c>
      <c r="F9" s="146">
        <v>45.5306188214</v>
      </c>
      <c r="G9" s="147">
        <v>18.8752594157684</v>
      </c>
      <c r="H9" s="146">
        <v>70.3085998129</v>
      </c>
      <c r="I9" s="147">
        <v>71.427230482062</v>
      </c>
      <c r="J9" s="146">
        <v>76.1147787773</v>
      </c>
      <c r="K9" s="147">
        <v>92.9796473527461</v>
      </c>
      <c r="L9" s="146">
        <v>64.7569125705</v>
      </c>
      <c r="M9" s="147">
        <v>75.317801161447</v>
      </c>
      <c r="N9" s="146">
        <v>59.845962963</v>
      </c>
      <c r="O9" s="147">
        <v>58.0499263396263</v>
      </c>
      <c r="P9" s="146">
        <v>75.4677093934</v>
      </c>
      <c r="Q9" s="147">
        <v>-17.9566097276749</v>
      </c>
      <c r="R9" s="146">
        <v>74.6547165181</v>
      </c>
      <c r="S9" s="147">
        <v>1.53140789325882</v>
      </c>
      <c r="T9" s="146">
        <v>65.3771853921</v>
      </c>
      <c r="U9" s="147">
        <v>-9.93784730229113</v>
      </c>
      <c r="V9" s="146">
        <v>65.6963174179</v>
      </c>
      <c r="W9" s="147">
        <v>-9.05454728579773</v>
      </c>
    </row>
    <row r="10" ht="19.5" customHeight="1" spans="1:23">
      <c r="A10" s="148" t="s">
        <v>362</v>
      </c>
      <c r="B10" s="146">
        <v>9.0628928618</v>
      </c>
      <c r="C10" s="147">
        <v>20.4289311182126</v>
      </c>
      <c r="D10" s="146">
        <v>9.6186086796</v>
      </c>
      <c r="E10" s="147">
        <v>22.7624757120629</v>
      </c>
      <c r="F10" s="146">
        <v>9.0812115687</v>
      </c>
      <c r="G10" s="147">
        <v>8.6660013495145</v>
      </c>
      <c r="H10" s="146">
        <v>8.9236821553</v>
      </c>
      <c r="I10" s="147">
        <v>5.41169029869619</v>
      </c>
      <c r="J10" s="146">
        <v>9.3162838116</v>
      </c>
      <c r="K10" s="147">
        <v>7.01127163425334</v>
      </c>
      <c r="L10" s="146">
        <v>9.6162641197</v>
      </c>
      <c r="M10" s="147">
        <v>7.86435511135512</v>
      </c>
      <c r="N10" s="146">
        <v>9.2388041171</v>
      </c>
      <c r="O10" s="147">
        <v>6.35610156080141</v>
      </c>
      <c r="P10" s="146">
        <v>9.0450573982</v>
      </c>
      <c r="Q10" s="147">
        <v>6.62963314848431</v>
      </c>
      <c r="R10" s="146">
        <v>9.315156308</v>
      </c>
      <c r="S10" s="147">
        <v>6.38816015721674</v>
      </c>
      <c r="T10" s="146">
        <v>9.2336603524</v>
      </c>
      <c r="U10" s="147">
        <v>5.66057262051782</v>
      </c>
      <c r="V10" s="146">
        <v>9.3549804212</v>
      </c>
      <c r="W10" s="147">
        <v>7.61019650162487</v>
      </c>
    </row>
    <row r="11" ht="19.5" customHeight="1" spans="1:23">
      <c r="A11" s="149" t="s">
        <v>363</v>
      </c>
      <c r="B11" s="219">
        <v>4346.5443033106</v>
      </c>
      <c r="C11" s="197">
        <v>8.85299730662321</v>
      </c>
      <c r="D11" s="219">
        <v>4467.5752673783</v>
      </c>
      <c r="E11" s="197">
        <v>9.59418612663399</v>
      </c>
      <c r="F11" s="219">
        <v>4525.6200126821</v>
      </c>
      <c r="G11" s="197">
        <v>8.15409530092965</v>
      </c>
      <c r="H11" s="219">
        <v>4505.715299383</v>
      </c>
      <c r="I11" s="197">
        <v>7.80802494914479</v>
      </c>
      <c r="J11" s="219">
        <v>4522.9852845182</v>
      </c>
      <c r="K11" s="197">
        <v>7.75047637257461</v>
      </c>
      <c r="L11" s="219">
        <v>4549.0468368332</v>
      </c>
      <c r="M11" s="197">
        <v>7.61054712068015</v>
      </c>
      <c r="N11" s="219">
        <v>4508.0523488073</v>
      </c>
      <c r="O11" s="197">
        <v>6.44387314513722</v>
      </c>
      <c r="P11" s="219">
        <v>4536.513096581</v>
      </c>
      <c r="Q11" s="197">
        <v>6.66177564801179</v>
      </c>
      <c r="R11" s="219">
        <v>4573.6284197129</v>
      </c>
      <c r="S11" s="197">
        <v>6.62537388517938</v>
      </c>
      <c r="T11" s="219">
        <v>4590.1701227298</v>
      </c>
      <c r="U11" s="197">
        <v>6.78880672349328</v>
      </c>
      <c r="V11" s="219">
        <v>4599.1778011546</v>
      </c>
      <c r="W11" s="197">
        <v>7.42545239444594</v>
      </c>
    </row>
    <row r="12" ht="19.5" customHeight="1" spans="1:23">
      <c r="A12" s="148" t="s">
        <v>364</v>
      </c>
      <c r="B12" s="146">
        <v>4342.9550600612</v>
      </c>
      <c r="C12" s="147">
        <v>8.82279013921652</v>
      </c>
      <c r="D12" s="146">
        <v>4464.4428846079</v>
      </c>
      <c r="E12" s="147">
        <v>9.57993055974962</v>
      </c>
      <c r="F12" s="146">
        <v>4522.4552073349</v>
      </c>
      <c r="G12" s="147">
        <v>8.14009399841073</v>
      </c>
      <c r="H12" s="146">
        <v>4502.5376390293</v>
      </c>
      <c r="I12" s="147">
        <v>7.79302371460977</v>
      </c>
      <c r="J12" s="146">
        <v>4516.9416920514</v>
      </c>
      <c r="K12" s="147">
        <v>7.6667976541138</v>
      </c>
      <c r="L12" s="146">
        <v>4542.9994267469</v>
      </c>
      <c r="M12" s="147">
        <v>7.52791486016054</v>
      </c>
      <c r="N12" s="146">
        <v>4497.7290093129</v>
      </c>
      <c r="O12" s="147">
        <v>6.2604034574553</v>
      </c>
      <c r="P12" s="146">
        <v>4526.3169035428</v>
      </c>
      <c r="Q12" s="147">
        <v>6.48363433926025</v>
      </c>
      <c r="R12" s="146">
        <v>4563.4058162774</v>
      </c>
      <c r="S12" s="147">
        <v>6.44829977404906</v>
      </c>
      <c r="T12" s="146">
        <v>4579.4171055235</v>
      </c>
      <c r="U12" s="147">
        <v>6.62638389087599</v>
      </c>
      <c r="V12" s="146">
        <v>4588.4152416697</v>
      </c>
      <c r="W12" s="147">
        <v>7.26379270414518</v>
      </c>
    </row>
    <row r="13" ht="19.5" customHeight="1" spans="1:23">
      <c r="A13" s="148" t="s">
        <v>365</v>
      </c>
      <c r="B13" s="146">
        <v>2091.2901325249</v>
      </c>
      <c r="C13" s="147">
        <v>8.16308453290154</v>
      </c>
      <c r="D13" s="146">
        <v>2112.8923172221</v>
      </c>
      <c r="E13" s="147">
        <v>7.17136351009298</v>
      </c>
      <c r="F13" s="146">
        <v>2142.0392992868</v>
      </c>
      <c r="G13" s="147">
        <v>6.73462060919738</v>
      </c>
      <c r="H13" s="146">
        <v>2126.5255022246</v>
      </c>
      <c r="I13" s="147">
        <v>6.26558716997863</v>
      </c>
      <c r="J13" s="146">
        <v>2127.4241937885</v>
      </c>
      <c r="K13" s="147">
        <v>5.84862592347676</v>
      </c>
      <c r="L13" s="146">
        <v>2144.6554563494</v>
      </c>
      <c r="M13" s="147">
        <v>5.39158289988679</v>
      </c>
      <c r="N13" s="146">
        <v>2136.3929715254</v>
      </c>
      <c r="O13" s="147">
        <v>5.07537387506924</v>
      </c>
      <c r="P13" s="146">
        <v>2141.2042672211</v>
      </c>
      <c r="Q13" s="147">
        <v>4.95019157057017</v>
      </c>
      <c r="R13" s="146">
        <v>2155.2921295198</v>
      </c>
      <c r="S13" s="147">
        <v>4.70565815955452</v>
      </c>
      <c r="T13" s="146">
        <v>2150.7370190829</v>
      </c>
      <c r="U13" s="147">
        <v>4.06987274794428</v>
      </c>
      <c r="V13" s="146">
        <v>2155.381607803</v>
      </c>
      <c r="W13" s="147">
        <v>3.63369278016843</v>
      </c>
    </row>
    <row r="14" ht="19.5" customHeight="1" spans="1:23">
      <c r="A14" s="148" t="s">
        <v>366</v>
      </c>
      <c r="B14" s="146">
        <v>2251.6649275363</v>
      </c>
      <c r="C14" s="147">
        <v>9.44275726622044</v>
      </c>
      <c r="D14" s="146">
        <v>2351.5505673858</v>
      </c>
      <c r="E14" s="147">
        <v>11.8382925426451</v>
      </c>
      <c r="F14" s="146">
        <v>2380.4159080481</v>
      </c>
      <c r="G14" s="147">
        <v>9.43684161266222</v>
      </c>
      <c r="H14" s="146">
        <v>2376.0121368047</v>
      </c>
      <c r="I14" s="147">
        <v>9.2982608944796</v>
      </c>
      <c r="J14" s="146">
        <v>2389.5174982629</v>
      </c>
      <c r="K14" s="147">
        <v>9.3889750341799</v>
      </c>
      <c r="L14" s="146">
        <v>2398.3439703975</v>
      </c>
      <c r="M14" s="147">
        <v>9.51297863427787</v>
      </c>
      <c r="N14" s="146">
        <v>2361.3360377875</v>
      </c>
      <c r="O14" s="147">
        <v>7.3558146272308</v>
      </c>
      <c r="P14" s="146">
        <v>2385.1126363217</v>
      </c>
      <c r="Q14" s="147">
        <v>7.89894157707233</v>
      </c>
      <c r="R14" s="146">
        <v>2408.1136867576</v>
      </c>
      <c r="S14" s="147">
        <v>8.05792101474373</v>
      </c>
      <c r="T14" s="146">
        <v>2428.6800864406</v>
      </c>
      <c r="U14" s="147">
        <v>8.99751886865789</v>
      </c>
      <c r="V14" s="146">
        <v>2433.0336338667</v>
      </c>
      <c r="W14" s="147">
        <v>10.6988727747217</v>
      </c>
    </row>
    <row r="15" ht="19.5" customHeight="1" spans="1:23">
      <c r="A15" s="148" t="s">
        <v>367</v>
      </c>
      <c r="B15" s="146">
        <v>0</v>
      </c>
      <c r="C15" s="160" t="s">
        <v>18</v>
      </c>
      <c r="D15" s="146">
        <v>0</v>
      </c>
      <c r="E15" s="160" t="s">
        <v>18</v>
      </c>
      <c r="F15" s="146">
        <v>0</v>
      </c>
      <c r="G15" s="160" t="s">
        <v>18</v>
      </c>
      <c r="H15" s="146">
        <v>0</v>
      </c>
      <c r="I15" s="160" t="s">
        <v>18</v>
      </c>
      <c r="J15" s="146">
        <v>0</v>
      </c>
      <c r="K15" s="160" t="s">
        <v>18</v>
      </c>
      <c r="L15" s="146">
        <v>0</v>
      </c>
      <c r="M15" s="160" t="s">
        <v>18</v>
      </c>
      <c r="N15" s="146">
        <v>0</v>
      </c>
      <c r="O15" s="160" t="s">
        <v>18</v>
      </c>
      <c r="P15" s="146">
        <v>0</v>
      </c>
      <c r="Q15" s="160" t="s">
        <v>18</v>
      </c>
      <c r="R15" s="146">
        <v>0</v>
      </c>
      <c r="S15" s="160" t="s">
        <v>18</v>
      </c>
      <c r="T15" s="146">
        <v>0</v>
      </c>
      <c r="U15" s="160" t="s">
        <v>18</v>
      </c>
      <c r="V15" s="146">
        <v>0</v>
      </c>
      <c r="W15" s="160" t="s">
        <v>18</v>
      </c>
    </row>
    <row r="16" ht="19.5" customHeight="1" spans="1:23">
      <c r="A16" s="148" t="s">
        <v>368</v>
      </c>
      <c r="B16" s="146">
        <v>3.5892432494</v>
      </c>
      <c r="C16" s="147">
        <v>63.9034097960427</v>
      </c>
      <c r="D16" s="146">
        <v>3.1323827704</v>
      </c>
      <c r="E16" s="147">
        <v>34.5399761407666</v>
      </c>
      <c r="F16" s="146">
        <v>3.1648053472</v>
      </c>
      <c r="G16" s="147">
        <v>32.7069944736812</v>
      </c>
      <c r="H16" s="146">
        <v>3.1776603537</v>
      </c>
      <c r="I16" s="147">
        <v>34.2884448485155</v>
      </c>
      <c r="J16" s="146">
        <v>6.0435924668</v>
      </c>
      <c r="K16" s="147">
        <v>157.084224329924</v>
      </c>
      <c r="L16" s="146">
        <v>6.0474100863</v>
      </c>
      <c r="M16" s="147">
        <v>154.579100314886</v>
      </c>
      <c r="N16" s="146">
        <v>10.3233394944</v>
      </c>
      <c r="O16" s="147">
        <v>329.653508472103</v>
      </c>
      <c r="P16" s="146">
        <v>10.1961930382</v>
      </c>
      <c r="Q16" s="147">
        <v>314.474304158361</v>
      </c>
      <c r="R16" s="146">
        <v>10.2226034355</v>
      </c>
      <c r="S16" s="147">
        <v>314.209654360055</v>
      </c>
      <c r="T16" s="146">
        <v>10.7530172063</v>
      </c>
      <c r="U16" s="147">
        <v>204.005537170781</v>
      </c>
      <c r="V16" s="146">
        <v>10.7625594849</v>
      </c>
      <c r="W16" s="147">
        <v>200.518895188065</v>
      </c>
    </row>
    <row r="17" ht="19.5" customHeight="1" spans="1:23">
      <c r="A17" s="149" t="s">
        <v>369</v>
      </c>
      <c r="B17" s="219">
        <v>4953.1252721306</v>
      </c>
      <c r="C17" s="197">
        <v>5.4243728750681</v>
      </c>
      <c r="D17" s="219">
        <v>5055.2038629049</v>
      </c>
      <c r="E17" s="197">
        <v>5.91070780907388</v>
      </c>
      <c r="F17" s="219">
        <v>5174.1935748783</v>
      </c>
      <c r="G17" s="197">
        <v>5.67590782693105</v>
      </c>
      <c r="H17" s="219">
        <v>5126.0414597875</v>
      </c>
      <c r="I17" s="197">
        <v>6.3795163670014</v>
      </c>
      <c r="J17" s="219">
        <v>5135.7024866888</v>
      </c>
      <c r="K17" s="197">
        <v>5.95160575323716</v>
      </c>
      <c r="L17" s="219">
        <v>5201.9656558002</v>
      </c>
      <c r="M17" s="197">
        <v>5.89439176947194</v>
      </c>
      <c r="N17" s="219">
        <v>5128.9913829852</v>
      </c>
      <c r="O17" s="197">
        <v>6.29220875065552</v>
      </c>
      <c r="P17" s="219">
        <v>5126.7566240435</v>
      </c>
      <c r="Q17" s="197">
        <v>5.06840071641111</v>
      </c>
      <c r="R17" s="219">
        <v>5228.201399482</v>
      </c>
      <c r="S17" s="197">
        <v>5.28932150652677</v>
      </c>
      <c r="T17" s="219">
        <v>5180.6841145291</v>
      </c>
      <c r="U17" s="197">
        <v>5.12681370027096</v>
      </c>
      <c r="V17" s="219">
        <v>5220.2937302226</v>
      </c>
      <c r="W17" s="197">
        <v>6.30121991952799</v>
      </c>
    </row>
    <row r="18" ht="19.5" customHeight="1" spans="1:23">
      <c r="A18" s="148" t="s">
        <v>357</v>
      </c>
      <c r="B18" s="146">
        <v>4944.2252565114</v>
      </c>
      <c r="C18" s="147">
        <v>5.39826805080136</v>
      </c>
      <c r="D18" s="146">
        <v>5045.7450418947</v>
      </c>
      <c r="E18" s="147">
        <v>5.88189391296012</v>
      </c>
      <c r="F18" s="146">
        <v>5165.2739586722</v>
      </c>
      <c r="G18" s="147">
        <v>5.67081050400809</v>
      </c>
      <c r="H18" s="146">
        <v>5117.2841520558</v>
      </c>
      <c r="I18" s="147">
        <v>6.38127359498735</v>
      </c>
      <c r="J18" s="146">
        <v>5126.5509849639</v>
      </c>
      <c r="K18" s="147">
        <v>5.94963761686629</v>
      </c>
      <c r="L18" s="146">
        <v>5192.5211386146</v>
      </c>
      <c r="M18" s="147">
        <v>5.89102615730681</v>
      </c>
      <c r="N18" s="146">
        <v>5119.9221534748</v>
      </c>
      <c r="O18" s="147">
        <v>6.29194178574661</v>
      </c>
      <c r="P18" s="146">
        <v>5117.877592165</v>
      </c>
      <c r="Q18" s="147">
        <v>5.06413997907983</v>
      </c>
      <c r="R18" s="146">
        <v>5219.0548685216</v>
      </c>
      <c r="S18" s="147">
        <v>5.2862473933903</v>
      </c>
      <c r="T18" s="146">
        <v>5171.6164708485</v>
      </c>
      <c r="U18" s="147">
        <v>5.12461920061168</v>
      </c>
      <c r="V18" s="146">
        <v>5211.1104464834</v>
      </c>
      <c r="W18" s="147">
        <v>6.29900937296083</v>
      </c>
    </row>
    <row r="19" ht="19.5" customHeight="1" spans="1:23">
      <c r="A19" s="148" t="s">
        <v>358</v>
      </c>
      <c r="B19" s="146">
        <v>3637.8023205278</v>
      </c>
      <c r="C19" s="147">
        <v>7.34549957808638</v>
      </c>
      <c r="D19" s="146">
        <v>3755.3139126845</v>
      </c>
      <c r="E19" s="147">
        <v>8.23178953825387</v>
      </c>
      <c r="F19" s="146">
        <v>3833.3499037032</v>
      </c>
      <c r="G19" s="147">
        <v>8.19296491178577</v>
      </c>
      <c r="H19" s="146">
        <v>3813.2026500137</v>
      </c>
      <c r="I19" s="147">
        <v>8.69371767758251</v>
      </c>
      <c r="J19" s="146">
        <v>3826.2227381603</v>
      </c>
      <c r="K19" s="147">
        <v>8.69455630562998</v>
      </c>
      <c r="L19" s="146">
        <v>3890.3389973241</v>
      </c>
      <c r="M19" s="147">
        <v>8.09445916728137</v>
      </c>
      <c r="N19" s="146">
        <v>3847.6067565911</v>
      </c>
      <c r="O19" s="147">
        <v>8.17222220548349</v>
      </c>
      <c r="P19" s="146">
        <v>3833.6268687923</v>
      </c>
      <c r="Q19" s="147">
        <v>7.74483957454657</v>
      </c>
      <c r="R19" s="146">
        <v>3900.1000758409</v>
      </c>
      <c r="S19" s="147">
        <v>7.80615031915611</v>
      </c>
      <c r="T19" s="146">
        <v>3849.0007372116</v>
      </c>
      <c r="U19" s="147">
        <v>7.91675641228985</v>
      </c>
      <c r="V19" s="146">
        <v>3872.2941268103</v>
      </c>
      <c r="W19" s="147">
        <v>8.14537199456691</v>
      </c>
    </row>
    <row r="20" ht="19.5" customHeight="1" spans="1:23">
      <c r="A20" s="148" t="s">
        <v>370</v>
      </c>
      <c r="B20" s="146">
        <v>1582.0447092574</v>
      </c>
      <c r="C20" s="147">
        <v>4.14340871290217</v>
      </c>
      <c r="D20" s="146">
        <v>1617.2498978863</v>
      </c>
      <c r="E20" s="147">
        <v>4.60131351694626</v>
      </c>
      <c r="F20" s="146">
        <v>1653.4619863842</v>
      </c>
      <c r="G20" s="147">
        <v>5.41790072689363</v>
      </c>
      <c r="H20" s="146">
        <v>1618.8112694974</v>
      </c>
      <c r="I20" s="147">
        <v>5.05041144834475</v>
      </c>
      <c r="J20" s="146">
        <v>1626.3248913143</v>
      </c>
      <c r="K20" s="147">
        <v>4.39430163146122</v>
      </c>
      <c r="L20" s="146">
        <v>1677.3718720425</v>
      </c>
      <c r="M20" s="147">
        <v>4.56085310489452</v>
      </c>
      <c r="N20" s="146">
        <v>1645.5825044005</v>
      </c>
      <c r="O20" s="147">
        <v>5.21221118604808</v>
      </c>
      <c r="P20" s="146">
        <v>1631.6034211273</v>
      </c>
      <c r="Q20" s="147">
        <v>5.38822826206492</v>
      </c>
      <c r="R20" s="146">
        <v>1679.6017512705</v>
      </c>
      <c r="S20" s="147">
        <v>6.64554335113112</v>
      </c>
      <c r="T20" s="146">
        <v>1638.1730768552</v>
      </c>
      <c r="U20" s="147">
        <v>6.58123467346352</v>
      </c>
      <c r="V20" s="146">
        <v>1636.860858261</v>
      </c>
      <c r="W20" s="147">
        <v>6.4302324435021</v>
      </c>
    </row>
    <row r="21" ht="19.5" customHeight="1" spans="1:23">
      <c r="A21" s="148" t="s">
        <v>359</v>
      </c>
      <c r="B21" s="146">
        <v>595.0375593615</v>
      </c>
      <c r="C21" s="147">
        <v>-5.95680335494956</v>
      </c>
      <c r="D21" s="146">
        <v>595.5283248319</v>
      </c>
      <c r="E21" s="147">
        <v>-5.68075941129496</v>
      </c>
      <c r="F21" s="146">
        <v>633.8145021931</v>
      </c>
      <c r="G21" s="147">
        <v>-3.62237865363298</v>
      </c>
      <c r="H21" s="146">
        <v>597.8299724528</v>
      </c>
      <c r="I21" s="147">
        <v>-6.11994770478799</v>
      </c>
      <c r="J21" s="146">
        <v>580.3159017466</v>
      </c>
      <c r="K21" s="147">
        <v>-6.66002168634385</v>
      </c>
      <c r="L21" s="146">
        <v>599.0358500897</v>
      </c>
      <c r="M21" s="147">
        <v>-5.22247593115492</v>
      </c>
      <c r="N21" s="146">
        <v>586.6626152288</v>
      </c>
      <c r="O21" s="147">
        <v>-3.48377687040616</v>
      </c>
      <c r="P21" s="146">
        <v>563.769043675</v>
      </c>
      <c r="Q21" s="147">
        <v>-7.23690039557738</v>
      </c>
      <c r="R21" s="146">
        <v>563.9457824976</v>
      </c>
      <c r="S21" s="147">
        <v>-9.581207123402</v>
      </c>
      <c r="T21" s="146">
        <v>573.4449821521</v>
      </c>
      <c r="U21" s="147">
        <v>-7.71953078372893</v>
      </c>
      <c r="V21" s="146">
        <v>600.5737981783</v>
      </c>
      <c r="W21" s="147">
        <v>0.134334366583412</v>
      </c>
    </row>
    <row r="22" ht="19.5" customHeight="1" spans="1:23">
      <c r="A22" s="148" t="s">
        <v>360</v>
      </c>
      <c r="B22" s="146">
        <v>638.1862766175</v>
      </c>
      <c r="C22" s="147">
        <v>-0.990191211840011</v>
      </c>
      <c r="D22" s="146">
        <v>651.8316418996</v>
      </c>
      <c r="E22" s="147">
        <v>5.24219041936858</v>
      </c>
      <c r="F22" s="146">
        <v>652.6054182033</v>
      </c>
      <c r="G22" s="147">
        <v>0.539217932842888</v>
      </c>
      <c r="H22" s="146">
        <v>635.9710494524</v>
      </c>
      <c r="I22" s="147">
        <v>1.86448207075398</v>
      </c>
      <c r="J22" s="146">
        <v>643.9289663682</v>
      </c>
      <c r="K22" s="147">
        <v>-2.04531251017193</v>
      </c>
      <c r="L22" s="146">
        <v>638.4217741329</v>
      </c>
      <c r="M22" s="147">
        <v>0.431874256072894</v>
      </c>
      <c r="N22" s="146">
        <v>625.8405407566</v>
      </c>
      <c r="O22" s="147">
        <v>1.88769617396506</v>
      </c>
      <c r="P22" s="146">
        <v>645.0481697136</v>
      </c>
      <c r="Q22" s="147">
        <v>5.15569661132858</v>
      </c>
      <c r="R22" s="146">
        <v>680.3868254798</v>
      </c>
      <c r="S22" s="147">
        <v>5.96079243188038</v>
      </c>
      <c r="T22" s="146">
        <v>683.8260413027</v>
      </c>
      <c r="U22" s="147">
        <v>3.78328456793928</v>
      </c>
      <c r="V22" s="146">
        <v>672.5738280641</v>
      </c>
      <c r="W22" s="147">
        <v>3.52068225918606</v>
      </c>
    </row>
    <row r="23" ht="19.5" customHeight="1" spans="1:23">
      <c r="A23" s="148" t="s">
        <v>371</v>
      </c>
      <c r="B23" s="146">
        <v>580.4003881068</v>
      </c>
      <c r="C23" s="147">
        <v>-2.64397752289913</v>
      </c>
      <c r="D23" s="146">
        <v>579.8191504662</v>
      </c>
      <c r="E23" s="147">
        <v>1.02736481954739</v>
      </c>
      <c r="F23" s="146">
        <v>594.7976510853</v>
      </c>
      <c r="G23" s="147">
        <v>2.15680990171192</v>
      </c>
      <c r="H23" s="146">
        <v>592.9924176748</v>
      </c>
      <c r="I23" s="147">
        <v>5.24324018871312</v>
      </c>
      <c r="J23" s="146">
        <v>584.5684281458</v>
      </c>
      <c r="K23" s="147">
        <v>3.78868961503693</v>
      </c>
      <c r="L23" s="146">
        <v>594.1370757651</v>
      </c>
      <c r="M23" s="147">
        <v>5.02665295206133</v>
      </c>
      <c r="N23" s="146">
        <v>584.8416313205</v>
      </c>
      <c r="O23" s="147">
        <v>3.68337678542728</v>
      </c>
      <c r="P23" s="146">
        <v>587.90647559</v>
      </c>
      <c r="Q23" s="147">
        <v>4.279143285901</v>
      </c>
      <c r="R23" s="146">
        <v>589.1342823369</v>
      </c>
      <c r="S23" s="147">
        <v>3.0743543981952</v>
      </c>
      <c r="T23" s="146">
        <v>595.3192314986</v>
      </c>
      <c r="U23" s="147">
        <v>2.14578747228226</v>
      </c>
      <c r="V23" s="146">
        <v>592.3829504301</v>
      </c>
      <c r="W23" s="147">
        <v>2.12375506158615</v>
      </c>
    </row>
    <row r="24" ht="19.5" customHeight="1" spans="1:23">
      <c r="A24" s="211" t="s">
        <v>361</v>
      </c>
      <c r="B24" s="146">
        <v>73.1991000046</v>
      </c>
      <c r="C24" s="147">
        <v>194.877786746963</v>
      </c>
      <c r="D24" s="146">
        <v>43.0711624787</v>
      </c>
      <c r="E24" s="147">
        <v>-4.26675705550909</v>
      </c>
      <c r="F24" s="146">
        <v>45.5041345726</v>
      </c>
      <c r="G24" s="147">
        <v>18.9008324416954</v>
      </c>
      <c r="H24" s="146">
        <v>70.2804801369</v>
      </c>
      <c r="I24" s="147">
        <v>71.4873559773317</v>
      </c>
      <c r="J24" s="146">
        <v>76.0833786888</v>
      </c>
      <c r="K24" s="147">
        <v>93.0546616775304</v>
      </c>
      <c r="L24" s="146">
        <v>64.7245170679</v>
      </c>
      <c r="M24" s="147">
        <v>75.3697882901843</v>
      </c>
      <c r="N24" s="146">
        <v>59.8122408983</v>
      </c>
      <c r="O24" s="147">
        <v>58.0735521529747</v>
      </c>
      <c r="P24" s="146">
        <v>75.4335099841</v>
      </c>
      <c r="Q24" s="147">
        <v>-17.9708209217925</v>
      </c>
      <c r="R24" s="146">
        <v>74.6221847033</v>
      </c>
      <c r="S24" s="147">
        <v>1.52461702276709</v>
      </c>
      <c r="T24" s="146">
        <v>65.3447101821</v>
      </c>
      <c r="U24" s="147">
        <v>-9.94175334376926</v>
      </c>
      <c r="V24" s="146">
        <v>65.6686934307</v>
      </c>
      <c r="W24" s="147">
        <v>-9.0554012800107</v>
      </c>
    </row>
    <row r="25" ht="19.5" customHeight="1" spans="1:23">
      <c r="A25" s="211" t="s">
        <v>362</v>
      </c>
      <c r="B25" s="146">
        <v>8.9000156192</v>
      </c>
      <c r="C25" s="147">
        <v>22.2442680115085</v>
      </c>
      <c r="D25" s="146">
        <v>9.4588210102</v>
      </c>
      <c r="E25" s="147">
        <v>23.8964053647138</v>
      </c>
      <c r="F25" s="146">
        <v>8.9196162061</v>
      </c>
      <c r="G25" s="147">
        <v>8.71269649461632</v>
      </c>
      <c r="H25" s="146">
        <v>8.7573077317</v>
      </c>
      <c r="I25" s="147">
        <v>5.36252325698155</v>
      </c>
      <c r="J25" s="146">
        <v>9.1515017249</v>
      </c>
      <c r="K25" s="147">
        <v>7.06574421405811</v>
      </c>
      <c r="L25" s="146">
        <v>9.4445171856</v>
      </c>
      <c r="M25" s="147">
        <v>7.77774824521582</v>
      </c>
      <c r="N25" s="146">
        <v>9.0692295104</v>
      </c>
      <c r="O25" s="147">
        <v>6.44313488905207</v>
      </c>
      <c r="P25" s="146">
        <v>8.8790318785</v>
      </c>
      <c r="Q25" s="147">
        <v>7.5831742713028</v>
      </c>
      <c r="R25" s="146">
        <v>9.1465309604</v>
      </c>
      <c r="S25" s="147">
        <v>7.07319651793364</v>
      </c>
      <c r="T25" s="146">
        <v>9.0676436806</v>
      </c>
      <c r="U25" s="147">
        <v>6.39352647453022</v>
      </c>
      <c r="V25" s="146">
        <v>9.1832837392</v>
      </c>
      <c r="W25" s="147">
        <v>7.57061371750557</v>
      </c>
    </row>
    <row r="26" ht="19.5" customHeight="1" spans="1:23">
      <c r="A26" s="212" t="s">
        <v>372</v>
      </c>
      <c r="B26" s="219">
        <v>4341.5549076475</v>
      </c>
      <c r="C26" s="197">
        <v>8.77668307828835</v>
      </c>
      <c r="D26" s="219">
        <v>4464.519366994</v>
      </c>
      <c r="E26" s="197">
        <v>9.53821640430183</v>
      </c>
      <c r="F26" s="219">
        <v>4522.336584371</v>
      </c>
      <c r="G26" s="197">
        <v>8.09716260079718</v>
      </c>
      <c r="H26" s="219">
        <v>4502.6969782826</v>
      </c>
      <c r="I26" s="197">
        <v>7.75823690860574</v>
      </c>
      <c r="J26" s="219">
        <v>4520.1554115282</v>
      </c>
      <c r="K26" s="197">
        <v>7.71590520742872</v>
      </c>
      <c r="L26" s="219">
        <v>4545.6814255903</v>
      </c>
      <c r="M26" s="197">
        <v>7.62171034258965</v>
      </c>
      <c r="N26" s="219">
        <v>4504.5571101045</v>
      </c>
      <c r="O26" s="197">
        <v>6.4728238797415</v>
      </c>
      <c r="P26" s="219">
        <v>4533.108111001</v>
      </c>
      <c r="Q26" s="197">
        <v>6.74272607181099</v>
      </c>
      <c r="R26" s="219">
        <v>4570.3924621598</v>
      </c>
      <c r="S26" s="197">
        <v>6.70559122691019</v>
      </c>
      <c r="T26" s="219">
        <v>4586.9148890803</v>
      </c>
      <c r="U26" s="197">
        <v>6.87188445900979</v>
      </c>
      <c r="V26" s="219">
        <v>4596.2087953379</v>
      </c>
      <c r="W26" s="197">
        <v>7.51730335737937</v>
      </c>
    </row>
    <row r="27" ht="19.5" customHeight="1" spans="1:23">
      <c r="A27" s="211" t="s">
        <v>364</v>
      </c>
      <c r="B27" s="150">
        <v>4337.9668252298</v>
      </c>
      <c r="C27" s="151">
        <v>8.7464344181196</v>
      </c>
      <c r="D27" s="150">
        <v>4461.3881390475</v>
      </c>
      <c r="E27" s="151">
        <v>9.52393511614618</v>
      </c>
      <c r="F27" s="150">
        <v>4519.1731974468</v>
      </c>
      <c r="G27" s="151">
        <v>8.08314104453321</v>
      </c>
      <c r="H27" s="150">
        <v>4499.5198212714</v>
      </c>
      <c r="I27" s="151">
        <v>7.74320771218424</v>
      </c>
      <c r="J27" s="150">
        <v>4514.1131330751</v>
      </c>
      <c r="K27" s="151">
        <v>7.63218713494272</v>
      </c>
      <c r="L27" s="150">
        <v>4539.6351551803</v>
      </c>
      <c r="M27" s="151">
        <v>7.53901685799359</v>
      </c>
      <c r="N27" s="150">
        <v>4494.234623522</v>
      </c>
      <c r="O27" s="151">
        <v>6.28918285646008</v>
      </c>
      <c r="P27" s="150">
        <v>4522.9137630799</v>
      </c>
      <c r="Q27" s="151">
        <v>6.56438914801265</v>
      </c>
      <c r="R27" s="150">
        <v>4560.1710880816</v>
      </c>
      <c r="S27" s="151">
        <v>6.52829886371862</v>
      </c>
      <c r="T27" s="150">
        <v>4576.1624975012</v>
      </c>
      <c r="U27" s="151">
        <v>6.70928360033145</v>
      </c>
      <c r="V27" s="150">
        <v>4585.4467370745</v>
      </c>
      <c r="W27" s="151">
        <v>7.35547108607243</v>
      </c>
    </row>
    <row r="28" ht="19.5" customHeight="1" spans="1:23">
      <c r="A28" s="211" t="s">
        <v>365</v>
      </c>
      <c r="B28" s="146">
        <v>2091.2517934567</v>
      </c>
      <c r="C28" s="147">
        <v>8.16346723198422</v>
      </c>
      <c r="D28" s="146">
        <v>2112.8594558149</v>
      </c>
      <c r="E28" s="147">
        <v>7.17151475413844</v>
      </c>
      <c r="F28" s="146">
        <v>2142.0018811851</v>
      </c>
      <c r="G28" s="147">
        <v>6.73463584287835</v>
      </c>
      <c r="H28" s="146">
        <v>2126.4853690875</v>
      </c>
      <c r="I28" s="147">
        <v>6.26558674632281</v>
      </c>
      <c r="J28" s="146">
        <v>2127.3838532166</v>
      </c>
      <c r="K28" s="147">
        <v>5.8486382878112</v>
      </c>
      <c r="L28" s="146">
        <v>2144.6224162786</v>
      </c>
      <c r="M28" s="147">
        <v>5.39194718275587</v>
      </c>
      <c r="N28" s="146">
        <v>2136.3527991492</v>
      </c>
      <c r="O28" s="147">
        <v>5.07561566331768</v>
      </c>
      <c r="P28" s="146">
        <v>2141.1670242879</v>
      </c>
      <c r="Q28" s="147">
        <v>4.9505862893035</v>
      </c>
      <c r="R28" s="146">
        <v>2155.2540068688</v>
      </c>
      <c r="S28" s="147">
        <v>4.70613265975723</v>
      </c>
      <c r="T28" s="146">
        <v>2150.7036785294</v>
      </c>
      <c r="U28" s="147">
        <v>4.07019466695709</v>
      </c>
      <c r="V28" s="146">
        <v>2155.3462095385</v>
      </c>
      <c r="W28" s="147">
        <v>3.63411375681884</v>
      </c>
    </row>
    <row r="29" ht="19.5" customHeight="1" spans="1:23">
      <c r="A29" s="211" t="s">
        <v>373</v>
      </c>
      <c r="B29" s="146">
        <v>1930.1418430887</v>
      </c>
      <c r="C29" s="147">
        <v>8.90001698947218</v>
      </c>
      <c r="D29" s="146">
        <v>1955.4852592039</v>
      </c>
      <c r="E29" s="147">
        <v>8.08889031109694</v>
      </c>
      <c r="F29" s="146">
        <v>1980.6144263204</v>
      </c>
      <c r="G29" s="147">
        <v>7.5306082381271</v>
      </c>
      <c r="H29" s="146">
        <v>1971.5193681441</v>
      </c>
      <c r="I29" s="147">
        <v>7.07848536467219</v>
      </c>
      <c r="J29" s="146">
        <v>1974.8933709721</v>
      </c>
      <c r="K29" s="147">
        <v>6.67336796521472</v>
      </c>
      <c r="L29" s="146">
        <v>1991.8331233592</v>
      </c>
      <c r="M29" s="147">
        <v>6.11362825731067</v>
      </c>
      <c r="N29" s="146">
        <v>1987.9043475698</v>
      </c>
      <c r="O29" s="147">
        <v>5.91671620546852</v>
      </c>
      <c r="P29" s="146">
        <v>1992.5662214112</v>
      </c>
      <c r="Q29" s="147">
        <v>5.73521124251733</v>
      </c>
      <c r="R29" s="146">
        <v>2005.2346069429</v>
      </c>
      <c r="S29" s="147">
        <v>5.42734473161389</v>
      </c>
      <c r="T29" s="146">
        <v>2002.9100418494</v>
      </c>
      <c r="U29" s="147">
        <v>4.89881602261353</v>
      </c>
      <c r="V29" s="146">
        <v>2007.8400881612</v>
      </c>
      <c r="W29" s="147">
        <v>4.46071854496041</v>
      </c>
    </row>
    <row r="30" ht="19.5" customHeight="1" spans="1:23">
      <c r="A30" s="211" t="s">
        <v>366</v>
      </c>
      <c r="B30" s="146">
        <v>2246.7150317731</v>
      </c>
      <c r="C30" s="147">
        <v>9.2947380196074</v>
      </c>
      <c r="D30" s="146">
        <v>2348.5286832326</v>
      </c>
      <c r="E30" s="147">
        <v>11.73032036646</v>
      </c>
      <c r="F30" s="146">
        <v>2377.1713162617</v>
      </c>
      <c r="G30" s="147">
        <v>9.32776191026841</v>
      </c>
      <c r="H30" s="146">
        <v>2373.0344521839</v>
      </c>
      <c r="I30" s="147">
        <v>9.2030748333205</v>
      </c>
      <c r="J30" s="146">
        <v>2386.7292798585</v>
      </c>
      <c r="K30" s="147">
        <v>9.32342154767176</v>
      </c>
      <c r="L30" s="146">
        <v>2395.0127389017</v>
      </c>
      <c r="M30" s="147">
        <v>9.53723780884401</v>
      </c>
      <c r="N30" s="146">
        <v>2357.8818243728</v>
      </c>
      <c r="O30" s="147">
        <v>7.41319357469613</v>
      </c>
      <c r="P30" s="146">
        <v>2381.746738792</v>
      </c>
      <c r="Q30" s="147">
        <v>8.05813965201083</v>
      </c>
      <c r="R30" s="146">
        <v>2404.9170812128</v>
      </c>
      <c r="S30" s="147">
        <v>8.21604009551742</v>
      </c>
      <c r="T30" s="146">
        <v>2425.4588189718</v>
      </c>
      <c r="U30" s="147">
        <v>9.16395633264143</v>
      </c>
      <c r="V30" s="146">
        <v>2430.100527536</v>
      </c>
      <c r="W30" s="147">
        <v>10.8870781440212</v>
      </c>
    </row>
    <row r="31" ht="19.5" customHeight="1" spans="1:23">
      <c r="A31" s="211" t="s">
        <v>374</v>
      </c>
      <c r="B31" s="146">
        <v>650.3327693988</v>
      </c>
      <c r="C31" s="147">
        <v>8.72343891090911</v>
      </c>
      <c r="D31" s="146">
        <v>660.5836828718</v>
      </c>
      <c r="E31" s="147">
        <v>5.20965860194245</v>
      </c>
      <c r="F31" s="146">
        <v>664.3429934461</v>
      </c>
      <c r="G31" s="147">
        <v>2.89188911285987</v>
      </c>
      <c r="H31" s="146">
        <v>656.4746506386</v>
      </c>
      <c r="I31" s="147">
        <v>1.84801340430936</v>
      </c>
      <c r="J31" s="146">
        <v>658.4872534401</v>
      </c>
      <c r="K31" s="147">
        <v>1.95718499900689</v>
      </c>
      <c r="L31" s="146">
        <v>656.0013686385</v>
      </c>
      <c r="M31" s="147">
        <v>0.755611197852189</v>
      </c>
      <c r="N31" s="146">
        <v>609.0886551795</v>
      </c>
      <c r="O31" s="147">
        <v>-8.13742191079097</v>
      </c>
      <c r="P31" s="146">
        <v>610.1304497455</v>
      </c>
      <c r="Q31" s="147">
        <v>-7.46040567753754</v>
      </c>
      <c r="R31" s="146">
        <v>611.6893072846</v>
      </c>
      <c r="S31" s="147">
        <v>-7.69829573433682</v>
      </c>
      <c r="T31" s="146">
        <v>608.9175630807</v>
      </c>
      <c r="U31" s="147">
        <v>-7.73571532136892</v>
      </c>
      <c r="V31" s="146">
        <v>604.745149824</v>
      </c>
      <c r="W31" s="147">
        <v>-5.65897819486058</v>
      </c>
    </row>
    <row r="32" ht="19.5" customHeight="1" spans="1:23">
      <c r="A32" s="211" t="s">
        <v>375</v>
      </c>
      <c r="B32" s="146">
        <v>1430.2386496542</v>
      </c>
      <c r="C32" s="147">
        <v>11.5927447767632</v>
      </c>
      <c r="D32" s="146">
        <v>1510.4198773239</v>
      </c>
      <c r="E32" s="147">
        <v>15.7126142045223</v>
      </c>
      <c r="F32" s="146">
        <v>1532.3234444768</v>
      </c>
      <c r="G32" s="147">
        <v>12.6662562665405</v>
      </c>
      <c r="H32" s="146">
        <v>1532.7456587398</v>
      </c>
      <c r="I32" s="147">
        <v>12.7885291244249</v>
      </c>
      <c r="J32" s="146">
        <v>1545.0302406702</v>
      </c>
      <c r="K32" s="147">
        <v>13.1112025946498</v>
      </c>
      <c r="L32" s="146">
        <v>1558.2605187556</v>
      </c>
      <c r="M32" s="147">
        <v>13.4311136912189</v>
      </c>
      <c r="N32" s="146">
        <v>1558.9105221821</v>
      </c>
      <c r="O32" s="147">
        <v>13.7450176315638</v>
      </c>
      <c r="P32" s="146">
        <v>1583.9029617323</v>
      </c>
      <c r="Q32" s="147">
        <v>14.5475480911623</v>
      </c>
      <c r="R32" s="146">
        <v>1606.6602760111</v>
      </c>
      <c r="S32" s="147">
        <v>14.8119121882566</v>
      </c>
      <c r="T32" s="146">
        <v>1613.0475828538</v>
      </c>
      <c r="U32" s="147">
        <v>15.1088350570639</v>
      </c>
      <c r="V32" s="146">
        <v>1622.5061754331</v>
      </c>
      <c r="W32" s="147">
        <v>16.3111033798742</v>
      </c>
    </row>
    <row r="33" ht="19.5" customHeight="1" spans="1:23">
      <c r="A33" s="211" t="s">
        <v>367</v>
      </c>
      <c r="B33" s="146">
        <v>0</v>
      </c>
      <c r="C33" s="160" t="s">
        <v>18</v>
      </c>
      <c r="D33" s="146">
        <v>0</v>
      </c>
      <c r="E33" s="160" t="s">
        <v>18</v>
      </c>
      <c r="F33" s="146">
        <v>0</v>
      </c>
      <c r="G33" s="160" t="s">
        <v>18</v>
      </c>
      <c r="H33" s="146">
        <v>0</v>
      </c>
      <c r="I33" s="160" t="s">
        <v>18</v>
      </c>
      <c r="J33" s="146">
        <v>0</v>
      </c>
      <c r="K33" s="160" t="s">
        <v>18</v>
      </c>
      <c r="L33" s="146">
        <v>0</v>
      </c>
      <c r="M33" s="160" t="s">
        <v>18</v>
      </c>
      <c r="N33" s="146">
        <v>0</v>
      </c>
      <c r="O33" s="160" t="s">
        <v>18</v>
      </c>
      <c r="P33" s="146">
        <v>0</v>
      </c>
      <c r="Q33" s="160" t="s">
        <v>18</v>
      </c>
      <c r="R33" s="146">
        <v>0</v>
      </c>
      <c r="S33" s="160" t="s">
        <v>18</v>
      </c>
      <c r="T33" s="146">
        <v>0</v>
      </c>
      <c r="U33" s="160" t="s">
        <v>18</v>
      </c>
      <c r="V33" s="146">
        <v>0</v>
      </c>
      <c r="W33" s="160" t="s">
        <v>18</v>
      </c>
    </row>
    <row r="34" ht="19.5" customHeight="1" spans="1:23">
      <c r="A34" s="215" t="s">
        <v>368</v>
      </c>
      <c r="B34" s="153">
        <v>3.5880824177</v>
      </c>
      <c r="C34" s="154">
        <v>63.8920724445184</v>
      </c>
      <c r="D34" s="153">
        <v>3.1312279465</v>
      </c>
      <c r="E34" s="154">
        <v>34.5325131586958</v>
      </c>
      <c r="F34" s="153">
        <v>3.1633869242</v>
      </c>
      <c r="G34" s="154">
        <v>32.688226746248</v>
      </c>
      <c r="H34" s="153">
        <v>3.1771570112</v>
      </c>
      <c r="I34" s="154">
        <v>34.286263235852</v>
      </c>
      <c r="J34" s="153">
        <v>6.0422784531</v>
      </c>
      <c r="K34" s="154">
        <v>157.138164259329</v>
      </c>
      <c r="L34" s="153">
        <v>6.04627041</v>
      </c>
      <c r="M34" s="154">
        <v>154.635094094848</v>
      </c>
      <c r="N34" s="153">
        <v>10.3224865825</v>
      </c>
      <c r="O34" s="154">
        <v>329.728644097728</v>
      </c>
      <c r="P34" s="153">
        <v>10.1943479211</v>
      </c>
      <c r="Q34" s="154">
        <v>314.511655592875</v>
      </c>
      <c r="R34" s="153">
        <v>10.2213740782</v>
      </c>
      <c r="S34" s="154">
        <v>314.391837150319</v>
      </c>
      <c r="T34" s="153">
        <v>10.7523915791</v>
      </c>
      <c r="U34" s="154">
        <v>204.054252465378</v>
      </c>
      <c r="V34" s="153">
        <v>10.7620582634</v>
      </c>
      <c r="W34" s="154">
        <v>200.566297735903</v>
      </c>
    </row>
    <row r="35" ht="30" customHeight="1" spans="1:23">
      <c r="A35" s="203" t="s">
        <v>376</v>
      </c>
      <c r="B35" s="203"/>
      <c r="C35" s="203"/>
      <c r="D35" s="203"/>
      <c r="E35" s="203"/>
      <c r="F35" s="203"/>
      <c r="G35" s="203"/>
      <c r="H35" s="203"/>
      <c r="I35" s="203"/>
      <c r="J35" s="203"/>
      <c r="K35" s="203"/>
      <c r="L35" s="203"/>
      <c r="M35" s="203"/>
      <c r="N35" s="203"/>
      <c r="O35" s="203"/>
      <c r="P35" s="203"/>
      <c r="Q35" s="203"/>
      <c r="R35" s="203"/>
      <c r="S35" s="203"/>
      <c r="T35" s="203"/>
      <c r="U35" s="203"/>
      <c r="V35" s="203"/>
      <c r="W35" s="203"/>
    </row>
  </sheetData>
  <mergeCells count="14">
    <mergeCell ref="A1:W1"/>
    <mergeCell ref="B2:C2"/>
    <mergeCell ref="D2:E2"/>
    <mergeCell ref="F2:G2"/>
    <mergeCell ref="H2:I2"/>
    <mergeCell ref="J2:K2"/>
    <mergeCell ref="L2:M2"/>
    <mergeCell ref="N2:O2"/>
    <mergeCell ref="P2:Q2"/>
    <mergeCell ref="R2:S2"/>
    <mergeCell ref="T2:U2"/>
    <mergeCell ref="V2:W2"/>
    <mergeCell ref="A35:W35"/>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X28"/>
  <sheetViews>
    <sheetView zoomScale="90" zoomScaleNormal="90" workbookViewId="0">
      <pane xSplit="1" ySplit="3" topLeftCell="P4" activePane="bottomRight" state="frozen"/>
      <selection/>
      <selection pane="topRight"/>
      <selection pane="bottomLeft"/>
      <selection pane="bottomRight" activeCell="W27" sqref="W27"/>
    </sheetView>
  </sheetViews>
  <sheetFormatPr defaultColWidth="9" defaultRowHeight="14.25"/>
  <cols>
    <col min="1" max="1" width="29.6416666666667" style="133" customWidth="1"/>
    <col min="2" max="23" width="8.33333333333333" style="133" customWidth="1"/>
    <col min="24" max="164" width="9" style="133"/>
    <col min="165" max="16384" width="9" style="134"/>
  </cols>
  <sheetData>
    <row r="1" ht="28.5" customHeight="1" spans="1:23">
      <c r="A1" s="135" t="s">
        <v>377</v>
      </c>
      <c r="B1" s="135"/>
      <c r="C1" s="135"/>
      <c r="D1" s="135"/>
      <c r="E1" s="135"/>
      <c r="F1" s="135"/>
      <c r="G1" s="135"/>
      <c r="H1" s="135"/>
      <c r="I1" s="135"/>
      <c r="J1" s="135"/>
      <c r="K1" s="135"/>
      <c r="L1" s="135"/>
      <c r="M1" s="135"/>
      <c r="N1" s="135"/>
      <c r="O1" s="135"/>
      <c r="P1" s="135"/>
      <c r="Q1" s="135"/>
      <c r="R1" s="135"/>
      <c r="S1" s="135"/>
      <c r="T1" s="135"/>
      <c r="U1" s="135"/>
      <c r="V1" s="135"/>
      <c r="W1" s="135"/>
    </row>
    <row r="2" ht="21" customHeight="1" spans="1:23">
      <c r="A2" s="136" t="s">
        <v>1</v>
      </c>
      <c r="B2" s="137" t="s">
        <v>3</v>
      </c>
      <c r="C2" s="138"/>
      <c r="D2" s="137" t="s">
        <v>4</v>
      </c>
      <c r="E2" s="138"/>
      <c r="F2" s="137" t="s">
        <v>5</v>
      </c>
      <c r="G2" s="138"/>
      <c r="H2" s="137" t="s">
        <v>6</v>
      </c>
      <c r="I2" s="138"/>
      <c r="J2" s="137" t="s">
        <v>7</v>
      </c>
      <c r="K2" s="138"/>
      <c r="L2" s="137" t="s">
        <v>8</v>
      </c>
      <c r="M2" s="138"/>
      <c r="N2" s="137" t="s">
        <v>9</v>
      </c>
      <c r="O2" s="138"/>
      <c r="P2" s="137" t="s">
        <v>10</v>
      </c>
      <c r="Q2" s="138"/>
      <c r="R2" s="137" t="s">
        <v>11</v>
      </c>
      <c r="S2" s="138"/>
      <c r="T2" s="137" t="s">
        <v>12</v>
      </c>
      <c r="U2" s="138"/>
      <c r="V2" s="137" t="s">
        <v>13</v>
      </c>
      <c r="W2" s="138"/>
    </row>
    <row r="3" ht="21" customHeight="1" spans="1:23">
      <c r="A3" s="139"/>
      <c r="B3" s="140" t="s">
        <v>14</v>
      </c>
      <c r="C3" s="141" t="s">
        <v>15</v>
      </c>
      <c r="D3" s="140" t="s">
        <v>14</v>
      </c>
      <c r="E3" s="141" t="s">
        <v>15</v>
      </c>
      <c r="F3" s="140" t="s">
        <v>14</v>
      </c>
      <c r="G3" s="141" t="s">
        <v>15</v>
      </c>
      <c r="H3" s="140" t="s">
        <v>14</v>
      </c>
      <c r="I3" s="141" t="s">
        <v>15</v>
      </c>
      <c r="J3" s="140" t="s">
        <v>14</v>
      </c>
      <c r="K3" s="141" t="s">
        <v>15</v>
      </c>
      <c r="L3" s="140" t="s">
        <v>14</v>
      </c>
      <c r="M3" s="141" t="s">
        <v>15</v>
      </c>
      <c r="N3" s="140" t="s">
        <v>14</v>
      </c>
      <c r="O3" s="141" t="s">
        <v>15</v>
      </c>
      <c r="P3" s="140" t="s">
        <v>14</v>
      </c>
      <c r="Q3" s="141" t="s">
        <v>15</v>
      </c>
      <c r="R3" s="140" t="s">
        <v>14</v>
      </c>
      <c r="S3" s="141" t="s">
        <v>15</v>
      </c>
      <c r="T3" s="140" t="s">
        <v>14</v>
      </c>
      <c r="U3" s="141" t="s">
        <v>15</v>
      </c>
      <c r="V3" s="140" t="s">
        <v>14</v>
      </c>
      <c r="W3" s="141" t="s">
        <v>15</v>
      </c>
    </row>
    <row r="4" ht="21.6" customHeight="1" spans="1:23">
      <c r="A4" s="204" t="s">
        <v>378</v>
      </c>
      <c r="B4" s="205">
        <v>616.091452</v>
      </c>
      <c r="C4" s="206">
        <v>-12.1</v>
      </c>
      <c r="D4" s="205">
        <v>122.79514916</v>
      </c>
      <c r="E4" s="206">
        <v>-11.7</v>
      </c>
      <c r="F4" s="205">
        <v>167.184301</v>
      </c>
      <c r="G4" s="207">
        <v>-10.5</v>
      </c>
      <c r="H4" s="205">
        <v>204.03372</v>
      </c>
      <c r="I4" s="206">
        <v>-14.5</v>
      </c>
      <c r="J4" s="205">
        <v>258.34963</v>
      </c>
      <c r="K4" s="206">
        <v>-7.3</v>
      </c>
      <c r="L4" s="205">
        <v>327.55568297</v>
      </c>
      <c r="M4" s="207">
        <v>5.2861</v>
      </c>
      <c r="N4" s="205">
        <v>371.309748</v>
      </c>
      <c r="O4" s="207">
        <v>2.1</v>
      </c>
      <c r="P4" s="205">
        <v>417.162034</v>
      </c>
      <c r="Q4" s="207">
        <v>2.7</v>
      </c>
      <c r="R4" s="205">
        <v>461.003465</v>
      </c>
      <c r="S4" s="207">
        <v>3.9</v>
      </c>
      <c r="T4" s="205">
        <v>515.077287</v>
      </c>
      <c r="U4" s="207">
        <v>6.5</v>
      </c>
      <c r="V4" s="205">
        <v>552.25861</v>
      </c>
      <c r="W4" s="207">
        <v>0</v>
      </c>
    </row>
    <row r="5" ht="21.6" customHeight="1" spans="1:23">
      <c r="A5" s="148" t="s">
        <v>379</v>
      </c>
      <c r="B5" s="208">
        <v>194.386498</v>
      </c>
      <c r="C5" s="209">
        <v>-4.6</v>
      </c>
      <c r="D5" s="208">
        <v>27.39625553</v>
      </c>
      <c r="E5" s="210">
        <v>-16.1806</v>
      </c>
      <c r="F5" s="208">
        <v>44.97914513</v>
      </c>
      <c r="G5" s="210">
        <v>-6.7</v>
      </c>
      <c r="H5" s="208">
        <v>61.64745</v>
      </c>
      <c r="I5" s="210">
        <v>-1.4</v>
      </c>
      <c r="J5" s="208">
        <v>76.73841</v>
      </c>
      <c r="K5" s="210">
        <v>-4.2</v>
      </c>
      <c r="L5" s="208">
        <v>90.97497858</v>
      </c>
      <c r="M5" s="210">
        <v>-2.323</v>
      </c>
      <c r="N5" s="208">
        <v>112.285355</v>
      </c>
      <c r="O5" s="210">
        <v>3.4</v>
      </c>
      <c r="P5" s="208">
        <v>127.673522</v>
      </c>
      <c r="Q5" s="210">
        <v>2.7</v>
      </c>
      <c r="R5" s="208">
        <v>143.990436</v>
      </c>
      <c r="S5" s="210">
        <v>2.7</v>
      </c>
      <c r="T5" s="208">
        <v>166.270464</v>
      </c>
      <c r="U5" s="210">
        <v>5.2</v>
      </c>
      <c r="V5" s="208">
        <v>181.679068</v>
      </c>
      <c r="W5" s="210">
        <v>3.4</v>
      </c>
    </row>
    <row r="6" ht="21.6" customHeight="1" spans="1:23">
      <c r="A6" s="148" t="s">
        <v>380</v>
      </c>
      <c r="B6" s="208"/>
      <c r="C6" s="210"/>
      <c r="D6" s="208"/>
      <c r="E6" s="210"/>
      <c r="F6" s="208"/>
      <c r="G6" s="210"/>
      <c r="H6" s="208"/>
      <c r="I6" s="210"/>
      <c r="J6" s="208"/>
      <c r="K6" s="210"/>
      <c r="L6" s="208"/>
      <c r="M6" s="210"/>
      <c r="N6" s="208"/>
      <c r="O6" s="210"/>
      <c r="P6" s="208"/>
      <c r="Q6" s="210"/>
      <c r="R6" s="208"/>
      <c r="S6" s="210"/>
      <c r="T6" s="208"/>
      <c r="U6" s="210"/>
      <c r="V6" s="208"/>
      <c r="W6" s="210"/>
    </row>
    <row r="7" ht="21.6" customHeight="1" spans="1:23">
      <c r="A7" s="148" t="s">
        <v>381</v>
      </c>
      <c r="B7" s="208">
        <v>173.79845</v>
      </c>
      <c r="C7" s="210">
        <v>2.8363</v>
      </c>
      <c r="D7" s="208">
        <v>25.67166314</v>
      </c>
      <c r="E7" s="210">
        <v>-10.732</v>
      </c>
      <c r="F7" s="208">
        <v>40.25682029</v>
      </c>
      <c r="G7" s="210">
        <v>-5.4</v>
      </c>
      <c r="H7" s="208">
        <v>56.00523</v>
      </c>
      <c r="I7" s="210">
        <v>1.6</v>
      </c>
      <c r="J7" s="208">
        <v>68.6470849</v>
      </c>
      <c r="K7" s="210">
        <v>-1.9092</v>
      </c>
      <c r="L7" s="208">
        <v>81.330011</v>
      </c>
      <c r="M7" s="210">
        <v>0.9</v>
      </c>
      <c r="N7" s="208">
        <v>101.187914</v>
      </c>
      <c r="O7" s="210">
        <v>6</v>
      </c>
      <c r="P7" s="208">
        <v>114.695559</v>
      </c>
      <c r="Q7" s="210">
        <v>4.2</v>
      </c>
      <c r="R7" s="208">
        <v>128.905326</v>
      </c>
      <c r="S7" s="210">
        <v>3.7</v>
      </c>
      <c r="T7" s="208">
        <v>146.71947</v>
      </c>
      <c r="U7" s="210">
        <v>5.2</v>
      </c>
      <c r="V7" s="208">
        <v>161.095653</v>
      </c>
      <c r="W7" s="210">
        <v>3.3</v>
      </c>
    </row>
    <row r="8" ht="21.6" customHeight="1" spans="1:23">
      <c r="A8" s="148" t="s">
        <v>382</v>
      </c>
      <c r="B8" s="208">
        <v>13.10140156</v>
      </c>
      <c r="C8" s="210">
        <v>-46.9718</v>
      </c>
      <c r="D8" s="208">
        <v>0.49812198</v>
      </c>
      <c r="E8" s="210">
        <v>-72.2566</v>
      </c>
      <c r="F8" s="208">
        <v>0.799434</v>
      </c>
      <c r="G8" s="210">
        <v>-76.9</v>
      </c>
      <c r="H8" s="208">
        <v>1.2054</v>
      </c>
      <c r="I8" s="210">
        <v>-75.1</v>
      </c>
      <c r="J8" s="208">
        <v>1.93053755</v>
      </c>
      <c r="K8" s="210">
        <v>-68.2224</v>
      </c>
      <c r="L8" s="208">
        <v>2.6841901</v>
      </c>
      <c r="M8" s="210">
        <v>-61.9714</v>
      </c>
      <c r="N8" s="208">
        <v>3.402784</v>
      </c>
      <c r="O8" s="210">
        <v>-57.3</v>
      </c>
      <c r="P8" s="208">
        <v>4.017886</v>
      </c>
      <c r="Q8" s="210">
        <v>-54.5</v>
      </c>
      <c r="R8" s="208">
        <v>4.711853</v>
      </c>
      <c r="S8" s="210">
        <v>-55</v>
      </c>
      <c r="T8" s="208">
        <v>5.411326</v>
      </c>
      <c r="U8" s="210">
        <v>-54.1</v>
      </c>
      <c r="V8" s="208">
        <v>6.216372</v>
      </c>
      <c r="W8" s="210">
        <v>-51.1</v>
      </c>
    </row>
    <row r="9" ht="21.6" customHeight="1" spans="1:23">
      <c r="A9" s="148" t="s">
        <v>383</v>
      </c>
      <c r="B9" s="208">
        <v>7.32679022</v>
      </c>
      <c r="C9" s="210">
        <v>-26.2327</v>
      </c>
      <c r="D9" s="208">
        <v>1.22118478</v>
      </c>
      <c r="E9" s="210">
        <v>-42.6946</v>
      </c>
      <c r="F9" s="208">
        <v>3.91733191</v>
      </c>
      <c r="G9" s="210">
        <v>79.6</v>
      </c>
      <c r="H9" s="208">
        <v>4.43081</v>
      </c>
      <c r="I9" s="210">
        <v>74.1</v>
      </c>
      <c r="J9" s="208">
        <v>6.15404118</v>
      </c>
      <c r="K9" s="210">
        <v>51.3718</v>
      </c>
      <c r="L9" s="208">
        <v>6.47616236</v>
      </c>
      <c r="M9" s="210">
        <v>47.049</v>
      </c>
      <c r="N9" s="208">
        <v>7.680038</v>
      </c>
      <c r="O9" s="210">
        <v>53.8</v>
      </c>
      <c r="P9" s="208">
        <v>8.944946</v>
      </c>
      <c r="Q9" s="210">
        <v>70</v>
      </c>
      <c r="R9" s="208">
        <v>10.357287</v>
      </c>
      <c r="S9" s="210">
        <v>94.4</v>
      </c>
      <c r="T9" s="208">
        <v>14.123392</v>
      </c>
      <c r="U9" s="210">
        <v>112</v>
      </c>
      <c r="V9" s="208">
        <v>14.350429</v>
      </c>
      <c r="W9" s="210">
        <v>110.1</v>
      </c>
    </row>
    <row r="10" ht="21.6" customHeight="1" spans="1:23">
      <c r="A10" s="148" t="s">
        <v>384</v>
      </c>
      <c r="B10" s="208"/>
      <c r="C10" s="210"/>
      <c r="D10" s="208"/>
      <c r="E10" s="210"/>
      <c r="F10" s="208"/>
      <c r="G10" s="210"/>
      <c r="H10" s="208"/>
      <c r="I10" s="210"/>
      <c r="J10" s="208"/>
      <c r="K10" s="210"/>
      <c r="L10" s="208"/>
      <c r="M10" s="210"/>
      <c r="N10" s="208"/>
      <c r="O10" s="210"/>
      <c r="P10" s="208"/>
      <c r="Q10" s="210"/>
      <c r="R10" s="208"/>
      <c r="S10" s="210"/>
      <c r="T10" s="208"/>
      <c r="U10" s="210"/>
      <c r="V10" s="208"/>
      <c r="W10" s="210"/>
    </row>
    <row r="11" ht="21.6" customHeight="1" spans="1:23">
      <c r="A11" s="148" t="s">
        <v>385</v>
      </c>
      <c r="B11" s="208">
        <v>82.38097425</v>
      </c>
      <c r="C11" s="210">
        <v>-11.8443</v>
      </c>
      <c r="D11" s="208">
        <v>12.72099339</v>
      </c>
      <c r="E11" s="210">
        <v>-13.2863</v>
      </c>
      <c r="F11" s="208">
        <v>19.901584</v>
      </c>
      <c r="G11" s="210">
        <v>-12.1</v>
      </c>
      <c r="H11" s="208">
        <v>29.38682</v>
      </c>
      <c r="I11" s="210">
        <v>-1.4</v>
      </c>
      <c r="J11" s="208">
        <v>35.17862504</v>
      </c>
      <c r="K11" s="210">
        <v>-1.2121</v>
      </c>
      <c r="L11" s="208">
        <v>40.95886171</v>
      </c>
      <c r="M11" s="210">
        <v>3.2775</v>
      </c>
      <c r="N11" s="208">
        <v>52.44864</v>
      </c>
      <c r="O11" s="210">
        <v>15.9</v>
      </c>
      <c r="P11" s="208">
        <v>58.771322</v>
      </c>
      <c r="Q11" s="210">
        <v>13.5</v>
      </c>
      <c r="R11" s="208">
        <v>66.671134</v>
      </c>
      <c r="S11" s="210">
        <v>12</v>
      </c>
      <c r="T11" s="208">
        <v>77.09803</v>
      </c>
      <c r="U11" s="210">
        <v>15.2</v>
      </c>
      <c r="V11" s="208">
        <v>82.836847</v>
      </c>
      <c r="W11" s="210">
        <v>10.1</v>
      </c>
    </row>
    <row r="12" ht="21.6" customHeight="1" spans="1:23">
      <c r="A12" s="148" t="s">
        <v>386</v>
      </c>
      <c r="B12" s="208">
        <v>84.72110414</v>
      </c>
      <c r="C12" s="210">
        <v>4.7663</v>
      </c>
      <c r="D12" s="208">
        <v>10.9744534</v>
      </c>
      <c r="E12" s="210">
        <v>-9.4083</v>
      </c>
      <c r="F12" s="208">
        <v>17.14385</v>
      </c>
      <c r="G12" s="210">
        <v>-2.5</v>
      </c>
      <c r="H12" s="208">
        <v>22.35351</v>
      </c>
      <c r="I12" s="210">
        <v>-6.9</v>
      </c>
      <c r="J12" s="208">
        <v>28.45025579</v>
      </c>
      <c r="K12" s="210">
        <v>-9.4427</v>
      </c>
      <c r="L12" s="208">
        <v>35.12141831</v>
      </c>
      <c r="M12" s="210">
        <v>-8.5546</v>
      </c>
      <c r="N12" s="208">
        <v>42.005685</v>
      </c>
      <c r="O12" s="210">
        <v>-8.5</v>
      </c>
      <c r="P12" s="208">
        <v>48.498469</v>
      </c>
      <c r="Q12" s="210">
        <v>-9.2</v>
      </c>
      <c r="R12" s="208">
        <v>54.100952</v>
      </c>
      <c r="S12" s="210">
        <v>-9.7</v>
      </c>
      <c r="T12" s="208">
        <v>60.477021</v>
      </c>
      <c r="U12" s="210">
        <v>-10.2</v>
      </c>
      <c r="V12" s="208">
        <v>68.03598</v>
      </c>
      <c r="W12" s="210">
        <v>-9.5</v>
      </c>
    </row>
    <row r="13" ht="21.6" customHeight="1" spans="1:23">
      <c r="A13" s="148" t="s">
        <v>387</v>
      </c>
      <c r="B13" s="208">
        <v>27.28441205</v>
      </c>
      <c r="C13" s="210">
        <v>-6.9897</v>
      </c>
      <c r="D13" s="208">
        <v>3.70064162</v>
      </c>
      <c r="E13" s="210">
        <v>-37.2832</v>
      </c>
      <c r="F13" s="208">
        <v>7.933544</v>
      </c>
      <c r="G13" s="210">
        <v>-0.5</v>
      </c>
      <c r="H13" s="208">
        <v>9.90695</v>
      </c>
      <c r="I13" s="210">
        <v>-3.5</v>
      </c>
      <c r="J13" s="208">
        <v>13.10935938</v>
      </c>
      <c r="K13" s="210">
        <v>0.0492</v>
      </c>
      <c r="L13" s="208">
        <v>14.88930344</v>
      </c>
      <c r="M13" s="210">
        <v>-1.2161</v>
      </c>
      <c r="N13" s="208">
        <v>17.825634</v>
      </c>
      <c r="O13" s="210">
        <v>2.5</v>
      </c>
      <c r="P13" s="208">
        <v>20.398337</v>
      </c>
      <c r="Q13" s="210">
        <v>7</v>
      </c>
      <c r="R13" s="208">
        <v>23.212955</v>
      </c>
      <c r="S13" s="210">
        <v>11.9</v>
      </c>
      <c r="T13" s="208">
        <v>28.690019</v>
      </c>
      <c r="U13" s="210">
        <v>20.8</v>
      </c>
      <c r="V13" s="208">
        <v>30.800846</v>
      </c>
      <c r="W13" s="210">
        <v>22.2</v>
      </c>
    </row>
    <row r="14" ht="21.6" customHeight="1" spans="1:23">
      <c r="A14" s="148" t="s">
        <v>388</v>
      </c>
      <c r="B14" s="208"/>
      <c r="C14" s="210"/>
      <c r="D14" s="208"/>
      <c r="E14" s="210"/>
      <c r="F14" s="208"/>
      <c r="G14" s="210"/>
      <c r="H14" s="208"/>
      <c r="I14" s="210"/>
      <c r="J14" s="208"/>
      <c r="K14" s="210"/>
      <c r="L14" s="208"/>
      <c r="M14" s="210"/>
      <c r="N14" s="208"/>
      <c r="O14" s="210"/>
      <c r="P14" s="208"/>
      <c r="Q14" s="210"/>
      <c r="R14" s="208"/>
      <c r="S14" s="210"/>
      <c r="T14" s="208"/>
      <c r="U14" s="210"/>
      <c r="V14" s="208"/>
      <c r="W14" s="210"/>
    </row>
    <row r="15" ht="21.6" customHeight="1" spans="1:23">
      <c r="A15" s="148" t="s">
        <v>389</v>
      </c>
      <c r="B15" s="208">
        <v>12.519412</v>
      </c>
      <c r="C15" s="210">
        <v>-33.2</v>
      </c>
      <c r="D15" s="208">
        <v>1.068286</v>
      </c>
      <c r="E15" s="210">
        <v>-65</v>
      </c>
      <c r="F15" s="208">
        <v>1.715532</v>
      </c>
      <c r="G15" s="210">
        <v>-62.1</v>
      </c>
      <c r="H15" s="208">
        <v>2.306103</v>
      </c>
      <c r="I15" s="210">
        <v>-61.9</v>
      </c>
      <c r="J15" s="208">
        <v>2.92657</v>
      </c>
      <c r="K15" s="210">
        <v>-60.7</v>
      </c>
      <c r="L15" s="208">
        <v>3.46820712</v>
      </c>
      <c r="M15" s="210">
        <v>-58.4816</v>
      </c>
      <c r="N15" s="208">
        <v>4.040174</v>
      </c>
      <c r="O15" s="210">
        <v>-55</v>
      </c>
      <c r="P15" s="208">
        <v>4.526128</v>
      </c>
      <c r="Q15" s="210">
        <v>-53.3</v>
      </c>
      <c r="R15" s="208">
        <v>5.028747</v>
      </c>
      <c r="S15" s="210">
        <v>-51.1</v>
      </c>
      <c r="T15" s="208">
        <v>5.568599</v>
      </c>
      <c r="U15" s="210">
        <v>-49.5</v>
      </c>
      <c r="V15" s="208">
        <v>6.108709</v>
      </c>
      <c r="W15" s="210">
        <v>-47.7</v>
      </c>
    </row>
    <row r="16" ht="21.6" customHeight="1" spans="1:23">
      <c r="A16" s="148" t="s">
        <v>390</v>
      </c>
      <c r="B16" s="208">
        <v>7.377161</v>
      </c>
      <c r="C16" s="210">
        <v>85</v>
      </c>
      <c r="D16" s="208">
        <v>1.051525</v>
      </c>
      <c r="E16" s="210">
        <v>-14.7</v>
      </c>
      <c r="F16" s="208">
        <v>1.455502</v>
      </c>
      <c r="G16" s="210">
        <v>-36.9</v>
      </c>
      <c r="H16" s="208">
        <v>1.6348405</v>
      </c>
      <c r="I16" s="210">
        <v>-38.8</v>
      </c>
      <c r="J16" s="208">
        <v>2.37678</v>
      </c>
      <c r="K16" s="210">
        <v>-34.2</v>
      </c>
      <c r="L16" s="208">
        <v>3.285752</v>
      </c>
      <c r="M16" s="210">
        <v>-22</v>
      </c>
      <c r="N16" s="208">
        <v>3.474028</v>
      </c>
      <c r="O16" s="210">
        <v>-21.8</v>
      </c>
      <c r="P16" s="208">
        <v>3.801235</v>
      </c>
      <c r="Q16" s="210">
        <v>-22</v>
      </c>
      <c r="R16" s="208">
        <v>4.30704</v>
      </c>
      <c r="S16" s="210">
        <v>-19.9</v>
      </c>
      <c r="T16" s="208">
        <v>4.860298</v>
      </c>
      <c r="U16" s="210">
        <v>-18.1</v>
      </c>
      <c r="V16" s="208">
        <v>5.245519</v>
      </c>
      <c r="W16" s="210">
        <v>-20.6</v>
      </c>
    </row>
    <row r="17" ht="21.6" customHeight="1" spans="1:24">
      <c r="A17" s="148" t="s">
        <v>391</v>
      </c>
      <c r="B17" s="208">
        <v>11.59219</v>
      </c>
      <c r="C17" s="210">
        <v>24.8</v>
      </c>
      <c r="D17" s="208">
        <v>1.922525</v>
      </c>
      <c r="E17" s="210">
        <v>34.3</v>
      </c>
      <c r="F17" s="208">
        <v>3.208832</v>
      </c>
      <c r="G17" s="210">
        <v>52.1</v>
      </c>
      <c r="H17" s="208">
        <v>3.81842</v>
      </c>
      <c r="I17" s="210">
        <v>28.7</v>
      </c>
      <c r="J17" s="208">
        <v>4.47110581</v>
      </c>
      <c r="K17" s="210">
        <v>15.2391</v>
      </c>
      <c r="L17" s="208">
        <v>5.87141083</v>
      </c>
      <c r="M17" s="210">
        <v>22.9263</v>
      </c>
      <c r="N17" s="208">
        <v>7.028628</v>
      </c>
      <c r="O17" s="210">
        <v>19</v>
      </c>
      <c r="P17" s="208">
        <v>7.725722</v>
      </c>
      <c r="Q17" s="210">
        <v>12.4</v>
      </c>
      <c r="R17" s="208">
        <v>8.523228</v>
      </c>
      <c r="S17" s="210">
        <v>11</v>
      </c>
      <c r="T17" s="208">
        <v>9.591816</v>
      </c>
      <c r="U17" s="210">
        <v>7.2</v>
      </c>
      <c r="V17" s="208">
        <v>10.715346</v>
      </c>
      <c r="W17" s="210">
        <v>5</v>
      </c>
    </row>
    <row r="18" ht="21.6" customHeight="1" spans="1:24">
      <c r="A18" s="148" t="s">
        <v>392</v>
      </c>
      <c r="B18" s="208">
        <v>20.137138</v>
      </c>
      <c r="C18" s="210">
        <v>-12.4</v>
      </c>
      <c r="D18" s="208">
        <v>4.677839</v>
      </c>
      <c r="E18" s="210">
        <v>-0.8</v>
      </c>
      <c r="F18" s="208">
        <v>5.360014</v>
      </c>
      <c r="G18" s="210">
        <v>-23</v>
      </c>
      <c r="H18" s="208">
        <v>8.72078</v>
      </c>
      <c r="I18" s="210">
        <v>0</v>
      </c>
      <c r="J18" s="208">
        <v>9.80445645</v>
      </c>
      <c r="K18" s="210">
        <v>-9.77</v>
      </c>
      <c r="L18" s="208">
        <v>10.56266122</v>
      </c>
      <c r="M18" s="210">
        <v>-9.6642</v>
      </c>
      <c r="N18" s="208">
        <v>13.644592</v>
      </c>
      <c r="O18" s="210">
        <v>4.8</v>
      </c>
      <c r="P18" s="208">
        <v>16.210773</v>
      </c>
      <c r="Q18" s="210">
        <v>5.3</v>
      </c>
      <c r="R18" s="208">
        <v>17.093661</v>
      </c>
      <c r="S18" s="210">
        <v>5.1</v>
      </c>
      <c r="T18" s="208">
        <v>20.099339</v>
      </c>
      <c r="U18" s="210">
        <v>16.6</v>
      </c>
      <c r="V18" s="208">
        <v>21.796957</v>
      </c>
      <c r="W18" s="210">
        <v>12.3</v>
      </c>
    </row>
    <row r="19" ht="21.6" customHeight="1" spans="1:24">
      <c r="A19" s="148" t="s">
        <v>393</v>
      </c>
      <c r="B19" s="208">
        <v>421.704954</v>
      </c>
      <c r="C19" s="210">
        <v>-15.1</v>
      </c>
      <c r="D19" s="208">
        <v>95.39889363</v>
      </c>
      <c r="E19" s="210">
        <v>-10.3872</v>
      </c>
      <c r="F19" s="208">
        <v>122.205156</v>
      </c>
      <c r="G19" s="210">
        <v>-11.9</v>
      </c>
      <c r="H19" s="208">
        <v>142.38627</v>
      </c>
      <c r="I19" s="210">
        <v>-19.1</v>
      </c>
      <c r="J19" s="208">
        <v>181.61122</v>
      </c>
      <c r="K19" s="210">
        <v>-8.6</v>
      </c>
      <c r="L19" s="208">
        <v>236.58070439</v>
      </c>
      <c r="M19" s="210">
        <v>8.5375</v>
      </c>
      <c r="N19" s="208">
        <v>259.024394</v>
      </c>
      <c r="O19" s="210">
        <v>1.5</v>
      </c>
      <c r="P19" s="208">
        <v>289.488512</v>
      </c>
      <c r="Q19" s="210">
        <v>2.6</v>
      </c>
      <c r="R19" s="208">
        <v>317.01303</v>
      </c>
      <c r="S19" s="210">
        <v>4.5</v>
      </c>
      <c r="T19" s="208">
        <v>348.806823</v>
      </c>
      <c r="U19" s="210">
        <v>7.2</v>
      </c>
      <c r="V19" s="208">
        <v>370.579542</v>
      </c>
      <c r="W19" s="210">
        <v>-1.6</v>
      </c>
    </row>
    <row r="20" ht="21.6" customHeight="1" spans="1:24">
      <c r="A20" s="148" t="s">
        <v>394</v>
      </c>
      <c r="B20" s="208"/>
      <c r="C20" s="210"/>
      <c r="D20" s="208"/>
      <c r="E20" s="210"/>
      <c r="F20" s="208"/>
      <c r="G20" s="210"/>
      <c r="H20" s="208"/>
      <c r="I20" s="210"/>
      <c r="J20" s="208"/>
      <c r="K20" s="210"/>
      <c r="L20" s="208"/>
      <c r="M20" s="210"/>
      <c r="N20" s="208"/>
      <c r="O20" s="210"/>
      <c r="P20" s="208"/>
      <c r="Q20" s="210"/>
      <c r="R20" s="208"/>
      <c r="S20" s="210"/>
      <c r="T20" s="208"/>
      <c r="U20" s="210"/>
      <c r="V20" s="208"/>
      <c r="W20" s="210"/>
    </row>
    <row r="21" ht="21.6" customHeight="1" spans="1:24">
      <c r="A21" s="211" t="s">
        <v>395</v>
      </c>
      <c r="B21" s="208">
        <v>192.58581416</v>
      </c>
      <c r="C21" s="210">
        <v>-9.0378</v>
      </c>
      <c r="D21" s="208">
        <v>39.7506924</v>
      </c>
      <c r="E21" s="210">
        <v>14.8013</v>
      </c>
      <c r="F21" s="208">
        <v>55.74816606</v>
      </c>
      <c r="G21" s="210">
        <v>16.6</v>
      </c>
      <c r="H21" s="208">
        <v>67.06043</v>
      </c>
      <c r="I21" s="210">
        <v>-3.7</v>
      </c>
      <c r="J21" s="208">
        <v>89.35534203</v>
      </c>
      <c r="K21" s="210">
        <v>5.9162</v>
      </c>
      <c r="L21" s="208">
        <v>112.97083929</v>
      </c>
      <c r="M21" s="210">
        <v>22.4812</v>
      </c>
      <c r="N21" s="208">
        <v>129.236751</v>
      </c>
      <c r="O21" s="210">
        <v>24.9</v>
      </c>
      <c r="P21" s="208">
        <v>147.94316</v>
      </c>
      <c r="Q21" s="210">
        <v>23.1</v>
      </c>
      <c r="R21" s="208">
        <v>166.398365</v>
      </c>
      <c r="S21" s="210">
        <v>25.5</v>
      </c>
      <c r="T21" s="208">
        <v>185.38053</v>
      </c>
      <c r="U21" s="210">
        <v>26.8</v>
      </c>
      <c r="V21" s="208">
        <v>205.776521</v>
      </c>
      <c r="W21" s="210">
        <v>17.7</v>
      </c>
    </row>
    <row r="22" ht="21.6" customHeight="1" spans="1:24">
      <c r="A22" s="211" t="s">
        <v>396</v>
      </c>
      <c r="B22" s="208">
        <v>13.34408266</v>
      </c>
      <c r="C22" s="210">
        <v>-22.7417</v>
      </c>
      <c r="D22" s="208">
        <v>0.6310936</v>
      </c>
      <c r="E22" s="210">
        <v>-85.68</v>
      </c>
      <c r="F22" s="208">
        <v>0.905086</v>
      </c>
      <c r="G22" s="210">
        <v>-80.9</v>
      </c>
      <c r="H22" s="208">
        <v>1.82509</v>
      </c>
      <c r="I22" s="210">
        <v>-73.1</v>
      </c>
      <c r="J22" s="208">
        <v>2.22359265</v>
      </c>
      <c r="K22" s="210">
        <v>-74.3632</v>
      </c>
      <c r="L22" s="208">
        <v>2.43891246</v>
      </c>
      <c r="M22" s="210">
        <v>-73.3774</v>
      </c>
      <c r="N22" s="208">
        <v>2.660151</v>
      </c>
      <c r="O22" s="210">
        <v>-74.7</v>
      </c>
      <c r="P22" s="208">
        <v>3.377339</v>
      </c>
      <c r="Q22" s="210">
        <v>-68.6</v>
      </c>
      <c r="R22" s="208">
        <v>3.663845</v>
      </c>
      <c r="S22" s="210">
        <v>-68.2</v>
      </c>
      <c r="T22" s="208">
        <v>4.179792</v>
      </c>
      <c r="U22" s="210">
        <v>-66</v>
      </c>
      <c r="V22" s="208">
        <v>4.865181</v>
      </c>
      <c r="W22" s="210">
        <v>-62.7</v>
      </c>
    </row>
    <row r="23" ht="21.6" customHeight="1" spans="1:24">
      <c r="A23" s="211" t="s">
        <v>397</v>
      </c>
      <c r="B23" s="208">
        <v>190.34781671</v>
      </c>
      <c r="C23" s="210">
        <v>-28.41</v>
      </c>
      <c r="D23" s="208">
        <v>54.3061842</v>
      </c>
      <c r="E23" s="210">
        <v>-14.9541</v>
      </c>
      <c r="F23" s="208">
        <v>64.15020284</v>
      </c>
      <c r="G23" s="210">
        <v>-19.3</v>
      </c>
      <c r="H23" s="208">
        <v>70.36631</v>
      </c>
      <c r="I23" s="210">
        <v>-19.6</v>
      </c>
      <c r="J23" s="208">
        <v>86.43385364</v>
      </c>
      <c r="K23" s="210">
        <v>-6.4155</v>
      </c>
      <c r="L23" s="208">
        <v>117.50225693</v>
      </c>
      <c r="M23" s="210">
        <v>16.9589</v>
      </c>
      <c r="N23" s="208">
        <v>123.408587</v>
      </c>
      <c r="O23" s="210">
        <v>0.9</v>
      </c>
      <c r="P23" s="208">
        <v>134.449314</v>
      </c>
      <c r="Q23" s="210">
        <v>2.4</v>
      </c>
      <c r="R23" s="208">
        <v>143.229451</v>
      </c>
      <c r="S23" s="210">
        <v>4.3</v>
      </c>
      <c r="T23" s="208">
        <v>155.524758</v>
      </c>
      <c r="U23" s="210">
        <v>8.2</v>
      </c>
      <c r="V23" s="208">
        <v>156.210645</v>
      </c>
      <c r="W23" s="210">
        <v>-5.1</v>
      </c>
    </row>
    <row r="24" ht="21.6" customHeight="1" spans="1:24">
      <c r="A24" s="212" t="s">
        <v>398</v>
      </c>
      <c r="B24" s="213"/>
      <c r="C24" s="207"/>
      <c r="D24" s="213"/>
      <c r="E24" s="207"/>
      <c r="F24" s="213"/>
      <c r="G24" s="207"/>
      <c r="H24" s="213"/>
      <c r="I24" s="207"/>
      <c r="J24" s="213"/>
      <c r="K24" s="207"/>
      <c r="L24" s="213"/>
      <c r="M24" s="207"/>
      <c r="N24" s="213"/>
      <c r="O24" s="207"/>
      <c r="P24" s="213"/>
      <c r="Q24" s="207"/>
      <c r="R24" s="213"/>
      <c r="S24" s="207"/>
      <c r="T24" s="213"/>
      <c r="U24" s="207"/>
      <c r="V24" s="213"/>
      <c r="W24" s="207"/>
      <c r="X24" s="162"/>
    </row>
    <row r="25" ht="21.6" customHeight="1" spans="1:24">
      <c r="A25" s="211" t="s">
        <v>399</v>
      </c>
      <c r="B25" s="214">
        <v>76</v>
      </c>
      <c r="C25" s="210">
        <v>90</v>
      </c>
      <c r="D25" s="214">
        <v>0</v>
      </c>
      <c r="E25" s="210">
        <v>-100</v>
      </c>
      <c r="F25" s="214">
        <v>12</v>
      </c>
      <c r="G25" s="210">
        <v>100</v>
      </c>
      <c r="H25" s="214">
        <v>19</v>
      </c>
      <c r="I25" s="210">
        <v>90</v>
      </c>
      <c r="J25" s="214">
        <v>23</v>
      </c>
      <c r="K25" s="210">
        <v>53.3</v>
      </c>
      <c r="L25" s="214">
        <v>27</v>
      </c>
      <c r="M25" s="210">
        <v>42.1</v>
      </c>
      <c r="N25" s="214">
        <v>34</v>
      </c>
      <c r="O25" s="210">
        <v>47.8</v>
      </c>
      <c r="P25" s="214">
        <v>37</v>
      </c>
      <c r="Q25" s="210">
        <v>37</v>
      </c>
      <c r="R25" s="214">
        <v>40</v>
      </c>
      <c r="S25" s="210">
        <v>29</v>
      </c>
      <c r="T25" s="214">
        <v>43</v>
      </c>
      <c r="U25" s="210">
        <v>-4.4</v>
      </c>
      <c r="V25" s="214">
        <v>47</v>
      </c>
      <c r="W25" s="210">
        <v>-26.6</v>
      </c>
      <c r="X25" s="162"/>
    </row>
    <row r="26" ht="21.6" customHeight="1" spans="1:24">
      <c r="A26" s="211" t="s">
        <v>400</v>
      </c>
      <c r="B26" s="208">
        <v>-0.7679</v>
      </c>
      <c r="C26" s="210">
        <v>-132.1</v>
      </c>
      <c r="D26" s="208">
        <v>0</v>
      </c>
      <c r="E26" s="210">
        <v>-100</v>
      </c>
      <c r="F26" s="208">
        <v>0.8776</v>
      </c>
      <c r="G26" s="210">
        <v>690.6</v>
      </c>
      <c r="H26" s="208">
        <v>1.8851</v>
      </c>
      <c r="I26" s="210">
        <v>1061.5</v>
      </c>
      <c r="J26" s="208">
        <v>1.9176</v>
      </c>
      <c r="K26" s="210">
        <v>179.1</v>
      </c>
      <c r="L26" s="208">
        <v>1.9655</v>
      </c>
      <c r="M26" s="210">
        <v>61.6</v>
      </c>
      <c r="N26" s="208">
        <v>1.489</v>
      </c>
      <c r="O26" s="210">
        <v>144.8</v>
      </c>
      <c r="P26" s="208">
        <v>1.492</v>
      </c>
      <c r="Q26" s="210">
        <v>-31.9</v>
      </c>
      <c r="R26" s="208">
        <v>1.7528</v>
      </c>
      <c r="S26" s="210">
        <v>-16.1</v>
      </c>
      <c r="T26" s="208">
        <v>1.8178</v>
      </c>
      <c r="U26" s="210">
        <v>-19.7</v>
      </c>
      <c r="V26" s="208">
        <v>2.0249</v>
      </c>
      <c r="W26" s="210">
        <v>7.4</v>
      </c>
      <c r="X26" s="162"/>
    </row>
    <row r="27" ht="21.6" customHeight="1" spans="1:24">
      <c r="A27" s="215" t="s">
        <v>401</v>
      </c>
      <c r="B27" s="216">
        <v>37.5352</v>
      </c>
      <c r="C27" s="217">
        <v>-18.8</v>
      </c>
      <c r="D27" s="216">
        <v>0</v>
      </c>
      <c r="E27" s="217">
        <v>-100</v>
      </c>
      <c r="F27" s="216">
        <v>0.4818</v>
      </c>
      <c r="G27" s="217">
        <v>-98.4</v>
      </c>
      <c r="H27" s="216">
        <v>0.5355</v>
      </c>
      <c r="I27" s="217">
        <v>-98.6</v>
      </c>
      <c r="J27" s="216">
        <v>0.68</v>
      </c>
      <c r="K27" s="217">
        <v>-98.2</v>
      </c>
      <c r="L27" s="216">
        <v>0.9668</v>
      </c>
      <c r="M27" s="217">
        <v>-97.4</v>
      </c>
      <c r="N27" s="216">
        <v>1.1574</v>
      </c>
      <c r="O27" s="217">
        <v>-96.9</v>
      </c>
      <c r="P27" s="216">
        <v>1.1772</v>
      </c>
      <c r="Q27" s="218">
        <v>-96.9</v>
      </c>
      <c r="R27" s="216">
        <v>1.1772</v>
      </c>
      <c r="S27" s="218">
        <v>-96.9</v>
      </c>
      <c r="T27" s="216">
        <v>1.2667</v>
      </c>
      <c r="U27" s="218">
        <v>-96.6</v>
      </c>
      <c r="V27" s="216">
        <v>1.2703</v>
      </c>
      <c r="W27" s="218">
        <v>-96.6</v>
      </c>
      <c r="X27" s="162"/>
    </row>
    <row r="28" ht="34" customHeight="1" spans="1:24">
      <c r="A28" s="174" t="s">
        <v>402</v>
      </c>
      <c r="B28" s="174"/>
      <c r="C28" s="174"/>
      <c r="D28" s="174"/>
      <c r="E28" s="174"/>
      <c r="F28" s="174"/>
      <c r="G28" s="174"/>
      <c r="H28" s="174"/>
      <c r="I28" s="174"/>
      <c r="J28" s="174"/>
      <c r="K28" s="174"/>
      <c r="L28" s="174"/>
      <c r="M28" s="174"/>
      <c r="N28" s="174"/>
      <c r="O28" s="174"/>
      <c r="P28" s="174"/>
      <c r="Q28" s="174"/>
      <c r="R28" s="174"/>
      <c r="S28" s="174"/>
      <c r="T28" s="174"/>
      <c r="U28" s="174"/>
      <c r="X28" s="162"/>
    </row>
  </sheetData>
  <mergeCells count="14">
    <mergeCell ref="A1:W1"/>
    <mergeCell ref="B2:C2"/>
    <mergeCell ref="D2:E2"/>
    <mergeCell ref="F2:G2"/>
    <mergeCell ref="H2:I2"/>
    <mergeCell ref="J2:K2"/>
    <mergeCell ref="L2:M2"/>
    <mergeCell ref="N2:O2"/>
    <mergeCell ref="P2:Q2"/>
    <mergeCell ref="R2:S2"/>
    <mergeCell ref="T2:U2"/>
    <mergeCell ref="V2:W2"/>
    <mergeCell ref="A28:C28"/>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W28"/>
  <sheetViews>
    <sheetView zoomScale="90" zoomScaleNormal="90" workbookViewId="0">
      <pane xSplit="1" ySplit="3" topLeftCell="O4" activePane="bottomRight" state="frozen"/>
      <selection/>
      <selection pane="topRight"/>
      <selection pane="bottomLeft"/>
      <selection pane="bottomRight" activeCell="V10" sqref="V10"/>
    </sheetView>
  </sheetViews>
  <sheetFormatPr defaultColWidth="9" defaultRowHeight="14.25"/>
  <cols>
    <col min="1" max="1" width="27.9166666666667" style="133" customWidth="1"/>
    <col min="2" max="21" width="9" style="133"/>
    <col min="22" max="22" width="9.25" style="133"/>
    <col min="23" max="23" width="9.16666666666667" style="133" customWidth="1"/>
    <col min="24" max="155" width="9" style="133"/>
    <col min="156" max="16384" width="9" style="134"/>
  </cols>
  <sheetData>
    <row r="1" ht="28.5" customHeight="1" spans="1:23">
      <c r="A1" s="135" t="s">
        <v>403</v>
      </c>
      <c r="B1" s="135"/>
      <c r="C1" s="135"/>
      <c r="D1" s="135"/>
      <c r="E1" s="135"/>
      <c r="F1" s="135"/>
      <c r="G1" s="135"/>
      <c r="H1" s="135"/>
      <c r="I1" s="135"/>
      <c r="J1" s="135"/>
      <c r="K1" s="135"/>
      <c r="L1" s="135"/>
      <c r="M1" s="135"/>
      <c r="N1" s="135"/>
      <c r="O1" s="135"/>
      <c r="P1" s="135"/>
      <c r="Q1" s="135"/>
      <c r="R1" s="135"/>
      <c r="S1" s="135"/>
      <c r="T1" s="135"/>
      <c r="U1" s="135"/>
      <c r="V1" s="135"/>
      <c r="W1" s="135"/>
    </row>
    <row r="2" ht="21" customHeight="1" spans="1:23">
      <c r="A2" s="136" t="s">
        <v>1</v>
      </c>
      <c r="B2" s="137" t="s">
        <v>3</v>
      </c>
      <c r="C2" s="138"/>
      <c r="D2" s="137" t="s">
        <v>4</v>
      </c>
      <c r="E2" s="138"/>
      <c r="F2" s="137" t="s">
        <v>5</v>
      </c>
      <c r="G2" s="138"/>
      <c r="H2" s="137" t="s">
        <v>6</v>
      </c>
      <c r="I2" s="138"/>
      <c r="J2" s="137" t="s">
        <v>7</v>
      </c>
      <c r="K2" s="138"/>
      <c r="L2" s="137" t="s">
        <v>8</v>
      </c>
      <c r="M2" s="138"/>
      <c r="N2" s="137" t="s">
        <v>9</v>
      </c>
      <c r="O2" s="138"/>
      <c r="P2" s="137" t="s">
        <v>10</v>
      </c>
      <c r="Q2" s="138"/>
      <c r="R2" s="137" t="s">
        <v>11</v>
      </c>
      <c r="S2" s="138"/>
      <c r="T2" s="137" t="s">
        <v>12</v>
      </c>
      <c r="U2" s="138"/>
      <c r="V2" s="137" t="s">
        <v>13</v>
      </c>
      <c r="W2" s="138"/>
    </row>
    <row r="3" ht="21" customHeight="1" spans="1:23">
      <c r="A3" s="139"/>
      <c r="B3" s="140" t="s">
        <v>14</v>
      </c>
      <c r="C3" s="141" t="s">
        <v>15</v>
      </c>
      <c r="D3" s="140" t="s">
        <v>14</v>
      </c>
      <c r="E3" s="141" t="s">
        <v>15</v>
      </c>
      <c r="F3" s="140" t="s">
        <v>14</v>
      </c>
      <c r="G3" s="141" t="s">
        <v>15</v>
      </c>
      <c r="H3" s="140" t="s">
        <v>14</v>
      </c>
      <c r="I3" s="141" t="s">
        <v>15</v>
      </c>
      <c r="J3" s="140" t="s">
        <v>14</v>
      </c>
      <c r="K3" s="141" t="s">
        <v>15</v>
      </c>
      <c r="L3" s="140" t="s">
        <v>14</v>
      </c>
      <c r="M3" s="141" t="s">
        <v>15</v>
      </c>
      <c r="N3" s="140" t="s">
        <v>14</v>
      </c>
      <c r="O3" s="141" t="s">
        <v>15</v>
      </c>
      <c r="P3" s="140" t="s">
        <v>14</v>
      </c>
      <c r="Q3" s="141" t="s">
        <v>15</v>
      </c>
      <c r="R3" s="140" t="s">
        <v>14</v>
      </c>
      <c r="S3" s="141" t="s">
        <v>15</v>
      </c>
      <c r="T3" s="140" t="s">
        <v>14</v>
      </c>
      <c r="U3" s="141" t="s">
        <v>15</v>
      </c>
      <c r="V3" s="140" t="s">
        <v>14</v>
      </c>
      <c r="W3" s="141" t="s">
        <v>15</v>
      </c>
    </row>
    <row r="4" ht="35.1" customHeight="1" spans="1:23">
      <c r="A4" s="142" t="s">
        <v>404</v>
      </c>
      <c r="B4" s="181">
        <v>30810</v>
      </c>
      <c r="C4" s="182">
        <v>3.6</v>
      </c>
      <c r="D4" s="181" t="s">
        <v>18</v>
      </c>
      <c r="E4" s="182" t="s">
        <v>18</v>
      </c>
      <c r="F4" s="183">
        <v>8816</v>
      </c>
      <c r="G4" s="184">
        <v>4.6</v>
      </c>
      <c r="H4" s="181" t="s">
        <v>18</v>
      </c>
      <c r="I4" s="182" t="s">
        <v>18</v>
      </c>
      <c r="J4" s="181" t="s">
        <v>18</v>
      </c>
      <c r="K4" s="182" t="s">
        <v>18</v>
      </c>
      <c r="L4" s="183">
        <v>16564.8543549596</v>
      </c>
      <c r="M4" s="184">
        <v>4.95307131234739</v>
      </c>
      <c r="N4" s="181" t="s">
        <v>18</v>
      </c>
      <c r="O4" s="182" t="s">
        <v>18</v>
      </c>
      <c r="P4" s="181" t="s">
        <v>18</v>
      </c>
      <c r="Q4" s="182" t="s">
        <v>18</v>
      </c>
      <c r="R4" s="183">
        <v>24852</v>
      </c>
      <c r="S4" s="184">
        <v>4.9</v>
      </c>
      <c r="T4" s="181" t="s">
        <v>18</v>
      </c>
      <c r="U4" s="182" t="s">
        <v>18</v>
      </c>
      <c r="V4" s="181" t="s">
        <v>18</v>
      </c>
      <c r="W4" s="182" t="s">
        <v>18</v>
      </c>
    </row>
    <row r="5" ht="35.1" customHeight="1" spans="1:23">
      <c r="A5" s="145" t="s">
        <v>405</v>
      </c>
      <c r="B5" s="185">
        <v>38452</v>
      </c>
      <c r="C5" s="186">
        <v>2.5</v>
      </c>
      <c r="D5" s="185" t="s">
        <v>18</v>
      </c>
      <c r="E5" s="186" t="s">
        <v>18</v>
      </c>
      <c r="F5" s="187">
        <v>10911</v>
      </c>
      <c r="G5" s="188">
        <v>3.4</v>
      </c>
      <c r="H5" s="185" t="s">
        <v>18</v>
      </c>
      <c r="I5" s="186" t="s">
        <v>18</v>
      </c>
      <c r="J5" s="185" t="s">
        <v>18</v>
      </c>
      <c r="K5" s="186" t="s">
        <v>18</v>
      </c>
      <c r="L5" s="187">
        <v>20299.0090658352</v>
      </c>
      <c r="M5" s="188">
        <v>3.81583779860886</v>
      </c>
      <c r="N5" s="185" t="s">
        <v>18</v>
      </c>
      <c r="O5" s="186" t="s">
        <v>18</v>
      </c>
      <c r="P5" s="185" t="s">
        <v>18</v>
      </c>
      <c r="Q5" s="186" t="s">
        <v>18</v>
      </c>
      <c r="R5" s="187">
        <v>30500</v>
      </c>
      <c r="S5" s="188">
        <v>3.8</v>
      </c>
      <c r="T5" s="185" t="s">
        <v>18</v>
      </c>
      <c r="U5" s="186" t="s">
        <v>18</v>
      </c>
      <c r="V5" s="185" t="s">
        <v>18</v>
      </c>
      <c r="W5" s="186" t="s">
        <v>18</v>
      </c>
    </row>
    <row r="6" ht="35.1" customHeight="1" spans="1:23">
      <c r="A6" s="189" t="s">
        <v>406</v>
      </c>
      <c r="B6" s="190">
        <v>23735</v>
      </c>
      <c r="C6" s="191">
        <v>4.3</v>
      </c>
      <c r="D6" s="190" t="s">
        <v>18</v>
      </c>
      <c r="E6" s="191" t="s">
        <v>18</v>
      </c>
      <c r="F6" s="192">
        <v>6835</v>
      </c>
      <c r="G6" s="193">
        <v>5.8</v>
      </c>
      <c r="H6" s="190" t="s">
        <v>18</v>
      </c>
      <c r="I6" s="191" t="s">
        <v>18</v>
      </c>
      <c r="J6" s="190" t="s">
        <v>18</v>
      </c>
      <c r="K6" s="191" t="s">
        <v>18</v>
      </c>
      <c r="L6" s="192">
        <v>13034.9279662032</v>
      </c>
      <c r="M6" s="193">
        <v>6.03279592605148</v>
      </c>
      <c r="N6" s="190" t="s">
        <v>18</v>
      </c>
      <c r="O6" s="191" t="s">
        <v>18</v>
      </c>
      <c r="P6" s="190" t="s">
        <v>18</v>
      </c>
      <c r="Q6" s="191" t="s">
        <v>18</v>
      </c>
      <c r="R6" s="192">
        <v>19514</v>
      </c>
      <c r="S6" s="193">
        <v>5.9</v>
      </c>
      <c r="T6" s="190" t="s">
        <v>18</v>
      </c>
      <c r="U6" s="191" t="s">
        <v>18</v>
      </c>
      <c r="V6" s="190" t="s">
        <v>18</v>
      </c>
      <c r="W6" s="191" t="s">
        <v>18</v>
      </c>
    </row>
    <row r="7" s="133" customFormat="1" ht="22.15" customHeight="1" spans="1:23">
      <c r="A7" s="194"/>
    </row>
    <row r="8" s="133" customFormat="1" ht="22.15" customHeight="1" spans="1:23">
      <c r="A8" s="135" t="s">
        <v>407</v>
      </c>
      <c r="B8" s="135"/>
      <c r="C8" s="135"/>
      <c r="D8" s="135"/>
      <c r="E8" s="135"/>
      <c r="F8" s="135"/>
      <c r="G8" s="135"/>
      <c r="H8" s="135"/>
      <c r="I8" s="135"/>
      <c r="J8" s="135"/>
      <c r="K8" s="135"/>
      <c r="L8" s="135"/>
      <c r="M8" s="135"/>
      <c r="N8" s="135"/>
      <c r="O8" s="135"/>
      <c r="P8" s="135"/>
      <c r="Q8" s="135"/>
      <c r="R8" s="135"/>
      <c r="S8" s="135"/>
      <c r="T8" s="135"/>
      <c r="U8" s="135"/>
      <c r="V8" s="135"/>
      <c r="W8" s="135"/>
    </row>
    <row r="9" ht="21" customHeight="1" spans="1:23">
      <c r="A9" s="136" t="s">
        <v>1</v>
      </c>
      <c r="B9" s="137" t="s">
        <v>3</v>
      </c>
      <c r="C9" s="138"/>
      <c r="D9" s="137" t="s">
        <v>4</v>
      </c>
      <c r="E9" s="138"/>
      <c r="F9" s="137" t="s">
        <v>5</v>
      </c>
      <c r="G9" s="138"/>
      <c r="H9" s="137" t="s">
        <v>6</v>
      </c>
      <c r="I9" s="138"/>
      <c r="J9" s="137" t="s">
        <v>7</v>
      </c>
      <c r="K9" s="138"/>
      <c r="L9" s="137" t="s">
        <v>8</v>
      </c>
      <c r="M9" s="138"/>
      <c r="N9" s="137" t="s">
        <v>9</v>
      </c>
      <c r="O9" s="138"/>
      <c r="P9" s="137" t="s">
        <v>10</v>
      </c>
      <c r="Q9" s="138"/>
      <c r="R9" s="137" t="s">
        <v>11</v>
      </c>
      <c r="S9" s="138"/>
      <c r="T9" s="137" t="s">
        <v>12</v>
      </c>
      <c r="U9" s="138"/>
      <c r="V9" s="137" t="s">
        <v>13</v>
      </c>
      <c r="W9" s="138"/>
    </row>
    <row r="10" ht="30.6" customHeight="1" spans="1:23">
      <c r="A10" s="195"/>
      <c r="B10" s="140" t="s">
        <v>408</v>
      </c>
      <c r="C10" s="141" t="s">
        <v>409</v>
      </c>
      <c r="D10" s="140" t="s">
        <v>408</v>
      </c>
      <c r="E10" s="141" t="s">
        <v>409</v>
      </c>
      <c r="F10" s="140" t="s">
        <v>408</v>
      </c>
      <c r="G10" s="141" t="s">
        <v>409</v>
      </c>
      <c r="H10" s="140" t="s">
        <v>408</v>
      </c>
      <c r="I10" s="141" t="s">
        <v>409</v>
      </c>
      <c r="J10" s="140" t="s">
        <v>408</v>
      </c>
      <c r="K10" s="141" t="s">
        <v>409</v>
      </c>
      <c r="L10" s="140" t="s">
        <v>408</v>
      </c>
      <c r="M10" s="141" t="s">
        <v>409</v>
      </c>
      <c r="N10" s="140" t="s">
        <v>408</v>
      </c>
      <c r="O10" s="141" t="s">
        <v>409</v>
      </c>
      <c r="P10" s="140" t="s">
        <v>408</v>
      </c>
      <c r="Q10" s="141" t="s">
        <v>409</v>
      </c>
      <c r="R10" s="140" t="s">
        <v>408</v>
      </c>
      <c r="S10" s="141" t="s">
        <v>409</v>
      </c>
      <c r="T10" s="140" t="s">
        <v>408</v>
      </c>
      <c r="U10" s="141" t="s">
        <v>409</v>
      </c>
      <c r="V10" s="140" t="s">
        <v>408</v>
      </c>
      <c r="W10" s="141" t="s">
        <v>409</v>
      </c>
    </row>
    <row r="11" ht="21.95" customHeight="1" spans="1:23">
      <c r="A11" s="149" t="s">
        <v>410</v>
      </c>
      <c r="B11" s="196">
        <v>99.9</v>
      </c>
      <c r="C11" s="197">
        <v>100.3</v>
      </c>
      <c r="D11" s="196">
        <v>99.290322</v>
      </c>
      <c r="E11" s="197">
        <v>99.95092948</v>
      </c>
      <c r="F11" s="196">
        <v>99.8480958</v>
      </c>
      <c r="G11" s="197">
        <v>99.9168044</v>
      </c>
      <c r="H11" s="196">
        <v>99.89392338</v>
      </c>
      <c r="I11" s="197">
        <v>99.91110704</v>
      </c>
      <c r="J11" s="196">
        <v>99.37144672</v>
      </c>
      <c r="K11" s="197">
        <v>99.80316642</v>
      </c>
      <c r="L11" s="196">
        <v>99.17823877</v>
      </c>
      <c r="M11" s="197">
        <v>99.69922978</v>
      </c>
      <c r="N11" s="196">
        <v>99.32832395</v>
      </c>
      <c r="O11" s="197">
        <v>99.64631228</v>
      </c>
      <c r="P11" s="196">
        <v>99.03609959</v>
      </c>
      <c r="Q11" s="197">
        <v>99.56992</v>
      </c>
      <c r="R11" s="196">
        <v>99.43820274</v>
      </c>
      <c r="S11" s="197">
        <v>99.55525303</v>
      </c>
      <c r="T11" s="196">
        <v>99.99079132</v>
      </c>
      <c r="U11" s="197">
        <v>99.59876953</v>
      </c>
      <c r="V11" s="196">
        <v>100.58083772</v>
      </c>
      <c r="W11" s="197">
        <v>99.68755812</v>
      </c>
    </row>
    <row r="12" ht="21.95" customHeight="1" spans="1:23">
      <c r="A12" s="148" t="s">
        <v>411</v>
      </c>
      <c r="B12" s="198">
        <v>100.31036741</v>
      </c>
      <c r="C12" s="147">
        <v>100.41325694</v>
      </c>
      <c r="D12" s="198">
        <v>99.57321949</v>
      </c>
      <c r="E12" s="147">
        <v>100.30728921</v>
      </c>
      <c r="F12" s="198">
        <v>100.06299578</v>
      </c>
      <c r="G12" s="147">
        <v>100.22628399</v>
      </c>
      <c r="H12" s="198">
        <v>100.65341789</v>
      </c>
      <c r="I12" s="147">
        <v>100.33235965</v>
      </c>
      <c r="J12" s="198">
        <v>99.55566949</v>
      </c>
      <c r="K12" s="147">
        <v>100.17662207</v>
      </c>
      <c r="L12" s="198">
        <v>98.99891473</v>
      </c>
      <c r="M12" s="147">
        <v>99.98043922</v>
      </c>
      <c r="N12" s="198">
        <v>99.40483136</v>
      </c>
      <c r="O12" s="147">
        <v>99.89846579</v>
      </c>
      <c r="P12" s="198">
        <v>98.42251376</v>
      </c>
      <c r="Q12" s="147">
        <v>99.71253649</v>
      </c>
      <c r="R12" s="198">
        <v>98.57128032</v>
      </c>
      <c r="S12" s="147">
        <v>99.58437332</v>
      </c>
      <c r="T12" s="198">
        <v>99.75394248</v>
      </c>
      <c r="U12" s="147">
        <v>99.60140034</v>
      </c>
      <c r="V12" s="198">
        <v>101.11816536</v>
      </c>
      <c r="W12" s="147">
        <v>99.73878176</v>
      </c>
    </row>
    <row r="13" ht="21.95" customHeight="1" spans="1:23">
      <c r="A13" s="148" t="s">
        <v>412</v>
      </c>
      <c r="B13" s="198">
        <v>102.61831025</v>
      </c>
      <c r="C13" s="147">
        <v>102.17474086</v>
      </c>
      <c r="D13" s="198">
        <v>103.76010727</v>
      </c>
      <c r="E13" s="147">
        <v>103.65123907</v>
      </c>
      <c r="F13" s="198">
        <v>103.50605497</v>
      </c>
      <c r="G13" s="147">
        <v>103.60276747</v>
      </c>
      <c r="H13" s="198">
        <v>102.65424598</v>
      </c>
      <c r="I13" s="147">
        <v>103.36407112</v>
      </c>
      <c r="J13" s="198">
        <v>100.82127264</v>
      </c>
      <c r="K13" s="147">
        <v>102.85078897</v>
      </c>
      <c r="L13" s="198">
        <v>101.91113841</v>
      </c>
      <c r="M13" s="147">
        <v>102.6930362</v>
      </c>
      <c r="N13" s="198">
        <v>101.22391437</v>
      </c>
      <c r="O13" s="147">
        <v>102.48065509</v>
      </c>
      <c r="P13" s="198">
        <v>100.52483902</v>
      </c>
      <c r="Q13" s="147">
        <v>102.23216743</v>
      </c>
      <c r="R13" s="198">
        <v>100.25203299</v>
      </c>
      <c r="S13" s="147">
        <v>102.00895002</v>
      </c>
      <c r="T13" s="198">
        <v>100.25203299</v>
      </c>
      <c r="U13" s="147">
        <v>101.83096008</v>
      </c>
      <c r="V13" s="198">
        <v>100.40940187</v>
      </c>
      <c r="W13" s="147">
        <v>101.70037864</v>
      </c>
    </row>
    <row r="14" ht="21.95" customHeight="1" spans="1:23">
      <c r="A14" s="148" t="s">
        <v>413</v>
      </c>
      <c r="B14" s="198">
        <v>96.87961101</v>
      </c>
      <c r="C14" s="147">
        <v>101.75058647</v>
      </c>
      <c r="D14" s="198">
        <v>91.85236598</v>
      </c>
      <c r="E14" s="147">
        <v>95.53729567</v>
      </c>
      <c r="F14" s="198">
        <v>97.46961594</v>
      </c>
      <c r="G14" s="147">
        <v>96.1747236</v>
      </c>
      <c r="H14" s="198">
        <v>99.85573419</v>
      </c>
      <c r="I14" s="147">
        <v>97.07550058</v>
      </c>
      <c r="J14" s="198">
        <v>91.17825232</v>
      </c>
      <c r="K14" s="147">
        <v>95.83813561</v>
      </c>
      <c r="L14" s="198">
        <v>97.08984438</v>
      </c>
      <c r="M14" s="147">
        <v>96.04971896</v>
      </c>
      <c r="N14" s="198">
        <v>98.04710545</v>
      </c>
      <c r="O14" s="147">
        <v>96.33630779</v>
      </c>
      <c r="P14" s="198">
        <v>94.38271777</v>
      </c>
      <c r="Q14" s="147">
        <v>96.0731204</v>
      </c>
      <c r="R14" s="198">
        <v>97.39764517</v>
      </c>
      <c r="S14" s="147">
        <v>96.23456528</v>
      </c>
      <c r="T14" s="198">
        <v>108.28614523</v>
      </c>
      <c r="U14" s="147">
        <v>97.49978827</v>
      </c>
      <c r="V14" s="198">
        <v>119.90383835</v>
      </c>
      <c r="W14" s="147">
        <v>99.45683966</v>
      </c>
    </row>
    <row r="15" ht="21.95" customHeight="1" spans="1:23">
      <c r="A15" s="148" t="s">
        <v>414</v>
      </c>
      <c r="B15" s="198">
        <v>101.28878057</v>
      </c>
      <c r="C15" s="147">
        <v>98.00605903</v>
      </c>
      <c r="D15" s="198">
        <v>101.11873953</v>
      </c>
      <c r="E15" s="147">
        <v>103.44876251</v>
      </c>
      <c r="F15" s="198">
        <v>102.7750446</v>
      </c>
      <c r="G15" s="147">
        <v>103.22838315</v>
      </c>
      <c r="H15" s="198">
        <v>103.43238384</v>
      </c>
      <c r="I15" s="147">
        <v>103.2783495</v>
      </c>
      <c r="J15" s="198">
        <v>100.22977036</v>
      </c>
      <c r="K15" s="147">
        <v>102.68136889</v>
      </c>
      <c r="L15" s="198">
        <v>98.74945517</v>
      </c>
      <c r="M15" s="147">
        <v>102.03264041</v>
      </c>
      <c r="N15" s="198">
        <v>97.17527396</v>
      </c>
      <c r="O15" s="147">
        <v>101.33471528</v>
      </c>
      <c r="P15" s="198">
        <v>94.03307109</v>
      </c>
      <c r="Q15" s="147">
        <v>100.38780772</v>
      </c>
      <c r="R15" s="198">
        <v>93.79286152</v>
      </c>
      <c r="S15" s="147">
        <v>99.62724538</v>
      </c>
      <c r="T15" s="198">
        <v>94.87088624</v>
      </c>
      <c r="U15" s="147">
        <v>99.14043567</v>
      </c>
      <c r="V15" s="198">
        <v>95.30179829</v>
      </c>
      <c r="W15" s="147">
        <v>98.78486264</v>
      </c>
    </row>
    <row r="16" ht="21.95" customHeight="1" spans="1:23">
      <c r="A16" s="148" t="s">
        <v>415</v>
      </c>
      <c r="B16" s="198">
        <v>99.79812615</v>
      </c>
      <c r="C16" s="147">
        <v>99.63601882</v>
      </c>
      <c r="D16" s="198">
        <v>95.15492679</v>
      </c>
      <c r="E16" s="147">
        <v>98.60475428</v>
      </c>
      <c r="F16" s="198">
        <v>99.28587314</v>
      </c>
      <c r="G16" s="147">
        <v>98.82459292</v>
      </c>
      <c r="H16" s="198">
        <v>101.45440774</v>
      </c>
      <c r="I16" s="147">
        <v>99.46434855</v>
      </c>
      <c r="J16" s="198">
        <v>100.64478468</v>
      </c>
      <c r="K16" s="147">
        <v>99.69694992</v>
      </c>
      <c r="L16" s="198">
        <v>100.8116299</v>
      </c>
      <c r="M16" s="147">
        <v>99.87775357</v>
      </c>
      <c r="N16" s="198">
        <v>101.28060009</v>
      </c>
      <c r="O16" s="147">
        <v>100.07355002</v>
      </c>
      <c r="P16" s="198">
        <v>101.91005594</v>
      </c>
      <c r="Q16" s="147">
        <v>100.2969696</v>
      </c>
      <c r="R16" s="198">
        <v>102.31787163</v>
      </c>
      <c r="S16" s="147">
        <v>100.51707591</v>
      </c>
      <c r="T16" s="198">
        <v>104.27263499</v>
      </c>
      <c r="U16" s="147">
        <v>100.87790086</v>
      </c>
      <c r="V16" s="198">
        <v>103.63613393</v>
      </c>
      <c r="W16" s="147">
        <v>101.11908692</v>
      </c>
    </row>
    <row r="17" ht="21.95" customHeight="1" spans="1:23">
      <c r="A17" s="148" t="s">
        <v>416</v>
      </c>
      <c r="B17" s="198">
        <v>100.07305556</v>
      </c>
      <c r="C17" s="147">
        <v>98.59583989</v>
      </c>
      <c r="D17" s="198">
        <v>99.96393849</v>
      </c>
      <c r="E17" s="147">
        <v>100.36005927</v>
      </c>
      <c r="F17" s="198">
        <v>100.51397445</v>
      </c>
      <c r="G17" s="147">
        <v>100.41073385</v>
      </c>
      <c r="H17" s="198">
        <v>100.92429003</v>
      </c>
      <c r="I17" s="147">
        <v>100.5372955</v>
      </c>
      <c r="J17" s="198">
        <v>100.13348976</v>
      </c>
      <c r="K17" s="147">
        <v>100.4570263</v>
      </c>
      <c r="L17" s="198">
        <v>98.47652343</v>
      </c>
      <c r="M17" s="147">
        <v>100.12549817</v>
      </c>
      <c r="N17" s="198">
        <v>97.27480212</v>
      </c>
      <c r="O17" s="147">
        <v>99.71530455</v>
      </c>
      <c r="P17" s="198">
        <v>96.81182982</v>
      </c>
      <c r="Q17" s="147">
        <v>99.34833428</v>
      </c>
      <c r="R17" s="198">
        <v>98.20741019</v>
      </c>
      <c r="S17" s="147">
        <v>99.22006973</v>
      </c>
      <c r="T17" s="198">
        <v>97.51483102</v>
      </c>
      <c r="U17" s="147">
        <v>99.04765526</v>
      </c>
      <c r="V17" s="198">
        <v>96.3713742</v>
      </c>
      <c r="W17" s="147">
        <v>98.80148624</v>
      </c>
    </row>
    <row r="18" ht="21.95" customHeight="1" spans="1:23">
      <c r="A18" s="148" t="s">
        <v>417</v>
      </c>
      <c r="B18" s="198">
        <v>101.63919586</v>
      </c>
      <c r="C18" s="147">
        <v>102.80254831</v>
      </c>
      <c r="D18" s="198">
        <v>102.56248378</v>
      </c>
      <c r="E18" s="147">
        <v>101.95369617</v>
      </c>
      <c r="F18" s="198">
        <v>100.73745354</v>
      </c>
      <c r="G18" s="147">
        <v>101.54933023</v>
      </c>
      <c r="H18" s="198">
        <v>100.39450493</v>
      </c>
      <c r="I18" s="147">
        <v>101.26053512</v>
      </c>
      <c r="J18" s="198">
        <v>100.70635963</v>
      </c>
      <c r="K18" s="147">
        <v>101.14966689</v>
      </c>
      <c r="L18" s="198">
        <v>100.50207313</v>
      </c>
      <c r="M18" s="147">
        <v>101.0416421</v>
      </c>
      <c r="N18" s="198">
        <v>100.35927523</v>
      </c>
      <c r="O18" s="147">
        <v>100.944095</v>
      </c>
      <c r="P18" s="198">
        <v>100.61101043</v>
      </c>
      <c r="Q18" s="147">
        <v>100.90246139</v>
      </c>
      <c r="R18" s="198">
        <v>100.41222362</v>
      </c>
      <c r="S18" s="147">
        <v>100.84795807</v>
      </c>
      <c r="T18" s="198">
        <v>100.25479214</v>
      </c>
      <c r="U18" s="147">
        <v>100.78857112</v>
      </c>
      <c r="V18" s="198">
        <v>100.763492</v>
      </c>
      <c r="W18" s="147">
        <v>100.78629423</v>
      </c>
    </row>
    <row r="19" ht="21.95" customHeight="1" spans="1:23">
      <c r="A19" s="148" t="s">
        <v>418</v>
      </c>
      <c r="B19" s="198">
        <v>97.44544612</v>
      </c>
      <c r="C19" s="147">
        <v>102.24010457</v>
      </c>
      <c r="D19" s="198">
        <v>97.3740701</v>
      </c>
      <c r="E19" s="147">
        <v>97.54846649</v>
      </c>
      <c r="F19" s="198">
        <v>101.46484319</v>
      </c>
      <c r="G19" s="147">
        <v>98.84987737</v>
      </c>
      <c r="H19" s="198">
        <v>101.51855557</v>
      </c>
      <c r="I19" s="147">
        <v>99.50276568</v>
      </c>
      <c r="J19" s="198">
        <v>101.70954961</v>
      </c>
      <c r="K19" s="147">
        <v>99.94195513</v>
      </c>
      <c r="L19" s="198">
        <v>101.87279624</v>
      </c>
      <c r="M19" s="147">
        <v>100.26201557</v>
      </c>
      <c r="N19" s="198">
        <v>101.69854446</v>
      </c>
      <c r="O19" s="147">
        <v>100.4661153</v>
      </c>
      <c r="P19" s="198">
        <v>102.06018667</v>
      </c>
      <c r="Q19" s="147">
        <v>100.66260726</v>
      </c>
      <c r="R19" s="198">
        <v>104.81861585</v>
      </c>
      <c r="S19" s="147">
        <v>101.12471809</v>
      </c>
      <c r="T19" s="198">
        <v>105.07955123</v>
      </c>
      <c r="U19" s="147">
        <v>101.51977685</v>
      </c>
      <c r="V19" s="198">
        <v>108.1831028</v>
      </c>
      <c r="W19" s="147">
        <v>102.1113902</v>
      </c>
    </row>
    <row r="20" ht="21.95" customHeight="1" spans="1:23">
      <c r="A20" s="148" t="s">
        <v>419</v>
      </c>
      <c r="B20" s="198">
        <v>100.12416774</v>
      </c>
      <c r="C20" s="147">
        <v>100.29696567</v>
      </c>
      <c r="D20" s="198">
        <v>100.37847158</v>
      </c>
      <c r="E20" s="147">
        <v>100.39346754</v>
      </c>
      <c r="F20" s="198">
        <v>99.76320566</v>
      </c>
      <c r="G20" s="147">
        <v>100.18259936</v>
      </c>
      <c r="H20" s="198">
        <v>99.63920701</v>
      </c>
      <c r="I20" s="147">
        <v>100.0463063</v>
      </c>
      <c r="J20" s="198">
        <v>99.19873735</v>
      </c>
      <c r="K20" s="147">
        <v>99.8760688</v>
      </c>
      <c r="L20" s="198">
        <v>98.84864006</v>
      </c>
      <c r="M20" s="147">
        <v>99.70433723</v>
      </c>
      <c r="N20" s="198">
        <v>98.71632589</v>
      </c>
      <c r="O20" s="147">
        <v>99.56289119</v>
      </c>
      <c r="P20" s="198">
        <v>98.73630367</v>
      </c>
      <c r="Q20" s="147">
        <v>99.45928506</v>
      </c>
      <c r="R20" s="198">
        <v>99.03193634</v>
      </c>
      <c r="S20" s="147">
        <v>99.41171085</v>
      </c>
      <c r="T20" s="198">
        <v>99.20627709</v>
      </c>
      <c r="U20" s="147">
        <v>99.39116307</v>
      </c>
      <c r="V20" s="198">
        <v>99.25563976</v>
      </c>
      <c r="W20" s="147">
        <v>99.37884916</v>
      </c>
    </row>
    <row r="21" ht="21.95" customHeight="1" spans="1:23">
      <c r="A21" s="148" t="s">
        <v>420</v>
      </c>
      <c r="B21" s="198">
        <v>99.65193685</v>
      </c>
      <c r="C21" s="147">
        <v>100.60516756</v>
      </c>
      <c r="D21" s="198">
        <v>98.9668466</v>
      </c>
      <c r="E21" s="147">
        <v>99.26489062</v>
      </c>
      <c r="F21" s="198">
        <v>100.33505837</v>
      </c>
      <c r="G21" s="147">
        <v>99.61619972</v>
      </c>
      <c r="H21" s="198">
        <v>99.89791102</v>
      </c>
      <c r="I21" s="147">
        <v>99.68597658</v>
      </c>
      <c r="J21" s="198">
        <v>99.80374096</v>
      </c>
      <c r="K21" s="147">
        <v>99.70923037</v>
      </c>
      <c r="L21" s="198">
        <v>100.556336</v>
      </c>
      <c r="M21" s="147">
        <v>99.84854044</v>
      </c>
      <c r="N21" s="198">
        <v>101.04757321</v>
      </c>
      <c r="O21" s="147">
        <v>100.01809181</v>
      </c>
      <c r="P21" s="198">
        <v>101.74449254</v>
      </c>
      <c r="Q21" s="147">
        <v>100.23034804</v>
      </c>
      <c r="R21" s="198">
        <v>101.96643564</v>
      </c>
      <c r="S21" s="147">
        <v>100.42079495</v>
      </c>
      <c r="T21" s="198">
        <v>101.34646479</v>
      </c>
      <c r="U21" s="147">
        <v>100.51243442</v>
      </c>
      <c r="V21" s="198">
        <v>101.08139668</v>
      </c>
      <c r="W21" s="147">
        <v>100.56341512</v>
      </c>
    </row>
    <row r="22" ht="21.95" customHeight="1" spans="1:23">
      <c r="A22" s="148" t="s">
        <v>421</v>
      </c>
      <c r="B22" s="198">
        <v>97.91697949</v>
      </c>
      <c r="C22" s="147">
        <v>98.17816802</v>
      </c>
      <c r="D22" s="198">
        <v>96.28238565</v>
      </c>
      <c r="E22" s="147">
        <v>98.11109014</v>
      </c>
      <c r="F22" s="198">
        <v>97.31959655</v>
      </c>
      <c r="G22" s="147">
        <v>97.84907154</v>
      </c>
      <c r="H22" s="198">
        <v>96.26928126</v>
      </c>
      <c r="I22" s="147">
        <v>97.45430837</v>
      </c>
      <c r="J22" s="198">
        <v>96.030823</v>
      </c>
      <c r="K22" s="147">
        <v>97.17092506</v>
      </c>
      <c r="L22" s="198">
        <v>96.06163402</v>
      </c>
      <c r="M22" s="147">
        <v>96.98755628</v>
      </c>
      <c r="N22" s="198">
        <v>95.81938708</v>
      </c>
      <c r="O22" s="147">
        <v>96.82089776</v>
      </c>
      <c r="P22" s="198">
        <v>96.28196589</v>
      </c>
      <c r="Q22" s="147">
        <v>96.75414166</v>
      </c>
      <c r="R22" s="198">
        <v>97.4539132</v>
      </c>
      <c r="S22" s="147">
        <v>96.8307479</v>
      </c>
      <c r="T22" s="198">
        <v>97.69736237</v>
      </c>
      <c r="U22" s="147">
        <v>96.91556465</v>
      </c>
      <c r="V22" s="198">
        <v>97.14065429</v>
      </c>
      <c r="W22" s="147">
        <v>96.93558276</v>
      </c>
    </row>
    <row r="23" ht="21.95" customHeight="1" spans="1:23">
      <c r="A23" s="148" t="s">
        <v>422</v>
      </c>
      <c r="B23" s="198">
        <v>100.91343734</v>
      </c>
      <c r="C23" s="147">
        <v>101.05436348</v>
      </c>
      <c r="D23" s="198">
        <v>98.80101948</v>
      </c>
      <c r="E23" s="147">
        <v>100.05865996</v>
      </c>
      <c r="F23" s="198">
        <v>100.05005373</v>
      </c>
      <c r="G23" s="147">
        <v>100.05583052</v>
      </c>
      <c r="H23" s="198">
        <v>99.85256815</v>
      </c>
      <c r="I23" s="147">
        <v>100.00542074</v>
      </c>
      <c r="J23" s="198">
        <v>99.71132722</v>
      </c>
      <c r="K23" s="147">
        <v>99.94687568</v>
      </c>
      <c r="L23" s="198">
        <v>99.84806182</v>
      </c>
      <c r="M23" s="147">
        <v>99.93051821</v>
      </c>
      <c r="N23" s="198">
        <v>100.23990159</v>
      </c>
      <c r="O23" s="147">
        <v>99.97480216</v>
      </c>
      <c r="P23" s="198">
        <v>99.74004842</v>
      </c>
      <c r="Q23" s="147">
        <v>99.94530766</v>
      </c>
      <c r="R23" s="198">
        <v>99.73130309</v>
      </c>
      <c r="S23" s="147">
        <v>99.92157163</v>
      </c>
      <c r="T23" s="198">
        <v>99.47548558</v>
      </c>
      <c r="U23" s="147">
        <v>99.87687774</v>
      </c>
      <c r="V23" s="198">
        <v>99.17167385</v>
      </c>
      <c r="W23" s="147">
        <v>99.81273344</v>
      </c>
    </row>
    <row r="24" ht="21.95" customHeight="1" spans="1:23">
      <c r="A24" s="148" t="s">
        <v>423</v>
      </c>
      <c r="B24" s="198">
        <v>100</v>
      </c>
      <c r="C24" s="147">
        <v>100.4</v>
      </c>
      <c r="D24" s="198">
        <v>99.99242787</v>
      </c>
      <c r="E24" s="147">
        <v>99.99242787</v>
      </c>
      <c r="F24" s="198">
        <v>99.99242787</v>
      </c>
      <c r="G24" s="147">
        <v>99.99242787</v>
      </c>
      <c r="H24" s="198">
        <v>99.99242787</v>
      </c>
      <c r="I24" s="147">
        <v>99.99242787</v>
      </c>
      <c r="J24" s="198">
        <v>99.99242787</v>
      </c>
      <c r="K24" s="147">
        <v>99.99242787</v>
      </c>
      <c r="L24" s="198">
        <v>99.99242787</v>
      </c>
      <c r="M24" s="147">
        <v>99.99242787</v>
      </c>
      <c r="N24" s="198">
        <v>99.99242787</v>
      </c>
      <c r="O24" s="147">
        <v>99.99242787</v>
      </c>
      <c r="P24" s="198">
        <v>99.99242787</v>
      </c>
      <c r="Q24" s="147">
        <v>99.99242787</v>
      </c>
      <c r="R24" s="198">
        <v>100</v>
      </c>
      <c r="S24" s="147">
        <v>99.99326916</v>
      </c>
      <c r="T24" s="198">
        <v>100</v>
      </c>
      <c r="U24" s="147">
        <v>99.9939422</v>
      </c>
      <c r="V24" s="198">
        <v>100</v>
      </c>
      <c r="W24" s="147">
        <v>99.99449288</v>
      </c>
    </row>
    <row r="25" ht="21.95" customHeight="1" spans="1:23">
      <c r="A25" s="148" t="s">
        <v>424</v>
      </c>
      <c r="B25" s="198">
        <v>99.53370286</v>
      </c>
      <c r="C25" s="147">
        <v>99.5433358</v>
      </c>
      <c r="D25" s="198">
        <v>99.75572371</v>
      </c>
      <c r="E25" s="147">
        <v>99.83667633</v>
      </c>
      <c r="F25" s="198">
        <v>99.80440381</v>
      </c>
      <c r="G25" s="147">
        <v>99.82592976</v>
      </c>
      <c r="H25" s="198">
        <v>99.82968928</v>
      </c>
      <c r="I25" s="147">
        <v>99.82686898</v>
      </c>
      <c r="J25" s="198">
        <v>99.96326091</v>
      </c>
      <c r="K25" s="147">
        <v>99.85411594</v>
      </c>
      <c r="L25" s="198">
        <v>99.94976375</v>
      </c>
      <c r="M25" s="147">
        <v>99.87004062</v>
      </c>
      <c r="N25" s="198">
        <v>99.87346388</v>
      </c>
      <c r="O25" s="147">
        <v>99.87052945</v>
      </c>
      <c r="P25" s="198">
        <v>100.02992868</v>
      </c>
      <c r="Q25" s="147">
        <v>99.89043389</v>
      </c>
      <c r="R25" s="198">
        <v>99.94790199</v>
      </c>
      <c r="S25" s="147">
        <v>99.89681651</v>
      </c>
      <c r="T25" s="198">
        <v>100.02768983</v>
      </c>
      <c r="U25" s="147">
        <v>99.90988817</v>
      </c>
      <c r="V25" s="198">
        <v>100.0768393</v>
      </c>
      <c r="W25" s="147">
        <v>99.92504209</v>
      </c>
    </row>
    <row r="26" ht="21.95" customHeight="1" spans="1:23">
      <c r="A26" s="148" t="s">
        <v>425</v>
      </c>
      <c r="B26" s="199">
        <v>102.90484824</v>
      </c>
      <c r="C26" s="151">
        <v>102.31129618</v>
      </c>
      <c r="D26" s="199">
        <v>103.80001255</v>
      </c>
      <c r="E26" s="151">
        <v>104.43419092</v>
      </c>
      <c r="F26" s="199">
        <v>103.65178848</v>
      </c>
      <c r="G26" s="151">
        <v>104.17485998</v>
      </c>
      <c r="H26" s="199">
        <v>103.90522958</v>
      </c>
      <c r="I26" s="151">
        <v>104.10703505</v>
      </c>
      <c r="J26" s="199">
        <v>104.28491982</v>
      </c>
      <c r="K26" s="151">
        <v>104.14276197</v>
      </c>
      <c r="L26" s="199">
        <v>105.49273432</v>
      </c>
      <c r="M26" s="151">
        <v>104.36824211</v>
      </c>
      <c r="N26" s="199">
        <v>105.57960426</v>
      </c>
      <c r="O26" s="151">
        <v>104.54227301</v>
      </c>
      <c r="P26" s="199">
        <v>106.17307747</v>
      </c>
      <c r="Q26" s="151">
        <v>104.74599762</v>
      </c>
      <c r="R26" s="199">
        <v>106.92835854</v>
      </c>
      <c r="S26" s="151">
        <v>104.98963786</v>
      </c>
      <c r="T26" s="199">
        <v>109.61348254</v>
      </c>
      <c r="U26" s="151">
        <v>105.45728106</v>
      </c>
      <c r="V26" s="199">
        <v>110.61978656</v>
      </c>
      <c r="W26" s="151">
        <v>105.93062922</v>
      </c>
    </row>
    <row r="27" ht="21.95" customHeight="1" spans="1:23">
      <c r="A27" s="200" t="s">
        <v>426</v>
      </c>
      <c r="B27" s="201">
        <v>100.14598739</v>
      </c>
      <c r="C27" s="202">
        <v>100.19756592</v>
      </c>
      <c r="D27" s="201">
        <v>98.86501744</v>
      </c>
      <c r="E27" s="202">
        <v>100.00533162</v>
      </c>
      <c r="F27" s="201">
        <v>99.66059927</v>
      </c>
      <c r="G27" s="202">
        <v>99.89127312</v>
      </c>
      <c r="H27" s="201">
        <v>99.6248154</v>
      </c>
      <c r="I27" s="202">
        <v>99.82497661</v>
      </c>
      <c r="J27" s="201">
        <v>99.4640475</v>
      </c>
      <c r="K27" s="202">
        <v>99.75296843</v>
      </c>
      <c r="L27" s="201">
        <v>99.38716597</v>
      </c>
      <c r="M27" s="202">
        <v>99.69222031</v>
      </c>
      <c r="N27" s="201">
        <v>99.28964334</v>
      </c>
      <c r="O27" s="202">
        <v>99.63469561</v>
      </c>
      <c r="P27" s="201">
        <v>99.13668115</v>
      </c>
      <c r="Q27" s="202">
        <v>99.57232881</v>
      </c>
      <c r="R27" s="201">
        <v>99.60929229</v>
      </c>
      <c r="S27" s="202">
        <v>99.57643309</v>
      </c>
      <c r="T27" s="201">
        <v>99.63167591</v>
      </c>
      <c r="U27" s="202">
        <v>99.58194886</v>
      </c>
      <c r="V27" s="201">
        <v>99.64420138</v>
      </c>
      <c r="W27" s="202">
        <v>99.5875884</v>
      </c>
    </row>
    <row r="28" ht="21.6" customHeight="1" spans="1:23">
      <c r="A28" s="203" t="s">
        <v>427</v>
      </c>
      <c r="B28" s="203"/>
      <c r="C28" s="203"/>
      <c r="D28" s="203"/>
      <c r="E28" s="203"/>
      <c r="F28" s="203"/>
      <c r="G28" s="203"/>
      <c r="H28" s="203"/>
      <c r="I28" s="203"/>
      <c r="J28" s="203"/>
      <c r="K28" s="203"/>
      <c r="L28" s="203"/>
      <c r="M28" s="203"/>
      <c r="N28" s="203"/>
      <c r="O28" s="203"/>
      <c r="P28" s="203"/>
      <c r="Q28" s="203"/>
      <c r="R28" s="203"/>
      <c r="S28" s="203"/>
      <c r="T28" s="203"/>
      <c r="U28" s="203"/>
    </row>
  </sheetData>
  <mergeCells count="27">
    <mergeCell ref="A1:W1"/>
    <mergeCell ref="B2:C2"/>
    <mergeCell ref="D2:E2"/>
    <mergeCell ref="F2:G2"/>
    <mergeCell ref="H2:I2"/>
    <mergeCell ref="J2:K2"/>
    <mergeCell ref="L2:M2"/>
    <mergeCell ref="N2:O2"/>
    <mergeCell ref="P2:Q2"/>
    <mergeCell ref="R2:S2"/>
    <mergeCell ref="T2:U2"/>
    <mergeCell ref="V2:W2"/>
    <mergeCell ref="A8:W8"/>
    <mergeCell ref="B9:C9"/>
    <mergeCell ref="D9:E9"/>
    <mergeCell ref="F9:G9"/>
    <mergeCell ref="H9:I9"/>
    <mergeCell ref="J9:K9"/>
    <mergeCell ref="L9:M9"/>
    <mergeCell ref="N9:O9"/>
    <mergeCell ref="P9:Q9"/>
    <mergeCell ref="R9:S9"/>
    <mergeCell ref="T9:U9"/>
    <mergeCell ref="V9:W9"/>
    <mergeCell ref="A28:C28"/>
    <mergeCell ref="A2:A3"/>
    <mergeCell ref="A9:A10"/>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I29"/>
  <sheetViews>
    <sheetView zoomScale="90" zoomScaleNormal="90" workbookViewId="0">
      <pane xSplit="1" ySplit="3" topLeftCell="B12" activePane="bottomRight" state="frozen"/>
      <selection/>
      <selection pane="topRight"/>
      <selection pane="bottomLeft"/>
      <selection pane="bottomRight" activeCell="H25" sqref="H25"/>
    </sheetView>
  </sheetViews>
  <sheetFormatPr defaultColWidth="9" defaultRowHeight="14.25"/>
  <cols>
    <col min="1" max="1" width="36.1083333333333" style="133" customWidth="1"/>
    <col min="2" max="2" width="11.8" style="133" customWidth="1"/>
    <col min="3" max="7" width="10" style="133" customWidth="1"/>
    <col min="8" max="8" width="11.3833333333333" style="133" customWidth="1"/>
    <col min="9" max="9" width="10" style="133" customWidth="1"/>
    <col min="10" max="187" width="9" style="133"/>
    <col min="188" max="16384" width="9" style="134"/>
  </cols>
  <sheetData>
    <row r="1" ht="28.5" customHeight="1" spans="1:9">
      <c r="A1" s="135" t="s">
        <v>428</v>
      </c>
      <c r="B1" s="135"/>
      <c r="C1" s="135"/>
      <c r="D1" s="135"/>
      <c r="E1" s="135"/>
      <c r="F1" s="135"/>
      <c r="G1" s="135"/>
      <c r="H1" s="135"/>
      <c r="I1" s="135"/>
    </row>
    <row r="2" ht="21" customHeight="1" spans="1:9">
      <c r="A2" s="136" t="s">
        <v>1</v>
      </c>
      <c r="B2" s="137" t="s">
        <v>3</v>
      </c>
      <c r="C2" s="138"/>
      <c r="D2" s="137" t="s">
        <v>5</v>
      </c>
      <c r="E2" s="138"/>
      <c r="F2" s="137" t="s">
        <v>8</v>
      </c>
      <c r="G2" s="138"/>
      <c r="H2" s="137" t="s">
        <v>11</v>
      </c>
      <c r="I2" s="138"/>
    </row>
    <row r="3" ht="21" customHeight="1" spans="1:9">
      <c r="A3" s="139"/>
      <c r="B3" s="140" t="s">
        <v>14</v>
      </c>
      <c r="C3" s="141" t="s">
        <v>15</v>
      </c>
      <c r="D3" s="140" t="s">
        <v>14</v>
      </c>
      <c r="E3" s="141" t="s">
        <v>15</v>
      </c>
      <c r="F3" s="140" t="s">
        <v>14</v>
      </c>
      <c r="G3" s="141" t="s">
        <v>15</v>
      </c>
      <c r="H3" s="140" t="s">
        <v>14</v>
      </c>
      <c r="I3" s="141" t="s">
        <v>15</v>
      </c>
    </row>
    <row r="4" ht="22.9" customHeight="1" spans="1:9">
      <c r="A4" s="142" t="s">
        <v>429</v>
      </c>
      <c r="B4" s="143"/>
      <c r="C4" s="144"/>
      <c r="D4" s="143"/>
      <c r="E4" s="144"/>
      <c r="F4" s="143"/>
      <c r="G4" s="144"/>
      <c r="H4" s="143"/>
      <c r="I4" s="144"/>
    </row>
    <row r="5" ht="22.9" customHeight="1" spans="1:9">
      <c r="A5" s="145" t="s">
        <v>430</v>
      </c>
      <c r="B5" s="146">
        <v>3839.9317193847</v>
      </c>
      <c r="C5" s="170">
        <v>1.18304940409671</v>
      </c>
      <c r="D5" s="146">
        <v>858.304540565101</v>
      </c>
      <c r="E5" s="170">
        <v>3.04322047865311</v>
      </c>
      <c r="F5" s="146">
        <v>1811.2613921385</v>
      </c>
      <c r="G5" s="170">
        <v>5.08117519608587</v>
      </c>
      <c r="H5" s="146">
        <v>2815.34660119786</v>
      </c>
      <c r="I5" s="170">
        <v>4.95906235413757</v>
      </c>
    </row>
    <row r="6" ht="22.9" customHeight="1" spans="1:9">
      <c r="A6" s="148" t="s">
        <v>90</v>
      </c>
      <c r="B6" s="146">
        <v>380.79076381865</v>
      </c>
      <c r="C6" s="170">
        <v>0.323619364288803</v>
      </c>
      <c r="D6" s="146">
        <v>88.6888955161776</v>
      </c>
      <c r="E6" s="170">
        <v>3.06537897759706</v>
      </c>
      <c r="F6" s="146">
        <v>172.648131053182</v>
      </c>
      <c r="G6" s="170">
        <v>2.58938092566272</v>
      </c>
      <c r="H6" s="146">
        <v>267.311502879741</v>
      </c>
      <c r="I6" s="170">
        <v>2.82957450368045</v>
      </c>
    </row>
    <row r="7" ht="22.9" customHeight="1" spans="1:9">
      <c r="A7" s="148" t="s">
        <v>91</v>
      </c>
      <c r="B7" s="146">
        <v>463.372798362964</v>
      </c>
      <c r="C7" s="170">
        <v>2.96516779265683</v>
      </c>
      <c r="D7" s="146">
        <v>107.300177536198</v>
      </c>
      <c r="E7" s="170">
        <v>4.01833288110947</v>
      </c>
      <c r="F7" s="146">
        <v>233.292990912408</v>
      </c>
      <c r="G7" s="170">
        <v>4.67357271917865</v>
      </c>
      <c r="H7" s="146">
        <v>348.073369234074</v>
      </c>
      <c r="I7" s="170">
        <v>3.95119130195785</v>
      </c>
    </row>
    <row r="8" ht="22.9" customHeight="1" spans="1:9">
      <c r="A8" s="148" t="s">
        <v>92</v>
      </c>
      <c r="B8" s="146">
        <v>407.42080710813</v>
      </c>
      <c r="C8" s="170">
        <v>0.173956833428491</v>
      </c>
      <c r="D8" s="146">
        <v>102.301258249168</v>
      </c>
      <c r="E8" s="170">
        <v>0.237420161658804</v>
      </c>
      <c r="F8" s="146">
        <v>217.693779717206</v>
      </c>
      <c r="G8" s="170">
        <v>5.06947728996498</v>
      </c>
      <c r="H8" s="146">
        <v>331.228410329873</v>
      </c>
      <c r="I8" s="170">
        <v>9.62929017230411</v>
      </c>
    </row>
    <row r="9" ht="22.9" customHeight="1" spans="1:9">
      <c r="A9" s="148" t="s">
        <v>93</v>
      </c>
      <c r="B9" s="146">
        <v>220.707301222232</v>
      </c>
      <c r="C9" s="170">
        <v>0.216718091427225</v>
      </c>
      <c r="D9" s="146">
        <v>47.9053059467947</v>
      </c>
      <c r="E9" s="170">
        <v>1.04704104898019</v>
      </c>
      <c r="F9" s="146">
        <v>97.3061292689975</v>
      </c>
      <c r="G9" s="170">
        <v>0.103356154484374</v>
      </c>
      <c r="H9" s="146">
        <v>152.081001653664</v>
      </c>
      <c r="I9" s="170">
        <v>0.187322114574101</v>
      </c>
    </row>
    <row r="10" ht="22.9" customHeight="1" spans="1:9">
      <c r="A10" s="148" t="s">
        <v>94</v>
      </c>
      <c r="B10" s="146">
        <v>314.634350399105</v>
      </c>
      <c r="C10" s="170">
        <v>0.0924100461061244</v>
      </c>
      <c r="D10" s="146">
        <v>65.8254678300496</v>
      </c>
      <c r="E10" s="170">
        <v>1.13513511803878</v>
      </c>
      <c r="F10" s="146">
        <v>134.452184375577</v>
      </c>
      <c r="G10" s="170">
        <v>1.99131373264893</v>
      </c>
      <c r="H10" s="146">
        <v>217.546945685493</v>
      </c>
      <c r="I10" s="170">
        <v>1.98598667044156</v>
      </c>
    </row>
    <row r="11" ht="22.9" customHeight="1" spans="1:9">
      <c r="A11" s="148" t="s">
        <v>95</v>
      </c>
      <c r="B11" s="146">
        <v>263.143622930598</v>
      </c>
      <c r="C11" s="170">
        <v>1.96578815136699</v>
      </c>
      <c r="D11" s="146">
        <v>61.1344068013402</v>
      </c>
      <c r="E11" s="170">
        <v>3.03138856377114</v>
      </c>
      <c r="F11" s="146">
        <v>122.89061722794</v>
      </c>
      <c r="G11" s="170">
        <v>3.95071876841327</v>
      </c>
      <c r="H11" s="146">
        <v>186.732559337973</v>
      </c>
      <c r="I11" s="170">
        <v>4.98386958851798</v>
      </c>
    </row>
    <row r="12" ht="22.9" customHeight="1" spans="1:9">
      <c r="A12" s="148" t="s">
        <v>96</v>
      </c>
      <c r="B12" s="146">
        <v>390.363560734226</v>
      </c>
      <c r="C12" s="170">
        <v>5.04180661051849</v>
      </c>
      <c r="D12" s="146">
        <v>87.4683683523361</v>
      </c>
      <c r="E12" s="170">
        <v>5.83228237894286</v>
      </c>
      <c r="F12" s="146">
        <v>182.914480495725</v>
      </c>
      <c r="G12" s="170">
        <v>6.24568143138808</v>
      </c>
      <c r="H12" s="146">
        <v>286.790798940278</v>
      </c>
      <c r="I12" s="170">
        <v>6.81819371393684</v>
      </c>
    </row>
    <row r="13" ht="22.9" customHeight="1" spans="1:9">
      <c r="A13" s="148" t="s">
        <v>97</v>
      </c>
      <c r="B13" s="146">
        <v>427.189519966917</v>
      </c>
      <c r="C13" s="170">
        <v>0.602315938126367</v>
      </c>
      <c r="D13" s="146">
        <v>81.6913361660355</v>
      </c>
      <c r="E13" s="170">
        <v>3.08157082905205</v>
      </c>
      <c r="F13" s="146">
        <v>185.22518337473</v>
      </c>
      <c r="G13" s="170">
        <v>5.17418452290408</v>
      </c>
      <c r="H13" s="146">
        <v>296.660907493625</v>
      </c>
      <c r="I13" s="170">
        <v>4.98312746239775</v>
      </c>
    </row>
    <row r="14" ht="22.9" customHeight="1" spans="1:9">
      <c r="A14" s="148" t="s">
        <v>98</v>
      </c>
      <c r="B14" s="146">
        <v>579.14655447555</v>
      </c>
      <c r="C14" s="170">
        <v>3.36404631706011</v>
      </c>
      <c r="D14" s="146">
        <v>111.029304511143</v>
      </c>
      <c r="E14" s="170">
        <v>3.19173318175802</v>
      </c>
      <c r="F14" s="146">
        <v>249.566104631621</v>
      </c>
      <c r="G14" s="170">
        <v>1.10989606762526</v>
      </c>
      <c r="H14" s="146">
        <v>398.64323023762</v>
      </c>
      <c r="I14" s="170">
        <v>1.95482202350689</v>
      </c>
    </row>
    <row r="15" ht="22.9" customHeight="1" spans="1:9">
      <c r="A15" s="148" t="s">
        <v>431</v>
      </c>
      <c r="B15" s="146">
        <v>725.759886347592</v>
      </c>
      <c r="C15" s="170">
        <v>0.333944173974785</v>
      </c>
      <c r="D15" s="146">
        <v>178.864675890782</v>
      </c>
      <c r="E15" s="170">
        <v>4.02960798833479</v>
      </c>
      <c r="F15" s="146">
        <v>359.393324534088</v>
      </c>
      <c r="G15" s="170">
        <v>10.8047908472228</v>
      </c>
      <c r="H15" s="146">
        <v>558.543730799897</v>
      </c>
      <c r="I15" s="170">
        <v>8.64737715424992</v>
      </c>
    </row>
    <row r="16" ht="22.9" customHeight="1" spans="1:9">
      <c r="A16" s="148"/>
      <c r="B16" s="146"/>
      <c r="C16" s="147"/>
      <c r="D16" s="146"/>
      <c r="E16" s="147"/>
      <c r="F16" s="146"/>
      <c r="G16" s="147"/>
      <c r="H16" s="146"/>
      <c r="I16" s="147"/>
    </row>
    <row r="17" ht="22.9" customHeight="1" spans="1:9">
      <c r="A17" s="149" t="s">
        <v>432</v>
      </c>
      <c r="B17" s="146"/>
      <c r="C17" s="147"/>
      <c r="D17" s="146"/>
      <c r="E17" s="147"/>
      <c r="F17" s="146"/>
      <c r="G17" s="147"/>
      <c r="H17" s="146"/>
      <c r="I17" s="147"/>
    </row>
    <row r="18" ht="22.9" customHeight="1" spans="1:9">
      <c r="A18" s="145" t="s">
        <v>430</v>
      </c>
      <c r="B18" s="146">
        <v>733.873003596183</v>
      </c>
      <c r="C18" s="147">
        <v>3.57733833440932</v>
      </c>
      <c r="D18" s="146">
        <v>113.058508596589</v>
      </c>
      <c r="E18" s="147">
        <v>2.97355119622196</v>
      </c>
      <c r="F18" s="146">
        <v>283.64860496425</v>
      </c>
      <c r="G18" s="147">
        <v>3.95773563359805</v>
      </c>
      <c r="H18" s="146">
        <v>466.046540727997</v>
      </c>
      <c r="I18" s="147">
        <v>4.59390068828334</v>
      </c>
    </row>
    <row r="19" ht="22.9" customHeight="1" spans="1:9">
      <c r="A19" s="148" t="s">
        <v>90</v>
      </c>
      <c r="B19" s="150">
        <v>0.807463019195617</v>
      </c>
      <c r="C19" s="151">
        <v>-25.0016402169783</v>
      </c>
      <c r="D19" s="150">
        <v>0.141199691688733</v>
      </c>
      <c r="E19" s="151">
        <v>-1.0555636976881</v>
      </c>
      <c r="F19" s="150">
        <v>0.321948876512059</v>
      </c>
      <c r="G19" s="151">
        <v>-0.164314103997981</v>
      </c>
      <c r="H19" s="150">
        <v>0.52210397453462</v>
      </c>
      <c r="I19" s="151">
        <v>0.0296536158878524</v>
      </c>
    </row>
    <row r="20" ht="22.9" customHeight="1" spans="1:9">
      <c r="A20" s="148" t="s">
        <v>91</v>
      </c>
      <c r="B20" s="146">
        <v>3.12218107023545</v>
      </c>
      <c r="C20" s="147">
        <v>1.5880612834023</v>
      </c>
      <c r="D20" s="146">
        <v>0.567439158479633</v>
      </c>
      <c r="E20" s="147">
        <v>4.576696499253</v>
      </c>
      <c r="F20" s="146">
        <v>1.26331380254634</v>
      </c>
      <c r="G20" s="147">
        <v>4.17426681789861</v>
      </c>
      <c r="H20" s="146">
        <v>2.28471131811869</v>
      </c>
      <c r="I20" s="147">
        <v>2.89252757350395</v>
      </c>
    </row>
    <row r="21" ht="22.9" customHeight="1" spans="1:9">
      <c r="A21" s="148" t="s">
        <v>92</v>
      </c>
      <c r="B21" s="146">
        <v>29.9328221023725</v>
      </c>
      <c r="C21" s="147">
        <v>6.58389262932049</v>
      </c>
      <c r="D21" s="146">
        <v>4.47196444629787</v>
      </c>
      <c r="E21" s="147">
        <v>1.10134952782002</v>
      </c>
      <c r="F21" s="146">
        <v>8.11748875469529</v>
      </c>
      <c r="G21" s="147">
        <v>2.20936548677126</v>
      </c>
      <c r="H21" s="146">
        <v>20.9658508641915</v>
      </c>
      <c r="I21" s="147">
        <v>2.90425608616846</v>
      </c>
    </row>
    <row r="22" ht="22.9" customHeight="1" spans="1:9">
      <c r="A22" s="148" t="s">
        <v>93</v>
      </c>
      <c r="B22" s="146">
        <v>34.1662200805323</v>
      </c>
      <c r="C22" s="147">
        <v>6.25550907735095</v>
      </c>
      <c r="D22" s="146">
        <v>4.68018534321241</v>
      </c>
      <c r="E22" s="147">
        <v>2.10444642769545</v>
      </c>
      <c r="F22" s="146">
        <v>12.810686394136</v>
      </c>
      <c r="G22" s="147">
        <v>4.69128724013721</v>
      </c>
      <c r="H22" s="146">
        <v>18.0323859871691</v>
      </c>
      <c r="I22" s="147">
        <v>6.49014514394285</v>
      </c>
    </row>
    <row r="23" ht="22.9" customHeight="1" spans="1:9">
      <c r="A23" s="148" t="s">
        <v>94</v>
      </c>
      <c r="B23" s="146">
        <v>42.1110424221687</v>
      </c>
      <c r="C23" s="147">
        <v>5.06406181994201</v>
      </c>
      <c r="D23" s="146">
        <v>5.4169988005727</v>
      </c>
      <c r="E23" s="147">
        <v>-1.29381269915656</v>
      </c>
      <c r="F23" s="146">
        <v>14.6363065119067</v>
      </c>
      <c r="G23" s="147">
        <v>2.34428392304049</v>
      </c>
      <c r="H23" s="146">
        <v>24.65514107625</v>
      </c>
      <c r="I23" s="147">
        <v>3.59273050901263</v>
      </c>
    </row>
    <row r="24" ht="22.9" customHeight="1" spans="1:9">
      <c r="A24" s="148" t="s">
        <v>95</v>
      </c>
      <c r="B24" s="146">
        <v>120.414043323958</v>
      </c>
      <c r="C24" s="147">
        <v>1.74035576048736</v>
      </c>
      <c r="D24" s="146">
        <v>24.9528812857558</v>
      </c>
      <c r="E24" s="147">
        <v>1.66825840460967</v>
      </c>
      <c r="F24" s="146">
        <v>56.0318870475486</v>
      </c>
      <c r="G24" s="147">
        <v>3.68712539846807</v>
      </c>
      <c r="H24" s="146">
        <v>83.1750216999016</v>
      </c>
      <c r="I24" s="147">
        <v>4.66425159344104</v>
      </c>
    </row>
    <row r="25" ht="22.9" customHeight="1" spans="1:9">
      <c r="A25" s="148" t="s">
        <v>96</v>
      </c>
      <c r="B25" s="146">
        <v>165.852697791494</v>
      </c>
      <c r="C25" s="147">
        <v>3.74594928657179</v>
      </c>
      <c r="D25" s="146">
        <v>31.0844212838127</v>
      </c>
      <c r="E25" s="147">
        <v>4.87992413874665</v>
      </c>
      <c r="F25" s="146">
        <v>68.3945111310449</v>
      </c>
      <c r="G25" s="147">
        <v>4.78536391736854</v>
      </c>
      <c r="H25" s="146">
        <v>104.83061829961</v>
      </c>
      <c r="I25" s="147">
        <v>7.41310048450605</v>
      </c>
    </row>
    <row r="26" ht="22.9" customHeight="1" spans="1:9">
      <c r="A26" s="148" t="s">
        <v>97</v>
      </c>
      <c r="B26" s="146">
        <v>166.628410227587</v>
      </c>
      <c r="C26" s="147">
        <v>3.7414739760992</v>
      </c>
      <c r="D26" s="146">
        <v>20.9836150790442</v>
      </c>
      <c r="E26" s="147">
        <v>4.23232028072336</v>
      </c>
      <c r="F26" s="146">
        <v>58.2413703280859</v>
      </c>
      <c r="G26" s="147">
        <v>7.9312300911175</v>
      </c>
      <c r="H26" s="146">
        <v>98.7372323743187</v>
      </c>
      <c r="I26" s="147">
        <v>7.25517817205437</v>
      </c>
    </row>
    <row r="27" ht="22.9" customHeight="1" spans="1:9">
      <c r="A27" s="148" t="s">
        <v>98</v>
      </c>
      <c r="B27" s="146">
        <v>147.591284843823</v>
      </c>
      <c r="C27" s="147">
        <v>0.607387387867803</v>
      </c>
      <c r="D27" s="146">
        <v>17.6370099752268</v>
      </c>
      <c r="E27" s="147">
        <v>-2.51473364336393</v>
      </c>
      <c r="F27" s="146">
        <v>54.6799195374075</v>
      </c>
      <c r="G27" s="147">
        <v>1.00422161491103</v>
      </c>
      <c r="H27" s="146">
        <v>94.7341587433788</v>
      </c>
      <c r="I27" s="147">
        <v>3.36312796268376</v>
      </c>
    </row>
    <row r="28" ht="22.9" customHeight="1" spans="1:9">
      <c r="A28" s="152" t="s">
        <v>431</v>
      </c>
      <c r="B28" s="153">
        <v>23.2468387148175</v>
      </c>
      <c r="C28" s="154">
        <v>7.42451387699943</v>
      </c>
      <c r="D28" s="153">
        <v>3.11993397547318</v>
      </c>
      <c r="E28" s="154">
        <v>1.24159235575523</v>
      </c>
      <c r="F28" s="153">
        <v>9.24403947312254</v>
      </c>
      <c r="G28" s="154">
        <v>-0.210010383432632</v>
      </c>
      <c r="H28" s="153">
        <v>18.1316099664358</v>
      </c>
      <c r="I28" s="154">
        <v>3.24591964034163</v>
      </c>
    </row>
    <row r="29" ht="54" customHeight="1" spans="1:9">
      <c r="A29" s="174" t="s">
        <v>433</v>
      </c>
      <c r="B29" s="174"/>
      <c r="C29" s="174"/>
      <c r="D29" s="174"/>
      <c r="E29" s="174"/>
      <c r="F29" s="174"/>
      <c r="G29" s="174"/>
      <c r="H29" s="174"/>
      <c r="I29" s="174"/>
    </row>
  </sheetData>
  <mergeCells count="7">
    <mergeCell ref="A1:I1"/>
    <mergeCell ref="B2:C2"/>
    <mergeCell ref="D2:E2"/>
    <mergeCell ref="F2:G2"/>
    <mergeCell ref="H2:I2"/>
    <mergeCell ref="A29:I29"/>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X32"/>
  <sheetViews>
    <sheetView zoomScale="80" zoomScaleNormal="80" workbookViewId="0">
      <pane xSplit="2" ySplit="3" topLeftCell="Q4" activePane="bottomRight" state="frozen"/>
      <selection/>
      <selection pane="topRight"/>
      <selection pane="bottomLeft"/>
      <selection pane="bottomRight" activeCell="W16" sqref="W16:W31"/>
    </sheetView>
  </sheetViews>
  <sheetFormatPr defaultColWidth="9" defaultRowHeight="14.25"/>
  <cols>
    <col min="1" max="1" width="33.125" style="265" customWidth="1"/>
    <col min="2" max="2" width="9.625" style="265" customWidth="1"/>
    <col min="3" max="3" width="10.375" style="265"/>
    <col min="4" max="22" width="9.375" style="265"/>
    <col min="23" max="23" width="11.2416666666667" style="265" customWidth="1"/>
    <col min="24" max="24" width="9.06666666666667" style="265" customWidth="1"/>
    <col min="25" max="25" width="12.625" style="265"/>
    <col min="26" max="16384" width="9" style="265"/>
  </cols>
  <sheetData>
    <row r="1" ht="24.95" customHeight="1" spans="1:24">
      <c r="A1" s="135" t="s">
        <v>0</v>
      </c>
      <c r="B1" s="135"/>
      <c r="C1" s="135"/>
      <c r="D1" s="135"/>
      <c r="E1" s="135"/>
      <c r="F1" s="135"/>
      <c r="G1" s="135"/>
      <c r="H1" s="135"/>
      <c r="I1" s="135"/>
      <c r="J1" s="135"/>
      <c r="K1" s="135"/>
      <c r="L1" s="135"/>
      <c r="M1" s="135"/>
      <c r="N1" s="135"/>
      <c r="O1" s="135"/>
      <c r="P1" s="135"/>
      <c r="Q1" s="135"/>
      <c r="R1" s="135"/>
      <c r="S1" s="135"/>
      <c r="T1" s="135"/>
      <c r="U1" s="135"/>
      <c r="V1" s="135"/>
      <c r="W1" s="135"/>
      <c r="X1" s="135"/>
    </row>
    <row r="2" s="294" customFormat="1" ht="21" customHeight="1" spans="1:24">
      <c r="A2" s="136" t="s">
        <v>1</v>
      </c>
      <c r="B2" s="241" t="s">
        <v>2</v>
      </c>
      <c r="C2" s="137" t="s">
        <v>3</v>
      </c>
      <c r="D2" s="138"/>
      <c r="E2" s="137" t="s">
        <v>4</v>
      </c>
      <c r="F2" s="138"/>
      <c r="G2" s="137" t="s">
        <v>5</v>
      </c>
      <c r="H2" s="138"/>
      <c r="I2" s="137" t="s">
        <v>6</v>
      </c>
      <c r="J2" s="138"/>
      <c r="K2" s="137" t="s">
        <v>7</v>
      </c>
      <c r="L2" s="138"/>
      <c r="M2" s="137" t="s">
        <v>8</v>
      </c>
      <c r="N2" s="138"/>
      <c r="O2" s="137" t="s">
        <v>9</v>
      </c>
      <c r="P2" s="138"/>
      <c r="Q2" s="137" t="s">
        <v>10</v>
      </c>
      <c r="R2" s="138"/>
      <c r="S2" s="137" t="s">
        <v>11</v>
      </c>
      <c r="T2" s="138"/>
      <c r="U2" s="137" t="s">
        <v>12</v>
      </c>
      <c r="V2" s="138"/>
      <c r="W2" s="137" t="s">
        <v>13</v>
      </c>
      <c r="X2" s="138"/>
    </row>
    <row r="3" s="294" customFormat="1" ht="21" customHeight="1" spans="1:24">
      <c r="A3" s="139"/>
      <c r="B3" s="242"/>
      <c r="C3" s="140" t="s">
        <v>14</v>
      </c>
      <c r="D3" s="141" t="s">
        <v>15</v>
      </c>
      <c r="E3" s="140" t="s">
        <v>14</v>
      </c>
      <c r="F3" s="141" t="s">
        <v>15</v>
      </c>
      <c r="G3" s="140" t="s">
        <v>14</v>
      </c>
      <c r="H3" s="141" t="s">
        <v>15</v>
      </c>
      <c r="I3" s="140" t="s">
        <v>14</v>
      </c>
      <c r="J3" s="141" t="s">
        <v>15</v>
      </c>
      <c r="K3" s="140" t="s">
        <v>14</v>
      </c>
      <c r="L3" s="141" t="s">
        <v>15</v>
      </c>
      <c r="M3" s="140" t="s">
        <v>14</v>
      </c>
      <c r="N3" s="141" t="s">
        <v>15</v>
      </c>
      <c r="O3" s="140" t="s">
        <v>14</v>
      </c>
      <c r="P3" s="141" t="s">
        <v>15</v>
      </c>
      <c r="Q3" s="140" t="s">
        <v>14</v>
      </c>
      <c r="R3" s="141" t="s">
        <v>15</v>
      </c>
      <c r="S3" s="140" t="s">
        <v>14</v>
      </c>
      <c r="T3" s="141" t="s">
        <v>15</v>
      </c>
      <c r="U3" s="140" t="s">
        <v>14</v>
      </c>
      <c r="V3" s="141" t="s">
        <v>15</v>
      </c>
      <c r="W3" s="140" t="s">
        <v>14</v>
      </c>
      <c r="X3" s="141" t="s">
        <v>15</v>
      </c>
    </row>
    <row r="4" ht="18" customHeight="1" spans="1:24">
      <c r="A4" s="342" t="s">
        <v>16</v>
      </c>
      <c r="B4" s="343" t="s">
        <v>17</v>
      </c>
      <c r="C4" s="146">
        <v>3839.9317193847</v>
      </c>
      <c r="D4" s="344">
        <v>1.18304940409671</v>
      </c>
      <c r="E4" s="164" t="s">
        <v>18</v>
      </c>
      <c r="F4" s="345" t="s">
        <v>18</v>
      </c>
      <c r="G4" s="146">
        <v>858.304540565101</v>
      </c>
      <c r="H4" s="344">
        <v>3.043220478653</v>
      </c>
      <c r="I4" s="164" t="s">
        <v>18</v>
      </c>
      <c r="J4" s="345" t="s">
        <v>18</v>
      </c>
      <c r="K4" s="164" t="s">
        <v>18</v>
      </c>
      <c r="L4" s="345" t="s">
        <v>18</v>
      </c>
      <c r="M4" s="146">
        <v>1811.2613921385</v>
      </c>
      <c r="N4" s="344">
        <v>5.08117519608587</v>
      </c>
      <c r="O4" s="164" t="s">
        <v>18</v>
      </c>
      <c r="P4" s="345" t="s">
        <v>18</v>
      </c>
      <c r="Q4" s="164" t="s">
        <v>18</v>
      </c>
      <c r="R4" s="345" t="s">
        <v>18</v>
      </c>
      <c r="S4" s="146">
        <v>2815.34660119786</v>
      </c>
      <c r="T4" s="344">
        <v>4.95906235413757</v>
      </c>
      <c r="U4" s="164" t="s">
        <v>18</v>
      </c>
      <c r="V4" s="345" t="s">
        <v>18</v>
      </c>
      <c r="W4" s="164" t="s">
        <v>18</v>
      </c>
      <c r="X4" s="345" t="s">
        <v>18</v>
      </c>
    </row>
    <row r="5" ht="18" customHeight="1" spans="1:24">
      <c r="A5" s="245" t="s">
        <v>19</v>
      </c>
      <c r="B5" s="246" t="s">
        <v>17</v>
      </c>
      <c r="C5" s="146">
        <v>733.873003596183</v>
      </c>
      <c r="D5" s="147">
        <v>3.57733833440932</v>
      </c>
      <c r="E5" s="164" t="s">
        <v>18</v>
      </c>
      <c r="F5" s="160" t="s">
        <v>18</v>
      </c>
      <c r="G5" s="146">
        <v>113.058508596589</v>
      </c>
      <c r="H5" s="147">
        <v>2.973551196222</v>
      </c>
      <c r="I5" s="164" t="s">
        <v>18</v>
      </c>
      <c r="J5" s="160" t="s">
        <v>18</v>
      </c>
      <c r="K5" s="164" t="s">
        <v>18</v>
      </c>
      <c r="L5" s="160" t="s">
        <v>18</v>
      </c>
      <c r="M5" s="146">
        <v>283.64860496425</v>
      </c>
      <c r="N5" s="147">
        <v>3.95773563359805</v>
      </c>
      <c r="O5" s="164" t="s">
        <v>18</v>
      </c>
      <c r="P5" s="160" t="s">
        <v>18</v>
      </c>
      <c r="Q5" s="164" t="s">
        <v>18</v>
      </c>
      <c r="R5" s="160" t="s">
        <v>18</v>
      </c>
      <c r="S5" s="146">
        <v>466.046540727997</v>
      </c>
      <c r="T5" s="147">
        <v>4.59390068828334</v>
      </c>
      <c r="U5" s="164" t="s">
        <v>18</v>
      </c>
      <c r="V5" s="160" t="s">
        <v>18</v>
      </c>
      <c r="W5" s="164" t="s">
        <v>18</v>
      </c>
      <c r="X5" s="160" t="s">
        <v>18</v>
      </c>
    </row>
    <row r="6" ht="18" customHeight="1" spans="1:24">
      <c r="A6" s="245" t="s">
        <v>20</v>
      </c>
      <c r="B6" s="246" t="s">
        <v>17</v>
      </c>
      <c r="C6" s="146">
        <v>1237.23870515941</v>
      </c>
      <c r="D6" s="147">
        <v>-1.0396784690312</v>
      </c>
      <c r="E6" s="164" t="s">
        <v>18</v>
      </c>
      <c r="F6" s="160" t="s">
        <v>18</v>
      </c>
      <c r="G6" s="146">
        <v>284.811444019323</v>
      </c>
      <c r="H6" s="147">
        <v>0.534383769925995</v>
      </c>
      <c r="I6" s="164" t="s">
        <v>18</v>
      </c>
      <c r="J6" s="160" t="s">
        <v>18</v>
      </c>
      <c r="K6" s="164" t="s">
        <v>18</v>
      </c>
      <c r="L6" s="160" t="s">
        <v>18</v>
      </c>
      <c r="M6" s="146">
        <v>629.315949170763</v>
      </c>
      <c r="N6" s="147">
        <v>4.9377656638686</v>
      </c>
      <c r="O6" s="164" t="s">
        <v>18</v>
      </c>
      <c r="P6" s="160" t="s">
        <v>18</v>
      </c>
      <c r="Q6" s="164" t="s">
        <v>18</v>
      </c>
      <c r="R6" s="160" t="s">
        <v>18</v>
      </c>
      <c r="S6" s="146">
        <v>965.035547838793</v>
      </c>
      <c r="T6" s="147">
        <v>4.71500000768295</v>
      </c>
      <c r="U6" s="164" t="s">
        <v>18</v>
      </c>
      <c r="V6" s="160" t="s">
        <v>18</v>
      </c>
      <c r="W6" s="164" t="s">
        <v>18</v>
      </c>
      <c r="X6" s="160" t="s">
        <v>18</v>
      </c>
    </row>
    <row r="7" ht="18" customHeight="1" spans="1:24">
      <c r="A7" s="245" t="s">
        <v>21</v>
      </c>
      <c r="B7" s="246" t="s">
        <v>17</v>
      </c>
      <c r="C7" s="146">
        <v>275.778971372819</v>
      </c>
      <c r="D7" s="147">
        <v>-5.27444585056574</v>
      </c>
      <c r="E7" s="164" t="s">
        <v>18</v>
      </c>
      <c r="F7" s="160" t="s">
        <v>18</v>
      </c>
      <c r="G7" s="146">
        <v>42.3742005864091</v>
      </c>
      <c r="H7" s="147">
        <v>-0.0863627416549946</v>
      </c>
      <c r="I7" s="164" t="s">
        <v>18</v>
      </c>
      <c r="J7" s="160" t="s">
        <v>18</v>
      </c>
      <c r="K7" s="164" t="s">
        <v>18</v>
      </c>
      <c r="L7" s="160" t="s">
        <v>18</v>
      </c>
      <c r="M7" s="146">
        <v>91.6936643607199</v>
      </c>
      <c r="N7" s="147">
        <v>-8.34993258398835</v>
      </c>
      <c r="O7" s="164" t="s">
        <v>18</v>
      </c>
      <c r="P7" s="160" t="s">
        <v>18</v>
      </c>
      <c r="Q7" s="164" t="s">
        <v>18</v>
      </c>
      <c r="R7" s="160" t="s">
        <v>18</v>
      </c>
      <c r="S7" s="146">
        <v>150.496825346785</v>
      </c>
      <c r="T7" s="147">
        <v>-10.112462022114</v>
      </c>
      <c r="U7" s="164" t="s">
        <v>18</v>
      </c>
      <c r="V7" s="160" t="s">
        <v>18</v>
      </c>
      <c r="W7" s="164" t="s">
        <v>18</v>
      </c>
      <c r="X7" s="160" t="s">
        <v>18</v>
      </c>
    </row>
    <row r="8" ht="18" customHeight="1" spans="1:24">
      <c r="A8" s="245" t="s">
        <v>22</v>
      </c>
      <c r="B8" s="246" t="s">
        <v>17</v>
      </c>
      <c r="C8" s="146">
        <v>1868.82001062911</v>
      </c>
      <c r="D8" s="147">
        <v>1.61886523565815</v>
      </c>
      <c r="E8" s="164" t="s">
        <v>18</v>
      </c>
      <c r="F8" s="160" t="s">
        <v>18</v>
      </c>
      <c r="G8" s="146">
        <v>460.43458794919</v>
      </c>
      <c r="H8" s="147">
        <v>4.566107258926</v>
      </c>
      <c r="I8" s="164" t="s">
        <v>18</v>
      </c>
      <c r="J8" s="160" t="s">
        <v>18</v>
      </c>
      <c r="K8" s="164" t="s">
        <v>18</v>
      </c>
      <c r="L8" s="160" t="s">
        <v>18</v>
      </c>
      <c r="M8" s="146">
        <v>898.29</v>
      </c>
      <c r="N8" s="147">
        <v>5.55996972526999</v>
      </c>
      <c r="O8" s="164" t="s">
        <v>18</v>
      </c>
      <c r="P8" s="160" t="s">
        <v>18</v>
      </c>
      <c r="Q8" s="164" t="s">
        <v>18</v>
      </c>
      <c r="R8" s="160" t="s">
        <v>18</v>
      </c>
      <c r="S8" s="146">
        <v>1384.26451263107</v>
      </c>
      <c r="T8" s="147">
        <v>5.24051343553356</v>
      </c>
      <c r="U8" s="164" t="s">
        <v>18</v>
      </c>
      <c r="V8" s="160" t="s">
        <v>18</v>
      </c>
      <c r="W8" s="164" t="s">
        <v>18</v>
      </c>
      <c r="X8" s="160" t="s">
        <v>18</v>
      </c>
    </row>
    <row r="9" ht="18" customHeight="1" spans="1:24">
      <c r="A9" s="277" t="s">
        <v>23</v>
      </c>
      <c r="B9" s="246" t="s">
        <v>17</v>
      </c>
      <c r="C9" s="146">
        <v>145.432523533589</v>
      </c>
      <c r="D9" s="147">
        <v>3.47895544141032</v>
      </c>
      <c r="E9" s="164" t="s">
        <v>18</v>
      </c>
      <c r="F9" s="160" t="s">
        <v>18</v>
      </c>
      <c r="G9" s="146">
        <v>31.666495273793</v>
      </c>
      <c r="H9" s="147">
        <v>5.310643761321</v>
      </c>
      <c r="I9" s="164" t="s">
        <v>18</v>
      </c>
      <c r="J9" s="160" t="s">
        <v>18</v>
      </c>
      <c r="K9" s="164" t="s">
        <v>18</v>
      </c>
      <c r="L9" s="160" t="s">
        <v>18</v>
      </c>
      <c r="M9" s="146">
        <v>63.0638168253942</v>
      </c>
      <c r="N9" s="147">
        <v>3.31054634645859</v>
      </c>
      <c r="O9" s="164" t="s">
        <v>18</v>
      </c>
      <c r="P9" s="160" t="s">
        <v>18</v>
      </c>
      <c r="Q9" s="164" t="s">
        <v>18</v>
      </c>
      <c r="R9" s="160" t="s">
        <v>18</v>
      </c>
      <c r="S9" s="146">
        <v>101.183663125936</v>
      </c>
      <c r="T9" s="147">
        <v>3.19955284329647</v>
      </c>
      <c r="U9" s="164" t="s">
        <v>18</v>
      </c>
      <c r="V9" s="160" t="s">
        <v>18</v>
      </c>
      <c r="W9" s="164" t="s">
        <v>18</v>
      </c>
      <c r="X9" s="160" t="s">
        <v>18</v>
      </c>
    </row>
    <row r="10" ht="18" customHeight="1" spans="1:24">
      <c r="A10" s="245" t="s">
        <v>24</v>
      </c>
      <c r="B10" s="246" t="s">
        <v>17</v>
      </c>
      <c r="C10" s="146">
        <v>377.9153378321</v>
      </c>
      <c r="D10" s="147">
        <v>-0.311107326428413</v>
      </c>
      <c r="E10" s="164" t="s">
        <v>18</v>
      </c>
      <c r="F10" s="160" t="s">
        <v>18</v>
      </c>
      <c r="G10" s="146">
        <v>80.8871700751062</v>
      </c>
      <c r="H10" s="147">
        <v>1.698497740405</v>
      </c>
      <c r="I10" s="164" t="s">
        <v>18</v>
      </c>
      <c r="J10" s="160" t="s">
        <v>18</v>
      </c>
      <c r="K10" s="164" t="s">
        <v>18</v>
      </c>
      <c r="L10" s="160" t="s">
        <v>18</v>
      </c>
      <c r="M10" s="146">
        <v>179.094487857693</v>
      </c>
      <c r="N10" s="147">
        <v>6.37952900059105</v>
      </c>
      <c r="O10" s="164" t="s">
        <v>18</v>
      </c>
      <c r="P10" s="160" t="s">
        <v>18</v>
      </c>
      <c r="Q10" s="164" t="s">
        <v>18</v>
      </c>
      <c r="R10" s="160" t="s">
        <v>18</v>
      </c>
      <c r="S10" s="146">
        <v>280.163298552863</v>
      </c>
      <c r="T10" s="147">
        <v>5.50182584160264</v>
      </c>
      <c r="U10" s="164" t="s">
        <v>18</v>
      </c>
      <c r="V10" s="160" t="s">
        <v>18</v>
      </c>
      <c r="W10" s="164" t="s">
        <v>18</v>
      </c>
      <c r="X10" s="160" t="s">
        <v>18</v>
      </c>
    </row>
    <row r="11" ht="18" customHeight="1" spans="1:24">
      <c r="A11" s="245" t="s">
        <v>25</v>
      </c>
      <c r="B11" s="246" t="s">
        <v>17</v>
      </c>
      <c r="C11" s="146">
        <v>71.9922329009368</v>
      </c>
      <c r="D11" s="147">
        <v>2.79010664063613</v>
      </c>
      <c r="E11" s="164" t="s">
        <v>18</v>
      </c>
      <c r="F11" s="160" t="s">
        <v>18</v>
      </c>
      <c r="G11" s="146">
        <v>14.6826997433974</v>
      </c>
      <c r="H11" s="147">
        <v>2.241253009087</v>
      </c>
      <c r="I11" s="164" t="s">
        <v>18</v>
      </c>
      <c r="J11" s="160" t="s">
        <v>18</v>
      </c>
      <c r="K11" s="164" t="s">
        <v>18</v>
      </c>
      <c r="L11" s="160" t="s">
        <v>18</v>
      </c>
      <c r="M11" s="146">
        <v>31.2349582541897</v>
      </c>
      <c r="N11" s="147">
        <v>2.20432690828751</v>
      </c>
      <c r="O11" s="164" t="s">
        <v>18</v>
      </c>
      <c r="P11" s="160" t="s">
        <v>18</v>
      </c>
      <c r="Q11" s="164" t="s">
        <v>18</v>
      </c>
      <c r="R11" s="160" t="s">
        <v>18</v>
      </c>
      <c r="S11" s="146">
        <v>49.9955715198748</v>
      </c>
      <c r="T11" s="147">
        <v>1.41910833925022</v>
      </c>
      <c r="U11" s="164" t="s">
        <v>18</v>
      </c>
      <c r="V11" s="160" t="s">
        <v>18</v>
      </c>
      <c r="W11" s="164" t="s">
        <v>18</v>
      </c>
      <c r="X11" s="160" t="s">
        <v>18</v>
      </c>
    </row>
    <row r="12" ht="18" customHeight="1" spans="1:24">
      <c r="A12" s="245" t="s">
        <v>26</v>
      </c>
      <c r="B12" s="246" t="s">
        <v>17</v>
      </c>
      <c r="C12" s="146">
        <v>163.59438362314</v>
      </c>
      <c r="D12" s="147">
        <v>6.23225857652474</v>
      </c>
      <c r="E12" s="164" t="s">
        <v>18</v>
      </c>
      <c r="F12" s="160" t="s">
        <v>18</v>
      </c>
      <c r="G12" s="146">
        <v>44.9894074972517</v>
      </c>
      <c r="H12" s="147">
        <v>7.75653989892901</v>
      </c>
      <c r="I12" s="164" t="s">
        <v>18</v>
      </c>
      <c r="J12" s="160" t="s">
        <v>18</v>
      </c>
      <c r="K12" s="164" t="s">
        <v>18</v>
      </c>
      <c r="L12" s="160" t="s">
        <v>18</v>
      </c>
      <c r="M12" s="146">
        <v>84.3123344449802</v>
      </c>
      <c r="N12" s="147">
        <v>5.42806530234874</v>
      </c>
      <c r="O12" s="164" t="s">
        <v>18</v>
      </c>
      <c r="P12" s="160" t="s">
        <v>18</v>
      </c>
      <c r="Q12" s="164" t="s">
        <v>18</v>
      </c>
      <c r="R12" s="160" t="s">
        <v>18</v>
      </c>
      <c r="S12" s="146">
        <v>132.983106932158</v>
      </c>
      <c r="T12" s="147">
        <v>6.37651121400009</v>
      </c>
      <c r="U12" s="164" t="s">
        <v>18</v>
      </c>
      <c r="V12" s="160" t="s">
        <v>18</v>
      </c>
      <c r="W12" s="164" t="s">
        <v>18</v>
      </c>
      <c r="X12" s="160" t="s">
        <v>18</v>
      </c>
    </row>
    <row r="13" ht="18" customHeight="1" spans="1:24">
      <c r="A13" s="245" t="s">
        <v>27</v>
      </c>
      <c r="B13" s="246" t="s">
        <v>17</v>
      </c>
      <c r="C13" s="146">
        <v>294.626732949764</v>
      </c>
      <c r="D13" s="147">
        <v>-2.97152483788149</v>
      </c>
      <c r="E13" s="164" t="s">
        <v>18</v>
      </c>
      <c r="F13" s="160" t="s">
        <v>18</v>
      </c>
      <c r="G13" s="146">
        <v>69.027017072654</v>
      </c>
      <c r="H13" s="147">
        <v>3.436749101122</v>
      </c>
      <c r="I13" s="164" t="s">
        <v>18</v>
      </c>
      <c r="J13" s="160" t="s">
        <v>18</v>
      </c>
      <c r="K13" s="164" t="s">
        <v>18</v>
      </c>
      <c r="L13" s="160" t="s">
        <v>18</v>
      </c>
      <c r="M13" s="146">
        <v>134.762182650435</v>
      </c>
      <c r="N13" s="147">
        <v>3.26654192082083</v>
      </c>
      <c r="O13" s="164" t="s">
        <v>18</v>
      </c>
      <c r="P13" s="160" t="s">
        <v>18</v>
      </c>
      <c r="Q13" s="164" t="s">
        <v>18</v>
      </c>
      <c r="R13" s="160" t="s">
        <v>18</v>
      </c>
      <c r="S13" s="146">
        <v>215.722258661645</v>
      </c>
      <c r="T13" s="147">
        <v>4.16681068284855</v>
      </c>
      <c r="U13" s="164" t="s">
        <v>18</v>
      </c>
      <c r="V13" s="160" t="s">
        <v>18</v>
      </c>
      <c r="W13" s="164" t="s">
        <v>18</v>
      </c>
      <c r="X13" s="160" t="s">
        <v>18</v>
      </c>
    </row>
    <row r="14" ht="18" customHeight="1" spans="1:24">
      <c r="A14" s="245" t="s">
        <v>28</v>
      </c>
      <c r="B14" s="246" t="s">
        <v>17</v>
      </c>
      <c r="C14" s="146">
        <v>780.71439678895</v>
      </c>
      <c r="D14" s="147">
        <v>2.56033836398231</v>
      </c>
      <c r="E14" s="164" t="s">
        <v>18</v>
      </c>
      <c r="F14" s="160" t="s">
        <v>18</v>
      </c>
      <c r="G14" s="146">
        <v>211.54659434333</v>
      </c>
      <c r="H14" s="147">
        <v>4.86949460464901</v>
      </c>
      <c r="I14" s="164" t="s">
        <v>18</v>
      </c>
      <c r="J14" s="160" t="s">
        <v>18</v>
      </c>
      <c r="K14" s="164" t="s">
        <v>18</v>
      </c>
      <c r="L14" s="160" t="s">
        <v>18</v>
      </c>
      <c r="M14" s="146">
        <v>388.948719866679</v>
      </c>
      <c r="N14" s="147">
        <v>6.18839532916252</v>
      </c>
      <c r="O14" s="164" t="s">
        <v>18</v>
      </c>
      <c r="P14" s="160" t="s">
        <v>18</v>
      </c>
      <c r="Q14" s="164" t="s">
        <v>18</v>
      </c>
      <c r="R14" s="160" t="s">
        <v>18</v>
      </c>
      <c r="S14" s="146">
        <v>576.143659704197</v>
      </c>
      <c r="T14" s="147">
        <v>5.57009576761216</v>
      </c>
      <c r="U14" s="164" t="s">
        <v>18</v>
      </c>
      <c r="V14" s="160" t="s">
        <v>18</v>
      </c>
      <c r="W14" s="164" t="s">
        <v>18</v>
      </c>
      <c r="X14" s="160" t="s">
        <v>18</v>
      </c>
    </row>
    <row r="15" ht="18" customHeight="1" spans="1:24">
      <c r="A15" s="245" t="s">
        <v>29</v>
      </c>
      <c r="B15" s="246" t="s">
        <v>30</v>
      </c>
      <c r="C15" s="346" t="s">
        <v>31</v>
      </c>
      <c r="D15" s="347"/>
      <c r="E15" s="346" t="s">
        <v>18</v>
      </c>
      <c r="F15" s="347"/>
      <c r="G15" s="346" t="s">
        <v>32</v>
      </c>
      <c r="H15" s="347"/>
      <c r="I15" s="346" t="s">
        <v>18</v>
      </c>
      <c r="J15" s="347"/>
      <c r="K15" s="346" t="s">
        <v>18</v>
      </c>
      <c r="L15" s="347"/>
      <c r="M15" s="346" t="s">
        <v>33</v>
      </c>
      <c r="N15" s="347"/>
      <c r="O15" s="346" t="s">
        <v>18</v>
      </c>
      <c r="P15" s="347"/>
      <c r="Q15" s="346" t="s">
        <v>18</v>
      </c>
      <c r="R15" s="347"/>
      <c r="S15" s="346" t="s">
        <v>34</v>
      </c>
      <c r="T15" s="347"/>
      <c r="U15" s="346" t="s">
        <v>18</v>
      </c>
      <c r="V15" s="347"/>
      <c r="W15" s="346" t="s">
        <v>18</v>
      </c>
      <c r="X15" s="347"/>
    </row>
    <row r="16" ht="18" customHeight="1" spans="1:24">
      <c r="A16" s="245" t="s">
        <v>35</v>
      </c>
      <c r="B16" s="246" t="s">
        <v>17</v>
      </c>
      <c r="C16" s="146"/>
      <c r="D16" s="147">
        <v>-2.7</v>
      </c>
      <c r="E16" s="146"/>
      <c r="F16" s="147">
        <v>-1.5</v>
      </c>
      <c r="G16" s="146"/>
      <c r="H16" s="147">
        <v>-0.5</v>
      </c>
      <c r="I16" s="146"/>
      <c r="J16" s="147">
        <v>4.8</v>
      </c>
      <c r="K16" s="146"/>
      <c r="L16" s="147">
        <v>8.9</v>
      </c>
      <c r="M16" s="146"/>
      <c r="N16" s="147">
        <v>10.2</v>
      </c>
      <c r="O16" s="146"/>
      <c r="P16" s="147">
        <v>9.7</v>
      </c>
      <c r="Q16" s="146"/>
      <c r="R16" s="147">
        <v>8.8</v>
      </c>
      <c r="S16" s="146"/>
      <c r="T16" s="147">
        <v>10.4</v>
      </c>
      <c r="U16" s="146"/>
      <c r="V16" s="147">
        <v>10.3</v>
      </c>
      <c r="W16" s="146"/>
      <c r="X16" s="147">
        <v>10.5</v>
      </c>
    </row>
    <row r="17" ht="18" customHeight="1" spans="1:24">
      <c r="A17" s="245" t="s">
        <v>36</v>
      </c>
      <c r="B17" s="246" t="s">
        <v>17</v>
      </c>
      <c r="C17" s="348"/>
      <c r="D17" s="147">
        <v>1.3</v>
      </c>
      <c r="E17" s="348"/>
      <c r="F17" s="147">
        <v>2.3</v>
      </c>
      <c r="G17" s="348"/>
      <c r="H17" s="147">
        <v>-5.7</v>
      </c>
      <c r="I17" s="348"/>
      <c r="J17" s="147">
        <v>-10.7</v>
      </c>
      <c r="K17" s="348"/>
      <c r="L17" s="147">
        <v>-10.6</v>
      </c>
      <c r="M17" s="348"/>
      <c r="N17" s="147">
        <v>-8.7</v>
      </c>
      <c r="O17" s="348"/>
      <c r="P17" s="147">
        <v>-9.3</v>
      </c>
      <c r="Q17" s="348"/>
      <c r="R17" s="147">
        <v>-11.9</v>
      </c>
      <c r="S17" s="348"/>
      <c r="T17" s="147">
        <v>-8</v>
      </c>
      <c r="U17" s="348"/>
      <c r="V17" s="147">
        <v>-9.5</v>
      </c>
      <c r="W17" s="348"/>
      <c r="X17" s="147">
        <v>-9</v>
      </c>
    </row>
    <row r="18" ht="18" customHeight="1" spans="1:24">
      <c r="A18" s="245" t="s">
        <v>37</v>
      </c>
      <c r="B18" s="246" t="s">
        <v>17</v>
      </c>
      <c r="C18" s="348"/>
      <c r="D18" s="147">
        <v>-3.5</v>
      </c>
      <c r="E18" s="348"/>
      <c r="F18" s="147">
        <v>-2.2</v>
      </c>
      <c r="G18" s="348"/>
      <c r="H18" s="147">
        <v>0.5</v>
      </c>
      <c r="I18" s="348"/>
      <c r="J18" s="147">
        <v>7.7</v>
      </c>
      <c r="K18" s="348"/>
      <c r="L18" s="147">
        <v>12.5</v>
      </c>
      <c r="M18" s="348"/>
      <c r="N18" s="147">
        <v>13.7</v>
      </c>
      <c r="O18" s="348"/>
      <c r="P18" s="147">
        <v>13.1</v>
      </c>
      <c r="Q18" s="348"/>
      <c r="R18" s="147">
        <v>12.6</v>
      </c>
      <c r="S18" s="348"/>
      <c r="T18" s="147">
        <v>13.7</v>
      </c>
      <c r="U18" s="348"/>
      <c r="V18" s="147">
        <v>13.9</v>
      </c>
      <c r="W18" s="348"/>
      <c r="X18" s="147">
        <v>14</v>
      </c>
    </row>
    <row r="19" ht="18" customHeight="1" spans="1:24">
      <c r="A19" s="245" t="s">
        <v>38</v>
      </c>
      <c r="B19" s="246" t="s">
        <v>17</v>
      </c>
      <c r="C19" s="348"/>
      <c r="D19" s="147">
        <v>-4</v>
      </c>
      <c r="E19" s="348"/>
      <c r="F19" s="147">
        <v>-4.4</v>
      </c>
      <c r="G19" s="348"/>
      <c r="H19" s="147">
        <v>0.5</v>
      </c>
      <c r="I19" s="348"/>
      <c r="J19" s="147">
        <v>11.5</v>
      </c>
      <c r="K19" s="348"/>
      <c r="L19" s="147">
        <v>17.5</v>
      </c>
      <c r="M19" s="348"/>
      <c r="N19" s="147">
        <v>17.9</v>
      </c>
      <c r="O19" s="348"/>
      <c r="P19" s="147">
        <v>17</v>
      </c>
      <c r="Q19" s="348"/>
      <c r="R19" s="147">
        <v>16.1</v>
      </c>
      <c r="S19" s="348"/>
      <c r="T19" s="147">
        <v>17.8</v>
      </c>
      <c r="U19" s="348"/>
      <c r="V19" s="147">
        <v>18.2</v>
      </c>
      <c r="W19" s="348"/>
      <c r="X19" s="147">
        <v>18.6</v>
      </c>
    </row>
    <row r="20" ht="18" customHeight="1" spans="1:24">
      <c r="A20" s="270" t="s">
        <v>39</v>
      </c>
      <c r="B20" s="271" t="s">
        <v>17</v>
      </c>
      <c r="C20" s="348"/>
      <c r="D20" s="147">
        <v>-0.3</v>
      </c>
      <c r="E20" s="348"/>
      <c r="F20" s="147">
        <v>6.8</v>
      </c>
      <c r="G20" s="348"/>
      <c r="H20" s="147">
        <v>6.2</v>
      </c>
      <c r="I20" s="348"/>
      <c r="J20" s="147">
        <v>14.3</v>
      </c>
      <c r="K20" s="348"/>
      <c r="L20" s="147">
        <v>17.9</v>
      </c>
      <c r="M20" s="348"/>
      <c r="N20" s="147">
        <v>18.2</v>
      </c>
      <c r="O20" s="348"/>
      <c r="P20" s="147">
        <v>15.5</v>
      </c>
      <c r="Q20" s="348"/>
      <c r="R20" s="147">
        <v>13</v>
      </c>
      <c r="S20" s="348"/>
      <c r="T20" s="147">
        <v>12.5</v>
      </c>
      <c r="U20" s="348"/>
      <c r="V20" s="147">
        <v>10.9</v>
      </c>
      <c r="W20" s="348"/>
      <c r="X20" s="147">
        <v>9.7</v>
      </c>
    </row>
    <row r="21" ht="18" customHeight="1" spans="1:24">
      <c r="A21" s="270" t="s">
        <v>40</v>
      </c>
      <c r="B21" s="271" t="s">
        <v>17</v>
      </c>
      <c r="C21" s="348"/>
      <c r="D21" s="147">
        <v>-7</v>
      </c>
      <c r="E21" s="348"/>
      <c r="F21" s="147">
        <v>-5.5</v>
      </c>
      <c r="G21" s="348"/>
      <c r="H21" s="147">
        <v>2</v>
      </c>
      <c r="I21" s="348"/>
      <c r="J21" s="147">
        <v>6.7</v>
      </c>
      <c r="K21" s="348"/>
      <c r="L21" s="147">
        <v>13.3</v>
      </c>
      <c r="M21" s="348"/>
      <c r="N21" s="147">
        <v>15.5</v>
      </c>
      <c r="O21" s="348"/>
      <c r="P21" s="147">
        <v>17.6</v>
      </c>
      <c r="Q21" s="348"/>
      <c r="R21" s="147">
        <v>20</v>
      </c>
      <c r="S21" s="348"/>
      <c r="T21" s="147">
        <v>26.8</v>
      </c>
      <c r="U21" s="348"/>
      <c r="V21" s="147">
        <v>29.3</v>
      </c>
      <c r="W21" s="348"/>
      <c r="X21" s="147">
        <v>31.8</v>
      </c>
    </row>
    <row r="22" ht="18" customHeight="1" spans="1:24">
      <c r="A22" s="270" t="s">
        <v>41</v>
      </c>
      <c r="B22" s="271" t="s">
        <v>17</v>
      </c>
      <c r="C22" s="348"/>
      <c r="D22" s="147">
        <v>0.1</v>
      </c>
      <c r="E22" s="348"/>
      <c r="F22" s="147">
        <v>2.6</v>
      </c>
      <c r="G22" s="348"/>
      <c r="H22" s="147">
        <v>4.6</v>
      </c>
      <c r="I22" s="348"/>
      <c r="J22" s="147">
        <v>23.5</v>
      </c>
      <c r="K22" s="348"/>
      <c r="L22" s="147">
        <v>29.3</v>
      </c>
      <c r="M22" s="348"/>
      <c r="N22" s="147">
        <v>27.3</v>
      </c>
      <c r="O22" s="348"/>
      <c r="P22" s="147">
        <v>23</v>
      </c>
      <c r="Q22" s="348"/>
      <c r="R22" s="147">
        <v>18.5</v>
      </c>
      <c r="S22" s="348"/>
      <c r="T22" s="147">
        <v>15.2</v>
      </c>
      <c r="U22" s="348"/>
      <c r="V22" s="147">
        <v>13.7</v>
      </c>
      <c r="W22" s="348"/>
      <c r="X22" s="147">
        <v>11.3</v>
      </c>
    </row>
    <row r="23" ht="18" customHeight="1" spans="1:24">
      <c r="A23" s="270" t="s">
        <v>42</v>
      </c>
      <c r="B23" s="271" t="s">
        <v>17</v>
      </c>
      <c r="C23" s="348"/>
      <c r="D23" s="147">
        <v>-4.8</v>
      </c>
      <c r="E23" s="348"/>
      <c r="F23" s="147">
        <v>1.1</v>
      </c>
      <c r="G23" s="348"/>
      <c r="H23" s="147">
        <v>-1</v>
      </c>
      <c r="I23" s="348"/>
      <c r="J23" s="147">
        <v>-1</v>
      </c>
      <c r="K23" s="348"/>
      <c r="L23" s="147">
        <v>2</v>
      </c>
      <c r="M23" s="348"/>
      <c r="N23" s="147">
        <v>4.8</v>
      </c>
      <c r="O23" s="348"/>
      <c r="P23" s="147">
        <v>4.9</v>
      </c>
      <c r="Q23" s="348"/>
      <c r="R23" s="147">
        <v>4.9</v>
      </c>
      <c r="S23" s="348"/>
      <c r="T23" s="147">
        <v>5.2</v>
      </c>
      <c r="U23" s="348"/>
      <c r="V23" s="147">
        <v>5.5</v>
      </c>
      <c r="W23" s="348"/>
      <c r="X23" s="147">
        <v>4.9</v>
      </c>
    </row>
    <row r="24" ht="18" customHeight="1" spans="1:24">
      <c r="A24" s="270" t="s">
        <v>43</v>
      </c>
      <c r="B24" s="271" t="s">
        <v>17</v>
      </c>
      <c r="C24" s="348"/>
      <c r="D24" s="147">
        <v>-5.2</v>
      </c>
      <c r="E24" s="348"/>
      <c r="F24" s="147">
        <v>-67.9</v>
      </c>
      <c r="G24" s="348"/>
      <c r="H24" s="147">
        <v>-69.5</v>
      </c>
      <c r="I24" s="348"/>
      <c r="J24" s="147">
        <v>-69.7</v>
      </c>
      <c r="K24" s="348"/>
      <c r="L24" s="147">
        <v>-70.1</v>
      </c>
      <c r="M24" s="348"/>
      <c r="N24" s="147">
        <v>-69.8</v>
      </c>
      <c r="O24" s="348"/>
      <c r="P24" s="147">
        <v>-67.2</v>
      </c>
      <c r="Q24" s="348"/>
      <c r="R24" s="147">
        <v>-66.2</v>
      </c>
      <c r="S24" s="348"/>
      <c r="T24" s="147">
        <v>-66.4</v>
      </c>
      <c r="U24" s="348"/>
      <c r="V24" s="147">
        <v>-66.4</v>
      </c>
      <c r="W24" s="348"/>
      <c r="X24" s="147">
        <v>-64.3</v>
      </c>
    </row>
    <row r="25" ht="18" customHeight="1" spans="1:24">
      <c r="A25" s="270" t="s">
        <v>44</v>
      </c>
      <c r="B25" s="271" t="s">
        <v>17</v>
      </c>
      <c r="C25" s="348"/>
      <c r="D25" s="147">
        <v>-13.5</v>
      </c>
      <c r="E25" s="348"/>
      <c r="F25" s="147">
        <v>-11.6</v>
      </c>
      <c r="G25" s="348"/>
      <c r="H25" s="147">
        <v>-7.4</v>
      </c>
      <c r="I25" s="348"/>
      <c r="J25" s="147">
        <v>-2.1</v>
      </c>
      <c r="K25" s="348"/>
      <c r="L25" s="147">
        <v>4</v>
      </c>
      <c r="M25" s="348"/>
      <c r="N25" s="147">
        <v>3.9</v>
      </c>
      <c r="O25" s="348"/>
      <c r="P25" s="147">
        <v>8</v>
      </c>
      <c r="Q25" s="348"/>
      <c r="R25" s="147">
        <v>4</v>
      </c>
      <c r="S25" s="348"/>
      <c r="T25" s="147">
        <v>2.7</v>
      </c>
      <c r="U25" s="348"/>
      <c r="V25" s="147">
        <v>2.7</v>
      </c>
      <c r="W25" s="348"/>
      <c r="X25" s="147">
        <v>2.8</v>
      </c>
    </row>
    <row r="26" ht="18" customHeight="1" spans="1:24">
      <c r="A26" s="349" t="s">
        <v>45</v>
      </c>
      <c r="B26" s="350" t="s">
        <v>17</v>
      </c>
      <c r="C26" s="348"/>
      <c r="D26" s="351">
        <v>-11.3</v>
      </c>
      <c r="E26" s="348"/>
      <c r="F26" s="351">
        <v>8.6</v>
      </c>
      <c r="G26" s="348"/>
      <c r="H26" s="351">
        <v>8.7</v>
      </c>
      <c r="I26" s="348"/>
      <c r="J26" s="351">
        <v>4.7</v>
      </c>
      <c r="K26" s="348"/>
      <c r="L26" s="351">
        <v>1.1</v>
      </c>
      <c r="M26" s="348"/>
      <c r="N26" s="351">
        <v>-4.5</v>
      </c>
      <c r="O26" s="348"/>
      <c r="P26" s="351">
        <v>-7</v>
      </c>
      <c r="Q26" s="348"/>
      <c r="R26" s="351">
        <v>-8.9</v>
      </c>
      <c r="S26" s="348"/>
      <c r="T26" s="351">
        <v>-9.5</v>
      </c>
      <c r="U26" s="348"/>
      <c r="V26" s="351">
        <v>-10.6</v>
      </c>
      <c r="W26" s="348"/>
      <c r="X26" s="351">
        <v>-11.3</v>
      </c>
    </row>
    <row r="27" ht="18" customHeight="1" spans="1:24">
      <c r="A27" s="349" t="s">
        <v>46</v>
      </c>
      <c r="B27" s="350" t="s">
        <v>17</v>
      </c>
      <c r="C27" s="348"/>
      <c r="D27" s="351">
        <v>-2.3</v>
      </c>
      <c r="E27" s="348"/>
      <c r="F27" s="351">
        <v>21.2</v>
      </c>
      <c r="G27" s="348"/>
      <c r="H27" s="351">
        <v>24.7</v>
      </c>
      <c r="I27" s="348"/>
      <c r="J27" s="351">
        <v>17.000681865725</v>
      </c>
      <c r="K27" s="348"/>
      <c r="L27" s="351">
        <v>10.7615212877443</v>
      </c>
      <c r="M27" s="348"/>
      <c r="N27" s="351">
        <v>2.307179935467</v>
      </c>
      <c r="O27" s="348"/>
      <c r="P27" s="351">
        <v>-1.58502402494216</v>
      </c>
      <c r="Q27" s="348"/>
      <c r="R27" s="351">
        <v>-4.2949631261843</v>
      </c>
      <c r="S27" s="348"/>
      <c r="T27" s="351">
        <v>-5.56066203741943</v>
      </c>
      <c r="U27" s="348"/>
      <c r="V27" s="351">
        <v>-7.10604383049261</v>
      </c>
      <c r="W27" s="348"/>
      <c r="X27" s="351">
        <v>-8.30492022593583</v>
      </c>
    </row>
    <row r="28" ht="18" customHeight="1" spans="1:24">
      <c r="A28" s="349" t="s">
        <v>47</v>
      </c>
      <c r="B28" s="350" t="s">
        <v>17</v>
      </c>
      <c r="C28" s="348"/>
      <c r="D28" s="351">
        <v>-37.6</v>
      </c>
      <c r="E28" s="348"/>
      <c r="F28" s="351">
        <v>-25.2</v>
      </c>
      <c r="G28" s="348"/>
      <c r="H28" s="351">
        <v>-35.6</v>
      </c>
      <c r="I28" s="348"/>
      <c r="J28" s="351">
        <v>-31.9</v>
      </c>
      <c r="K28" s="348"/>
      <c r="L28" s="351">
        <v>-30</v>
      </c>
      <c r="M28" s="348"/>
      <c r="N28" s="351">
        <v>-28.7</v>
      </c>
      <c r="O28" s="348"/>
      <c r="P28" s="351">
        <v>-27</v>
      </c>
      <c r="Q28" s="348"/>
      <c r="R28" s="351">
        <v>-26.8</v>
      </c>
      <c r="S28" s="348"/>
      <c r="T28" s="351">
        <v>-25.2</v>
      </c>
      <c r="U28" s="348"/>
      <c r="V28" s="351">
        <v>-24.8</v>
      </c>
      <c r="W28" s="348"/>
      <c r="X28" s="351">
        <v>-24.1</v>
      </c>
    </row>
    <row r="29" ht="18" customHeight="1" spans="1:24">
      <c r="A29" s="349" t="s">
        <v>19</v>
      </c>
      <c r="B29" s="350" t="s">
        <v>17</v>
      </c>
      <c r="C29" s="348"/>
      <c r="D29" s="351">
        <v>-61.4</v>
      </c>
      <c r="E29" s="348"/>
      <c r="F29" s="351">
        <v>-59.5</v>
      </c>
      <c r="G29" s="348"/>
      <c r="H29" s="351">
        <v>-41.3</v>
      </c>
      <c r="I29" s="348"/>
      <c r="J29" s="351">
        <v>-39.8</v>
      </c>
      <c r="K29" s="348"/>
      <c r="L29" s="351">
        <v>-34.1</v>
      </c>
      <c r="M29" s="348"/>
      <c r="N29" s="351">
        <v>-36</v>
      </c>
      <c r="O29" s="348"/>
      <c r="P29" s="351">
        <v>-32.2</v>
      </c>
      <c r="Q29" s="348"/>
      <c r="R29" s="351">
        <v>-30.6</v>
      </c>
      <c r="S29" s="348"/>
      <c r="T29" s="351">
        <v>-19.6</v>
      </c>
      <c r="U29" s="348"/>
      <c r="V29" s="351">
        <v>-17.7</v>
      </c>
      <c r="W29" s="348"/>
      <c r="X29" s="351">
        <v>-20.9</v>
      </c>
    </row>
    <row r="30" ht="18" customHeight="1" spans="1:24">
      <c r="A30" s="349" t="s">
        <v>20</v>
      </c>
      <c r="B30" s="350" t="s">
        <v>17</v>
      </c>
      <c r="C30" s="348"/>
      <c r="D30" s="351">
        <v>12.7</v>
      </c>
      <c r="E30" s="348"/>
      <c r="F30" s="351">
        <v>0.6</v>
      </c>
      <c r="G30" s="348"/>
      <c r="H30" s="351">
        <v>9.2</v>
      </c>
      <c r="I30" s="348"/>
      <c r="J30" s="351">
        <v>4.9</v>
      </c>
      <c r="K30" s="348"/>
      <c r="L30" s="351">
        <v>0</v>
      </c>
      <c r="M30" s="348"/>
      <c r="N30" s="351">
        <v>-4.3</v>
      </c>
      <c r="O30" s="348"/>
      <c r="P30" s="351">
        <v>-8.8</v>
      </c>
      <c r="Q30" s="348"/>
      <c r="R30" s="351">
        <v>-10.7</v>
      </c>
      <c r="S30" s="348"/>
      <c r="T30" s="351">
        <v>-11.4</v>
      </c>
      <c r="U30" s="348"/>
      <c r="V30" s="351">
        <v>-12.5</v>
      </c>
      <c r="W30" s="348"/>
      <c r="X30" s="351">
        <v>-13.4</v>
      </c>
    </row>
    <row r="31" ht="18" customHeight="1" spans="1:24">
      <c r="A31" s="352" t="s">
        <v>22</v>
      </c>
      <c r="B31" s="353" t="s">
        <v>17</v>
      </c>
      <c r="C31" s="354"/>
      <c r="D31" s="355">
        <v>-29.6</v>
      </c>
      <c r="E31" s="354"/>
      <c r="F31" s="355">
        <v>19.9</v>
      </c>
      <c r="G31" s="354"/>
      <c r="H31" s="355">
        <v>9.5</v>
      </c>
      <c r="I31" s="354"/>
      <c r="J31" s="355">
        <v>5.8</v>
      </c>
      <c r="K31" s="354"/>
      <c r="L31" s="355">
        <v>3.4</v>
      </c>
      <c r="M31" s="354"/>
      <c r="N31" s="355">
        <v>-4</v>
      </c>
      <c r="O31" s="354"/>
      <c r="P31" s="355">
        <v>-4</v>
      </c>
      <c r="Q31" s="354"/>
      <c r="R31" s="355">
        <v>-6.1</v>
      </c>
      <c r="S31" s="354"/>
      <c r="T31" s="355">
        <v>-6.8</v>
      </c>
      <c r="U31" s="354"/>
      <c r="V31" s="355">
        <v>-7.8</v>
      </c>
      <c r="W31" s="354"/>
      <c r="X31" s="355">
        <v>-8</v>
      </c>
    </row>
    <row r="32" ht="34" customHeight="1" spans="1:24">
      <c r="A32" s="281" t="s">
        <v>48</v>
      </c>
      <c r="B32" s="281"/>
      <c r="C32" s="281"/>
      <c r="D32" s="281"/>
      <c r="E32" s="281"/>
      <c r="F32" s="281"/>
      <c r="G32" s="281"/>
      <c r="H32" s="281"/>
      <c r="I32" s="281"/>
      <c r="J32" s="281"/>
      <c r="K32" s="281"/>
      <c r="L32" s="281"/>
      <c r="M32" s="281"/>
      <c r="N32" s="281"/>
      <c r="O32" s="281"/>
      <c r="P32" s="281"/>
      <c r="Q32" s="281"/>
      <c r="R32" s="281"/>
      <c r="S32" s="281"/>
      <c r="T32" s="281"/>
      <c r="U32" s="281"/>
      <c r="V32" s="281"/>
      <c r="W32" s="281"/>
      <c r="X32" s="281"/>
    </row>
  </sheetData>
  <mergeCells count="26">
    <mergeCell ref="A1:X1"/>
    <mergeCell ref="C2:D2"/>
    <mergeCell ref="E2:F2"/>
    <mergeCell ref="G2:H2"/>
    <mergeCell ref="I2:J2"/>
    <mergeCell ref="K2:L2"/>
    <mergeCell ref="M2:N2"/>
    <mergeCell ref="O2:P2"/>
    <mergeCell ref="Q2:R2"/>
    <mergeCell ref="S2:T2"/>
    <mergeCell ref="U2:V2"/>
    <mergeCell ref="W2:X2"/>
    <mergeCell ref="C15:D15"/>
    <mergeCell ref="E15:F15"/>
    <mergeCell ref="G15:H15"/>
    <mergeCell ref="I15:J15"/>
    <mergeCell ref="K15:L15"/>
    <mergeCell ref="M15:N15"/>
    <mergeCell ref="O15:P15"/>
    <mergeCell ref="Q15:R15"/>
    <mergeCell ref="S15:T15"/>
    <mergeCell ref="U15:V15"/>
    <mergeCell ref="W15:X15"/>
    <mergeCell ref="A32:X32"/>
    <mergeCell ref="A2:A3"/>
    <mergeCell ref="B2:B3"/>
  </mergeCells>
  <printOptions horizontalCentered="1"/>
  <pageMargins left="0.748031496062992" right="0.748031496062992" top="0.551181102362205" bottom="0.748031496062992" header="0.511811023622047" footer="0.511811023622047"/>
  <pageSetup paperSize="9" orientation="portrait" horizontalDpi="600"/>
  <headerFooter alignWithMargins="0" scaleWithDoc="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FS29"/>
  <sheetViews>
    <sheetView zoomScale="80" zoomScaleNormal="80" workbookViewId="0">
      <pane xSplit="1" ySplit="3" topLeftCell="B4" activePane="bottomRight" state="frozen"/>
      <selection/>
      <selection pane="topRight"/>
      <selection pane="bottomLeft"/>
      <selection pane="bottomRight" activeCell="D30" sqref="D30"/>
    </sheetView>
  </sheetViews>
  <sheetFormatPr defaultColWidth="9" defaultRowHeight="14.25"/>
  <cols>
    <col min="1" max="1" width="40.4666666666667" style="166" customWidth="1"/>
    <col min="2" max="2" width="13.75" style="166" customWidth="1"/>
    <col min="3" max="7" width="10.7833333333333" style="166" customWidth="1"/>
    <col min="8" max="8" width="13.4333333333333" style="166" customWidth="1"/>
    <col min="9" max="9" width="9.99166666666667" style="166" customWidth="1"/>
    <col min="10" max="175" width="9" style="166"/>
    <col min="176" max="204" width="9" style="165"/>
    <col min="205" max="16384" width="9" style="180"/>
  </cols>
  <sheetData>
    <row r="1" s="165" customFormat="1" ht="35" customHeight="1" spans="1:175">
      <c r="A1" s="135" t="s">
        <v>434</v>
      </c>
      <c r="B1" s="135"/>
      <c r="C1" s="135"/>
      <c r="D1" s="135"/>
      <c r="E1" s="135"/>
      <c r="F1" s="135"/>
      <c r="G1" s="135"/>
      <c r="H1" s="135"/>
      <c r="I1" s="135"/>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66"/>
      <c r="AK1" s="166"/>
      <c r="AL1" s="166"/>
      <c r="AM1" s="166"/>
      <c r="AN1" s="166"/>
      <c r="AO1" s="166"/>
      <c r="AP1" s="166"/>
      <c r="AQ1" s="166"/>
      <c r="AR1" s="166"/>
      <c r="AS1" s="166"/>
      <c r="AT1" s="166"/>
      <c r="AU1" s="166"/>
      <c r="AV1" s="166"/>
      <c r="AW1" s="166"/>
      <c r="AX1" s="166"/>
      <c r="AY1" s="166"/>
      <c r="AZ1" s="166"/>
      <c r="BA1" s="166"/>
      <c r="BB1" s="166"/>
      <c r="BC1" s="166"/>
      <c r="BD1" s="166"/>
      <c r="BE1" s="166"/>
      <c r="BF1" s="166"/>
      <c r="BG1" s="166"/>
      <c r="BH1" s="166"/>
      <c r="BI1" s="166"/>
      <c r="BJ1" s="166"/>
      <c r="BK1" s="166"/>
      <c r="BL1" s="166"/>
      <c r="BM1" s="166"/>
      <c r="BN1" s="166"/>
      <c r="BO1" s="166"/>
      <c r="BP1" s="166"/>
      <c r="BQ1" s="166"/>
      <c r="BR1" s="166"/>
      <c r="BS1" s="166"/>
      <c r="BT1" s="166"/>
      <c r="BU1" s="166"/>
      <c r="BV1" s="166"/>
      <c r="BW1" s="166"/>
      <c r="BX1" s="166"/>
      <c r="BY1" s="166"/>
      <c r="BZ1" s="166"/>
      <c r="CA1" s="166"/>
      <c r="CB1" s="166"/>
      <c r="CC1" s="166"/>
      <c r="CD1" s="166"/>
      <c r="CE1" s="166"/>
      <c r="CF1" s="166"/>
      <c r="CG1" s="166"/>
      <c r="CH1" s="166"/>
      <c r="CI1" s="166"/>
      <c r="CJ1" s="166"/>
      <c r="CK1" s="166"/>
      <c r="CL1" s="166"/>
      <c r="CM1" s="166"/>
      <c r="CN1" s="166"/>
      <c r="CO1" s="166"/>
      <c r="CP1" s="166"/>
      <c r="CQ1" s="166"/>
      <c r="CR1" s="166"/>
      <c r="CS1" s="166"/>
      <c r="CT1" s="166"/>
      <c r="CU1" s="166"/>
      <c r="CV1" s="166"/>
      <c r="CW1" s="166"/>
      <c r="CX1" s="166"/>
      <c r="CY1" s="166"/>
      <c r="CZ1" s="166"/>
      <c r="DA1" s="166"/>
      <c r="DB1" s="166"/>
      <c r="DC1" s="166"/>
      <c r="DD1" s="166"/>
      <c r="DE1" s="166"/>
      <c r="DF1" s="166"/>
      <c r="DG1" s="166"/>
      <c r="DH1" s="166"/>
      <c r="DI1" s="166"/>
      <c r="DJ1" s="166"/>
      <c r="DK1" s="166"/>
      <c r="DL1" s="166"/>
      <c r="DM1" s="166"/>
      <c r="DN1" s="166"/>
      <c r="DO1" s="166"/>
      <c r="DP1" s="166"/>
      <c r="DQ1" s="166"/>
      <c r="DR1" s="166"/>
      <c r="DS1" s="166"/>
      <c r="DT1" s="166"/>
      <c r="DU1" s="166"/>
      <c r="DV1" s="166"/>
      <c r="DW1" s="166"/>
      <c r="DX1" s="166"/>
      <c r="DY1" s="166"/>
      <c r="DZ1" s="166"/>
      <c r="EA1" s="166"/>
      <c r="EB1" s="166"/>
      <c r="EC1" s="166"/>
      <c r="ED1" s="166"/>
      <c r="EE1" s="166"/>
      <c r="EF1" s="166"/>
      <c r="EG1" s="166"/>
      <c r="EH1" s="166"/>
      <c r="EI1" s="166"/>
      <c r="EJ1" s="166"/>
      <c r="EK1" s="166"/>
      <c r="EL1" s="166"/>
      <c r="EM1" s="166"/>
      <c r="EN1" s="166"/>
      <c r="EO1" s="166"/>
      <c r="EP1" s="166"/>
      <c r="EQ1" s="166"/>
      <c r="ER1" s="166"/>
      <c r="ES1" s="166"/>
      <c r="ET1" s="166"/>
      <c r="EU1" s="166"/>
      <c r="EV1" s="166"/>
      <c r="EW1" s="166"/>
      <c r="EX1" s="166"/>
      <c r="EY1" s="166"/>
      <c r="EZ1" s="166"/>
      <c r="FA1" s="166"/>
      <c r="FB1" s="166"/>
      <c r="FC1" s="166"/>
      <c r="FD1" s="166"/>
      <c r="FE1" s="166"/>
      <c r="FF1" s="166"/>
      <c r="FG1" s="166"/>
      <c r="FH1" s="166"/>
      <c r="FI1" s="166"/>
      <c r="FJ1" s="166"/>
      <c r="FK1" s="166"/>
      <c r="FL1" s="166"/>
      <c r="FM1" s="166"/>
      <c r="FN1" s="166"/>
      <c r="FO1" s="166"/>
      <c r="FP1" s="166"/>
      <c r="FQ1" s="166"/>
      <c r="FR1" s="166"/>
      <c r="FS1" s="166"/>
    </row>
    <row r="2" ht="21" customHeight="1" spans="1:175">
      <c r="A2" s="136" t="s">
        <v>1</v>
      </c>
      <c r="B2" s="137" t="s">
        <v>3</v>
      </c>
      <c r="C2" s="138"/>
      <c r="D2" s="137" t="s">
        <v>5</v>
      </c>
      <c r="E2" s="138"/>
      <c r="F2" s="137" t="s">
        <v>8</v>
      </c>
      <c r="G2" s="138"/>
      <c r="H2" s="137" t="s">
        <v>11</v>
      </c>
      <c r="I2" s="138"/>
    </row>
    <row r="3" ht="29" customHeight="1" spans="1:175">
      <c r="A3" s="139"/>
      <c r="B3" s="140" t="s">
        <v>14</v>
      </c>
      <c r="C3" s="141" t="s">
        <v>15</v>
      </c>
      <c r="D3" s="140" t="s">
        <v>14</v>
      </c>
      <c r="E3" s="141" t="s">
        <v>15</v>
      </c>
      <c r="F3" s="140" t="s">
        <v>14</v>
      </c>
      <c r="G3" s="141" t="s">
        <v>15</v>
      </c>
      <c r="H3" s="140" t="s">
        <v>14</v>
      </c>
      <c r="I3" s="141" t="s">
        <v>15</v>
      </c>
    </row>
    <row r="4" s="165" customFormat="1" ht="33" customHeight="1" spans="1:175">
      <c r="A4" s="142" t="s">
        <v>435</v>
      </c>
      <c r="B4" s="143"/>
      <c r="C4" s="144"/>
      <c r="D4" s="143"/>
      <c r="E4" s="144"/>
      <c r="F4" s="143"/>
      <c r="G4" s="144"/>
      <c r="H4" s="143"/>
      <c r="I4" s="144"/>
      <c r="J4" s="166"/>
      <c r="K4" s="166"/>
      <c r="L4" s="166"/>
      <c r="M4" s="166"/>
      <c r="N4" s="166"/>
      <c r="O4" s="166"/>
      <c r="P4" s="166"/>
      <c r="Q4" s="166"/>
      <c r="R4" s="166"/>
      <c r="S4" s="166"/>
      <c r="T4" s="166"/>
      <c r="U4" s="166"/>
      <c r="V4" s="166"/>
      <c r="W4" s="166"/>
      <c r="X4" s="166"/>
      <c r="Y4" s="166"/>
      <c r="Z4" s="166"/>
      <c r="AA4" s="166"/>
      <c r="AB4" s="166"/>
      <c r="AC4" s="166"/>
      <c r="AD4" s="166"/>
      <c r="AE4" s="166"/>
      <c r="AF4" s="166"/>
      <c r="AG4" s="166"/>
      <c r="AH4" s="166"/>
      <c r="AI4" s="166"/>
      <c r="AJ4" s="166"/>
      <c r="AK4" s="166"/>
      <c r="AL4" s="166"/>
      <c r="AM4" s="166"/>
      <c r="AN4" s="166"/>
      <c r="AO4" s="166"/>
      <c r="AP4" s="166"/>
      <c r="AQ4" s="166"/>
      <c r="AR4" s="166"/>
      <c r="AS4" s="166"/>
      <c r="AT4" s="166"/>
      <c r="AU4" s="166"/>
      <c r="AV4" s="166"/>
      <c r="AW4" s="166"/>
      <c r="AX4" s="166"/>
      <c r="AY4" s="166"/>
      <c r="AZ4" s="166"/>
      <c r="BA4" s="166"/>
      <c r="BB4" s="166"/>
      <c r="BC4" s="166"/>
      <c r="BD4" s="166"/>
      <c r="BE4" s="166"/>
      <c r="BF4" s="166"/>
      <c r="BG4" s="166"/>
      <c r="BH4" s="166"/>
      <c r="BI4" s="166"/>
      <c r="BJ4" s="166"/>
      <c r="BK4" s="166"/>
      <c r="BL4" s="166"/>
      <c r="BM4" s="166"/>
      <c r="BN4" s="166"/>
      <c r="BO4" s="166"/>
      <c r="BP4" s="166"/>
      <c r="BQ4" s="166"/>
      <c r="BR4" s="166"/>
      <c r="BS4" s="166"/>
      <c r="BT4" s="166"/>
      <c r="BU4" s="166"/>
      <c r="BV4" s="166"/>
      <c r="BW4" s="166"/>
      <c r="BX4" s="166"/>
      <c r="BY4" s="166"/>
      <c r="BZ4" s="166"/>
      <c r="CA4" s="166"/>
      <c r="CB4" s="166"/>
      <c r="CC4" s="166"/>
      <c r="CD4" s="166"/>
      <c r="CE4" s="166"/>
      <c r="CF4" s="166"/>
      <c r="CG4" s="166"/>
      <c r="CH4" s="166"/>
      <c r="CI4" s="166"/>
      <c r="CJ4" s="166"/>
      <c r="CK4" s="166"/>
      <c r="CL4" s="166"/>
      <c r="CM4" s="166"/>
      <c r="CN4" s="166"/>
      <c r="CO4" s="166"/>
      <c r="CP4" s="166"/>
      <c r="CQ4" s="166"/>
      <c r="CR4" s="166"/>
      <c r="CS4" s="166"/>
      <c r="CT4" s="166"/>
      <c r="CU4" s="166"/>
      <c r="CV4" s="166"/>
      <c r="CW4" s="166"/>
      <c r="CX4" s="166"/>
      <c r="CY4" s="166"/>
      <c r="CZ4" s="166"/>
      <c r="DA4" s="166"/>
      <c r="DB4" s="166"/>
      <c r="DC4" s="166"/>
      <c r="DD4" s="166"/>
      <c r="DE4" s="166"/>
      <c r="DF4" s="166"/>
      <c r="DG4" s="166"/>
      <c r="DH4" s="166"/>
      <c r="DI4" s="166"/>
      <c r="DJ4" s="166"/>
      <c r="DK4" s="166"/>
      <c r="DL4" s="166"/>
      <c r="DM4" s="166"/>
      <c r="DN4" s="166"/>
      <c r="DO4" s="166"/>
      <c r="DP4" s="166"/>
      <c r="DQ4" s="166"/>
      <c r="DR4" s="166"/>
      <c r="DS4" s="166"/>
      <c r="DT4" s="166"/>
      <c r="DU4" s="166"/>
      <c r="DV4" s="166"/>
      <c r="DW4" s="166"/>
      <c r="DX4" s="166"/>
      <c r="DY4" s="166"/>
      <c r="DZ4" s="166"/>
      <c r="EA4" s="166"/>
      <c r="EB4" s="166"/>
      <c r="EC4" s="166"/>
      <c r="ED4" s="166"/>
      <c r="EE4" s="166"/>
      <c r="EF4" s="166"/>
      <c r="EG4" s="166"/>
      <c r="EH4" s="166"/>
      <c r="EI4" s="166"/>
      <c r="EJ4" s="166"/>
      <c r="EK4" s="166"/>
      <c r="EL4" s="166"/>
      <c r="EM4" s="166"/>
      <c r="EN4" s="166"/>
      <c r="EO4" s="166"/>
      <c r="EP4" s="166"/>
      <c r="EQ4" s="166"/>
      <c r="ER4" s="166"/>
      <c r="ES4" s="166"/>
      <c r="ET4" s="166"/>
      <c r="EU4" s="166"/>
      <c r="EV4" s="166"/>
      <c r="EW4" s="166"/>
      <c r="EX4" s="166"/>
      <c r="EY4" s="166"/>
      <c r="EZ4" s="166"/>
      <c r="FA4" s="166"/>
      <c r="FB4" s="166"/>
      <c r="FC4" s="166"/>
      <c r="FD4" s="166"/>
      <c r="FE4" s="166"/>
      <c r="FF4" s="166"/>
      <c r="FG4" s="166"/>
      <c r="FH4" s="166"/>
      <c r="FI4" s="166"/>
      <c r="FJ4" s="166"/>
      <c r="FK4" s="166"/>
      <c r="FL4" s="166"/>
      <c r="FM4" s="166"/>
      <c r="FN4" s="166"/>
      <c r="FO4" s="166"/>
      <c r="FP4" s="166"/>
      <c r="FQ4" s="166"/>
      <c r="FR4" s="166"/>
      <c r="FS4" s="166"/>
    </row>
    <row r="5" s="165" customFormat="1" ht="22.5" customHeight="1" spans="1:175">
      <c r="A5" s="145" t="s">
        <v>430</v>
      </c>
      <c r="B5" s="146">
        <v>1237.23870515941</v>
      </c>
      <c r="C5" s="170">
        <v>-1.0396784690312</v>
      </c>
      <c r="D5" s="146">
        <v>284.811444019322</v>
      </c>
      <c r="E5" s="170">
        <v>0.534383769925896</v>
      </c>
      <c r="F5" s="146">
        <v>629.315949170763</v>
      </c>
      <c r="G5" s="170">
        <v>4.9377656638686</v>
      </c>
      <c r="H5" s="146">
        <v>965.035547838793</v>
      </c>
      <c r="I5" s="170">
        <v>4.71500000768295</v>
      </c>
      <c r="J5" s="166"/>
      <c r="K5" s="166"/>
      <c r="L5" s="166"/>
      <c r="M5" s="166"/>
      <c r="N5" s="166"/>
      <c r="O5" s="166"/>
      <c r="P5" s="166"/>
      <c r="Q5" s="166"/>
      <c r="R5" s="166"/>
      <c r="S5" s="166"/>
      <c r="T5" s="166"/>
      <c r="U5" s="166"/>
      <c r="V5" s="166"/>
      <c r="W5" s="166"/>
      <c r="X5" s="166"/>
      <c r="Y5" s="166"/>
      <c r="Z5" s="166"/>
      <c r="AA5" s="166"/>
      <c r="AB5" s="166"/>
      <c r="AC5" s="166"/>
      <c r="AD5" s="166"/>
      <c r="AE5" s="166"/>
      <c r="AF5" s="166"/>
      <c r="AG5" s="166"/>
      <c r="AH5" s="166"/>
      <c r="AI5" s="166"/>
      <c r="AJ5" s="166"/>
      <c r="AK5" s="166"/>
      <c r="AL5" s="166"/>
      <c r="AM5" s="166"/>
      <c r="AN5" s="166"/>
      <c r="AO5" s="166"/>
      <c r="AP5" s="166"/>
      <c r="AQ5" s="166"/>
      <c r="AR5" s="166"/>
      <c r="AS5" s="166"/>
      <c r="AT5" s="166"/>
      <c r="AU5" s="166"/>
      <c r="AV5" s="166"/>
      <c r="AW5" s="166"/>
      <c r="AX5" s="166"/>
      <c r="AY5" s="166"/>
      <c r="AZ5" s="166"/>
      <c r="BA5" s="166"/>
      <c r="BB5" s="166"/>
      <c r="BC5" s="166"/>
      <c r="BD5" s="166"/>
      <c r="BE5" s="166"/>
      <c r="BF5" s="166"/>
      <c r="BG5" s="166"/>
      <c r="BH5" s="166"/>
      <c r="BI5" s="166"/>
      <c r="BJ5" s="166"/>
      <c r="BK5" s="166"/>
      <c r="BL5" s="166"/>
      <c r="BM5" s="166"/>
      <c r="BN5" s="166"/>
      <c r="BO5" s="166"/>
      <c r="BP5" s="166"/>
      <c r="BQ5" s="166"/>
      <c r="BR5" s="166"/>
      <c r="BS5" s="166"/>
      <c r="BT5" s="166"/>
      <c r="BU5" s="166"/>
      <c r="BV5" s="166"/>
      <c r="BW5" s="166"/>
      <c r="BX5" s="166"/>
      <c r="BY5" s="166"/>
      <c r="BZ5" s="166"/>
      <c r="CA5" s="166"/>
      <c r="CB5" s="166"/>
      <c r="CC5" s="166"/>
      <c r="CD5" s="166"/>
      <c r="CE5" s="166"/>
      <c r="CF5" s="166"/>
      <c r="CG5" s="166"/>
      <c r="CH5" s="166"/>
      <c r="CI5" s="166"/>
      <c r="CJ5" s="166"/>
      <c r="CK5" s="166"/>
      <c r="CL5" s="166"/>
      <c r="CM5" s="166"/>
      <c r="CN5" s="166"/>
      <c r="CO5" s="166"/>
      <c r="CP5" s="166"/>
      <c r="CQ5" s="166"/>
      <c r="CR5" s="166"/>
      <c r="CS5" s="166"/>
      <c r="CT5" s="166"/>
      <c r="CU5" s="166"/>
      <c r="CV5" s="166"/>
      <c r="CW5" s="166"/>
      <c r="CX5" s="166"/>
      <c r="CY5" s="166"/>
      <c r="CZ5" s="166"/>
      <c r="DA5" s="166"/>
      <c r="DB5" s="166"/>
      <c r="DC5" s="166"/>
      <c r="DD5" s="166"/>
      <c r="DE5" s="166"/>
      <c r="DF5" s="166"/>
      <c r="DG5" s="166"/>
      <c r="DH5" s="166"/>
      <c r="DI5" s="166"/>
      <c r="DJ5" s="166"/>
      <c r="DK5" s="166"/>
      <c r="DL5" s="166"/>
      <c r="DM5" s="166"/>
      <c r="DN5" s="166"/>
      <c r="DO5" s="166"/>
      <c r="DP5" s="166"/>
      <c r="DQ5" s="166"/>
      <c r="DR5" s="166"/>
      <c r="DS5" s="166"/>
      <c r="DT5" s="166"/>
      <c r="DU5" s="166"/>
      <c r="DV5" s="166"/>
      <c r="DW5" s="166"/>
      <c r="DX5" s="166"/>
      <c r="DY5" s="166"/>
      <c r="DZ5" s="166"/>
      <c r="EA5" s="166"/>
      <c r="EB5" s="166"/>
      <c r="EC5" s="166"/>
      <c r="ED5" s="166"/>
      <c r="EE5" s="166"/>
      <c r="EF5" s="166"/>
      <c r="EG5" s="166"/>
      <c r="EH5" s="166"/>
      <c r="EI5" s="166"/>
      <c r="EJ5" s="166"/>
      <c r="EK5" s="166"/>
      <c r="EL5" s="166"/>
      <c r="EM5" s="166"/>
      <c r="EN5" s="166"/>
      <c r="EO5" s="166"/>
      <c r="EP5" s="166"/>
      <c r="EQ5" s="166"/>
      <c r="ER5" s="166"/>
      <c r="ES5" s="166"/>
      <c r="ET5" s="166"/>
      <c r="EU5" s="166"/>
      <c r="EV5" s="166"/>
      <c r="EW5" s="166"/>
      <c r="EX5" s="166"/>
      <c r="EY5" s="166"/>
      <c r="EZ5" s="166"/>
      <c r="FA5" s="166"/>
      <c r="FB5" s="166"/>
      <c r="FC5" s="166"/>
      <c r="FD5" s="166"/>
      <c r="FE5" s="166"/>
      <c r="FF5" s="166"/>
      <c r="FG5" s="166"/>
      <c r="FH5" s="166"/>
      <c r="FI5" s="166"/>
      <c r="FJ5" s="166"/>
      <c r="FK5" s="166"/>
      <c r="FL5" s="166"/>
      <c r="FM5" s="166"/>
      <c r="FN5" s="166"/>
      <c r="FO5" s="166"/>
      <c r="FP5" s="166"/>
      <c r="FQ5" s="166"/>
      <c r="FR5" s="166"/>
      <c r="FS5" s="166"/>
    </row>
    <row r="6" ht="22.5" customHeight="1" spans="1:175">
      <c r="A6" s="148" t="s">
        <v>90</v>
      </c>
      <c r="B6" s="146">
        <v>67.4802687337983</v>
      </c>
      <c r="C6" s="170">
        <v>-1.20247229134883</v>
      </c>
      <c r="D6" s="146">
        <v>15.3656094724642</v>
      </c>
      <c r="E6" s="170">
        <v>-1.7097917367085</v>
      </c>
      <c r="F6" s="146">
        <v>30.8217821186572</v>
      </c>
      <c r="G6" s="170">
        <v>1.13884463841516</v>
      </c>
      <c r="H6" s="146">
        <v>49.4198295511387</v>
      </c>
      <c r="I6" s="170">
        <v>-0.0291011067397875</v>
      </c>
    </row>
    <row r="7" ht="22.5" customHeight="1" spans="1:175">
      <c r="A7" s="148" t="s">
        <v>91</v>
      </c>
      <c r="B7" s="146">
        <v>192.637687959657</v>
      </c>
      <c r="C7" s="170">
        <v>7.45738427594394</v>
      </c>
      <c r="D7" s="146">
        <v>40.2126431523682</v>
      </c>
      <c r="E7" s="170">
        <v>3.43280623536002</v>
      </c>
      <c r="F7" s="146">
        <v>98.1550529292651</v>
      </c>
      <c r="G7" s="170">
        <v>1.74575763771803</v>
      </c>
      <c r="H7" s="146">
        <v>136.06866268841</v>
      </c>
      <c r="I7" s="170">
        <v>-1.62916281657111</v>
      </c>
    </row>
    <row r="8" ht="22.5" customHeight="1" spans="1:175">
      <c r="A8" s="148" t="s">
        <v>92</v>
      </c>
      <c r="B8" s="146">
        <v>235.384806457078</v>
      </c>
      <c r="C8" s="170">
        <v>-3.61376316548726</v>
      </c>
      <c r="D8" s="146">
        <v>61.840987409185</v>
      </c>
      <c r="E8" s="170">
        <v>-5.51414976500686</v>
      </c>
      <c r="F8" s="146">
        <v>142.023035482588</v>
      </c>
      <c r="G8" s="170">
        <v>4.47292130623549</v>
      </c>
      <c r="H8" s="146">
        <v>207.278691685231</v>
      </c>
      <c r="I8" s="170">
        <v>13.1406348371356</v>
      </c>
    </row>
    <row r="9" ht="22.5" customHeight="1" spans="1:175">
      <c r="A9" s="148" t="s">
        <v>93</v>
      </c>
      <c r="B9" s="146">
        <v>51.3431675585363</v>
      </c>
      <c r="C9" s="170">
        <v>-5.61174971251307</v>
      </c>
      <c r="D9" s="146">
        <v>9.08630580517574</v>
      </c>
      <c r="E9" s="170">
        <v>-23.7213134217137</v>
      </c>
      <c r="F9" s="146">
        <v>18.544515399573</v>
      </c>
      <c r="G9" s="170">
        <v>-26.6308372869568</v>
      </c>
      <c r="H9" s="146">
        <v>32.9316481129245</v>
      </c>
      <c r="I9" s="170">
        <v>-27.68035112496</v>
      </c>
    </row>
    <row r="10" ht="22.5" customHeight="1" spans="1:175">
      <c r="A10" s="148" t="s">
        <v>94</v>
      </c>
      <c r="B10" s="146">
        <v>73.138749746173</v>
      </c>
      <c r="C10" s="170">
        <v>-11.775439260951</v>
      </c>
      <c r="D10" s="146">
        <v>15.2794338013418</v>
      </c>
      <c r="E10" s="170">
        <v>-6.70379130124303</v>
      </c>
      <c r="F10" s="146">
        <v>33.0000999777616</v>
      </c>
      <c r="G10" s="170">
        <v>-3.93999931881616</v>
      </c>
      <c r="H10" s="146">
        <v>53.7530164388541</v>
      </c>
      <c r="I10" s="170">
        <v>-4.39976041985872</v>
      </c>
    </row>
    <row r="11" ht="22.5" customHeight="1" spans="1:175">
      <c r="A11" s="148" t="s">
        <v>95</v>
      </c>
      <c r="B11" s="146">
        <v>34.7525884651729</v>
      </c>
      <c r="C11" s="170">
        <v>6.06490645382016</v>
      </c>
      <c r="D11" s="146">
        <v>8.83087325218504</v>
      </c>
      <c r="E11" s="170">
        <v>2.21204594799448</v>
      </c>
      <c r="F11" s="146">
        <v>16.2100181598246</v>
      </c>
      <c r="G11" s="170">
        <v>3.48470571308724</v>
      </c>
      <c r="H11" s="146">
        <v>28.2375204624818</v>
      </c>
      <c r="I11" s="170">
        <v>5.8767927304979</v>
      </c>
    </row>
    <row r="12" ht="22.5" customHeight="1" spans="1:175">
      <c r="A12" s="148" t="s">
        <v>96</v>
      </c>
      <c r="B12" s="146">
        <v>58.5014870628167</v>
      </c>
      <c r="C12" s="170">
        <v>15.5769519048646</v>
      </c>
      <c r="D12" s="146">
        <v>11.2929422588142</v>
      </c>
      <c r="E12" s="170">
        <v>10.4545559807937</v>
      </c>
      <c r="F12" s="146">
        <v>32.7959300738366</v>
      </c>
      <c r="G12" s="170">
        <v>18.2766473489886</v>
      </c>
      <c r="H12" s="146">
        <v>55.194787410996</v>
      </c>
      <c r="I12" s="170">
        <v>14.3324888752096</v>
      </c>
    </row>
    <row r="13" ht="22.5" customHeight="1" spans="1:175">
      <c r="A13" s="148" t="s">
        <v>97</v>
      </c>
      <c r="B13" s="146">
        <v>59.673531392837</v>
      </c>
      <c r="C13" s="170">
        <v>-5.26385660647817</v>
      </c>
      <c r="D13" s="146">
        <v>12.4992420049953</v>
      </c>
      <c r="E13" s="170">
        <v>3.15270837783676</v>
      </c>
      <c r="F13" s="146">
        <v>28.6799192369203</v>
      </c>
      <c r="G13" s="170">
        <v>2.74023177235236</v>
      </c>
      <c r="H13" s="146">
        <v>49.9256969011892</v>
      </c>
      <c r="I13" s="170">
        <v>0.299409609406794</v>
      </c>
    </row>
    <row r="14" ht="22.5" customHeight="1" spans="1:175">
      <c r="A14" s="148" t="s">
        <v>98</v>
      </c>
      <c r="B14" s="146">
        <v>155.442372182873</v>
      </c>
      <c r="C14" s="170">
        <v>8.90063787913815</v>
      </c>
      <c r="D14" s="146">
        <v>25.0232849621839</v>
      </c>
      <c r="E14" s="170">
        <v>5.0376942791009</v>
      </c>
      <c r="F14" s="146">
        <v>55.282636621356</v>
      </c>
      <c r="G14" s="170">
        <v>-6.47040469535717</v>
      </c>
      <c r="H14" s="146">
        <v>91.5206537123202</v>
      </c>
      <c r="I14" s="170">
        <v>-6.43189851222762</v>
      </c>
    </row>
    <row r="15" ht="22.5" customHeight="1" spans="1:175">
      <c r="A15" s="148" t="s">
        <v>431</v>
      </c>
      <c r="B15" s="146">
        <v>477.757813899088</v>
      </c>
      <c r="C15" s="170">
        <v>-0.342915753860396</v>
      </c>
      <c r="D15" s="146">
        <v>127.493957102276</v>
      </c>
      <c r="E15" s="170">
        <v>3.89380375134982</v>
      </c>
      <c r="F15" s="146">
        <v>255.061211068469</v>
      </c>
      <c r="G15" s="170">
        <v>14.4569487468118</v>
      </c>
      <c r="H15" s="146">
        <v>386.296920336278</v>
      </c>
      <c r="I15" s="170">
        <v>10.6008120790999</v>
      </c>
    </row>
    <row r="16" ht="19.5" customHeight="1" spans="1:175">
      <c r="A16" s="148"/>
      <c r="B16" s="146"/>
      <c r="C16" s="147"/>
      <c r="D16" s="146"/>
      <c r="E16" s="147"/>
      <c r="F16" s="146"/>
      <c r="G16" s="147"/>
      <c r="H16" s="146"/>
      <c r="I16" s="147"/>
    </row>
    <row r="17" ht="33" customHeight="1" spans="1:9">
      <c r="A17" s="149" t="s">
        <v>436</v>
      </c>
      <c r="B17" s="146"/>
      <c r="C17" s="147"/>
      <c r="D17" s="146"/>
      <c r="E17" s="147"/>
      <c r="F17" s="146"/>
      <c r="G17" s="147"/>
      <c r="H17" s="146"/>
      <c r="I17" s="147"/>
    </row>
    <row r="18" ht="22.5" customHeight="1" spans="1:9">
      <c r="A18" s="145" t="s">
        <v>430</v>
      </c>
      <c r="B18" s="146">
        <v>1868.82001062911</v>
      </c>
      <c r="C18" s="147">
        <v>1.61886523565815</v>
      </c>
      <c r="D18" s="146">
        <v>460.43458794919</v>
      </c>
      <c r="E18" s="147">
        <v>4.56610725892594</v>
      </c>
      <c r="F18" s="146">
        <v>898.29</v>
      </c>
      <c r="G18" s="147">
        <v>5.55996972526999</v>
      </c>
      <c r="H18" s="146">
        <v>1384.26451263107</v>
      </c>
      <c r="I18" s="147">
        <v>5.24051343553356</v>
      </c>
    </row>
    <row r="19" ht="22.5" customHeight="1" spans="1:9">
      <c r="A19" s="148" t="s">
        <v>90</v>
      </c>
      <c r="B19" s="150">
        <v>312.503032065656</v>
      </c>
      <c r="C19" s="151">
        <v>0.746443330483132</v>
      </c>
      <c r="D19" s="150">
        <v>73.1820863520247</v>
      </c>
      <c r="E19" s="151">
        <v>4.34744147608515</v>
      </c>
      <c r="F19" s="150">
        <v>141.504400058013</v>
      </c>
      <c r="G19" s="151">
        <v>2.93452051574312</v>
      </c>
      <c r="H19" s="150">
        <v>217.369569354067</v>
      </c>
      <c r="I19" s="151">
        <v>3.50744968000647</v>
      </c>
    </row>
    <row r="20" ht="22.5" customHeight="1" spans="1:9">
      <c r="A20" s="148" t="s">
        <v>91</v>
      </c>
      <c r="B20" s="146">
        <v>267.612929333072</v>
      </c>
      <c r="C20" s="147">
        <v>0.125105031858581</v>
      </c>
      <c r="D20" s="146">
        <v>66.5200952253499</v>
      </c>
      <c r="E20" s="147">
        <v>4.36052765221397</v>
      </c>
      <c r="F20" s="146">
        <v>133.874624180596</v>
      </c>
      <c r="G20" s="147">
        <v>6.8447418543399</v>
      </c>
      <c r="H20" s="146">
        <v>209.719995227546</v>
      </c>
      <c r="I20" s="147">
        <v>8.20182696845053</v>
      </c>
    </row>
    <row r="21" ht="22.5" customHeight="1" spans="1:9">
      <c r="A21" s="148" t="s">
        <v>92</v>
      </c>
      <c r="B21" s="146">
        <v>142.103178548679</v>
      </c>
      <c r="C21" s="147">
        <v>5.90254628030928</v>
      </c>
      <c r="D21" s="146">
        <v>35.9883063936848</v>
      </c>
      <c r="E21" s="147">
        <v>7.97499275675659</v>
      </c>
      <c r="F21" s="146">
        <v>67.5532554799231</v>
      </c>
      <c r="G21" s="147">
        <v>6.35349494562874</v>
      </c>
      <c r="H21" s="146">
        <v>102.98386778045</v>
      </c>
      <c r="I21" s="147">
        <v>5.05465662695282</v>
      </c>
    </row>
    <row r="22" ht="22.5" customHeight="1" spans="1:9">
      <c r="A22" s="148" t="s">
        <v>93</v>
      </c>
      <c r="B22" s="146">
        <v>135.197913583164</v>
      </c>
      <c r="C22" s="147">
        <v>0.894214739191952</v>
      </c>
      <c r="D22" s="146">
        <v>34.1388147984065</v>
      </c>
      <c r="E22" s="147">
        <v>9.93155525704823</v>
      </c>
      <c r="F22" s="146">
        <v>65.9509274752885</v>
      </c>
      <c r="G22" s="147">
        <v>9.97865242738554</v>
      </c>
      <c r="H22" s="146">
        <v>101.116967553571</v>
      </c>
      <c r="I22" s="147">
        <v>9.51877569755051</v>
      </c>
    </row>
    <row r="23" ht="22.5" customHeight="1" spans="1:9">
      <c r="A23" s="148" t="s">
        <v>94</v>
      </c>
      <c r="B23" s="146">
        <v>199.384558230764</v>
      </c>
      <c r="C23" s="147">
        <v>5.41156382237151</v>
      </c>
      <c r="D23" s="146">
        <v>45.1290352281351</v>
      </c>
      <c r="E23" s="147">
        <v>4.22662022555407</v>
      </c>
      <c r="F23" s="146">
        <v>86.8157778859087</v>
      </c>
      <c r="G23" s="147">
        <v>4.18929226230085</v>
      </c>
      <c r="H23" s="146">
        <v>139.138788170389</v>
      </c>
      <c r="I23" s="147">
        <v>4.05652294800561</v>
      </c>
    </row>
    <row r="24" ht="22.5" customHeight="1" spans="1:9">
      <c r="A24" s="148" t="s">
        <v>95</v>
      </c>
      <c r="B24" s="146">
        <v>107.976991141467</v>
      </c>
      <c r="C24" s="147">
        <v>0.960077812307176</v>
      </c>
      <c r="D24" s="146">
        <v>27.3506522633994</v>
      </c>
      <c r="E24" s="147">
        <v>4.65517796932653</v>
      </c>
      <c r="F24" s="146">
        <v>50.6487120205668</v>
      </c>
      <c r="G24" s="147">
        <v>4.42021778659401</v>
      </c>
      <c r="H24" s="146">
        <v>75.3200171755897</v>
      </c>
      <c r="I24" s="147">
        <v>5.01436208968559</v>
      </c>
    </row>
    <row r="25" ht="22.5" customHeight="1" spans="1:9">
      <c r="A25" s="148" t="s">
        <v>96</v>
      </c>
      <c r="B25" s="146">
        <v>166.009375879916</v>
      </c>
      <c r="C25" s="147">
        <v>3.34047357717336</v>
      </c>
      <c r="D25" s="146">
        <v>45.0910048097092</v>
      </c>
      <c r="E25" s="147">
        <v>5.64622849627436</v>
      </c>
      <c r="F25" s="146">
        <v>81.7240392908436</v>
      </c>
      <c r="G25" s="147">
        <v>4.1473114707747</v>
      </c>
      <c r="H25" s="146">
        <v>126.765393229671</v>
      </c>
      <c r="I25" s="147">
        <v>4.09513232079213</v>
      </c>
    </row>
    <row r="26" ht="22.5" customHeight="1" spans="1:9">
      <c r="A26" s="148" t="s">
        <v>97</v>
      </c>
      <c r="B26" s="146">
        <v>200.887578346493</v>
      </c>
      <c r="C26" s="147">
        <v>0.224048303516412</v>
      </c>
      <c r="D26" s="146">
        <v>48.208479081996</v>
      </c>
      <c r="E26" s="147">
        <v>2.45301865451826</v>
      </c>
      <c r="F26" s="146">
        <v>98.3038938097236</v>
      </c>
      <c r="G26" s="147">
        <v>4.17640498666745</v>
      </c>
      <c r="H26" s="146">
        <v>147.997978218117</v>
      </c>
      <c r="I26" s="147">
        <v>4.62778793750425</v>
      </c>
    </row>
    <row r="27" ht="22.5" customHeight="1" spans="1:9">
      <c r="A27" s="148" t="s">
        <v>98</v>
      </c>
      <c r="B27" s="146">
        <v>276.112897448855</v>
      </c>
      <c r="C27" s="147">
        <v>1.4507764776757</v>
      </c>
      <c r="D27" s="146">
        <v>68.3690095737324</v>
      </c>
      <c r="E27" s="147">
        <v>4.70860824158954</v>
      </c>
      <c r="F27" s="146">
        <v>139.603548472858</v>
      </c>
      <c r="G27" s="147">
        <v>4.94175644347969</v>
      </c>
      <c r="H27" s="146">
        <v>212.388417781921</v>
      </c>
      <c r="I27" s="147">
        <v>5.81267254457696</v>
      </c>
    </row>
    <row r="28" ht="22.5" customHeight="1" spans="1:9">
      <c r="A28" s="152" t="s">
        <v>431</v>
      </c>
      <c r="B28" s="153">
        <v>224.755233733686</v>
      </c>
      <c r="C28" s="154">
        <v>0.874330379358469</v>
      </c>
      <c r="D28" s="153">
        <v>48.2507848130334</v>
      </c>
      <c r="E28" s="154">
        <v>4.62335852192209</v>
      </c>
      <c r="F28" s="153">
        <v>95.0880739924969</v>
      </c>
      <c r="G28" s="154">
        <v>3.83088496967714</v>
      </c>
      <c r="H28" s="153">
        <v>154.115200497183</v>
      </c>
      <c r="I28" s="154">
        <v>4.89262045752608</v>
      </c>
    </row>
    <row r="29" ht="44.25" customHeight="1" spans="1:9">
      <c r="A29" s="174" t="s">
        <v>433</v>
      </c>
      <c r="B29" s="174"/>
      <c r="C29" s="174"/>
      <c r="D29" s="174"/>
      <c r="E29" s="174"/>
      <c r="F29" s="174"/>
      <c r="G29" s="174"/>
      <c r="H29" s="174"/>
      <c r="I29" s="174"/>
    </row>
  </sheetData>
  <mergeCells count="7">
    <mergeCell ref="A1:I1"/>
    <mergeCell ref="B2:C2"/>
    <mergeCell ref="D2:E2"/>
    <mergeCell ref="F2:G2"/>
    <mergeCell ref="H2:I2"/>
    <mergeCell ref="A29:I29"/>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EQ29"/>
  <sheetViews>
    <sheetView zoomScale="80" zoomScaleNormal="80" workbookViewId="0">
      <pane xSplit="1" ySplit="3" topLeftCell="Q4" activePane="bottomRight" state="frozen"/>
      <selection/>
      <selection pane="topRight"/>
      <selection pane="bottomLeft"/>
      <selection pane="bottomRight" activeCell="B18" sqref="B18:B28"/>
    </sheetView>
  </sheetViews>
  <sheetFormatPr defaultColWidth="9" defaultRowHeight="14.25"/>
  <cols>
    <col min="1" max="1" width="30.15" style="166" customWidth="1"/>
    <col min="2" max="23" width="9.375" style="166"/>
    <col min="24" max="147" width="9" style="166"/>
    <col min="148" max="16384" width="9" style="165"/>
  </cols>
  <sheetData>
    <row r="1" s="165" customFormat="1" ht="28.5" customHeight="1" spans="1:147">
      <c r="A1" s="175" t="s">
        <v>437</v>
      </c>
      <c r="B1" s="175"/>
      <c r="C1" s="175"/>
      <c r="D1" s="175"/>
      <c r="E1" s="175"/>
      <c r="F1" s="175"/>
      <c r="G1" s="175"/>
      <c r="H1" s="175"/>
      <c r="I1" s="175"/>
      <c r="J1" s="175"/>
      <c r="K1" s="175"/>
      <c r="L1" s="175"/>
      <c r="M1" s="175"/>
      <c r="N1" s="175"/>
      <c r="O1" s="175"/>
      <c r="P1" s="175"/>
      <c r="Q1" s="175"/>
      <c r="R1" s="175"/>
      <c r="S1" s="175"/>
      <c r="T1" s="175"/>
      <c r="U1" s="175"/>
      <c r="V1" s="175"/>
      <c r="W1" s="175"/>
      <c r="X1" s="166"/>
      <c r="Y1" s="166"/>
      <c r="Z1" s="166"/>
      <c r="AA1" s="166"/>
      <c r="AB1" s="166"/>
      <c r="AC1" s="166"/>
      <c r="AD1" s="166"/>
      <c r="AE1" s="166"/>
      <c r="AF1" s="166"/>
      <c r="AG1" s="166"/>
      <c r="AH1" s="166"/>
      <c r="AI1" s="166"/>
      <c r="AJ1" s="166"/>
      <c r="AK1" s="166"/>
      <c r="AL1" s="166"/>
      <c r="AM1" s="166"/>
      <c r="AN1" s="166"/>
      <c r="AO1" s="166"/>
      <c r="AP1" s="166"/>
      <c r="AQ1" s="166"/>
      <c r="AR1" s="166"/>
      <c r="AS1" s="166"/>
      <c r="AT1" s="166"/>
      <c r="AU1" s="166"/>
      <c r="AV1" s="166"/>
      <c r="AW1" s="166"/>
      <c r="AX1" s="166"/>
      <c r="AY1" s="166"/>
      <c r="AZ1" s="166"/>
      <c r="BA1" s="166"/>
      <c r="BB1" s="166"/>
      <c r="BC1" s="166"/>
      <c r="BD1" s="166"/>
      <c r="BE1" s="166"/>
      <c r="BF1" s="166"/>
      <c r="BG1" s="166"/>
      <c r="BH1" s="166"/>
      <c r="BI1" s="166"/>
      <c r="BJ1" s="166"/>
      <c r="BK1" s="166"/>
      <c r="BL1" s="166"/>
      <c r="BM1" s="166"/>
      <c r="BN1" s="166"/>
      <c r="BO1" s="166"/>
      <c r="BP1" s="166"/>
      <c r="BQ1" s="166"/>
      <c r="BR1" s="166"/>
      <c r="BS1" s="166"/>
      <c r="BT1" s="166"/>
      <c r="BU1" s="166"/>
      <c r="BV1" s="166"/>
      <c r="BW1" s="166"/>
      <c r="BX1" s="166"/>
      <c r="BY1" s="166"/>
      <c r="BZ1" s="166"/>
      <c r="CA1" s="166"/>
      <c r="CB1" s="166"/>
      <c r="CC1" s="166"/>
      <c r="CD1" s="166"/>
      <c r="CE1" s="166"/>
      <c r="CF1" s="166"/>
      <c r="CG1" s="166"/>
      <c r="CH1" s="166"/>
      <c r="CI1" s="166"/>
      <c r="CJ1" s="166"/>
      <c r="CK1" s="166"/>
      <c r="CL1" s="166"/>
      <c r="CM1" s="166"/>
      <c r="CN1" s="166"/>
      <c r="CO1" s="166"/>
      <c r="CP1" s="166"/>
      <c r="CQ1" s="166"/>
      <c r="CR1" s="166"/>
      <c r="CS1" s="166"/>
      <c r="CT1" s="166"/>
      <c r="CU1" s="166"/>
      <c r="CV1" s="166"/>
      <c r="CW1" s="166"/>
      <c r="CX1" s="166"/>
      <c r="CY1" s="166"/>
      <c r="CZ1" s="166"/>
      <c r="DA1" s="166"/>
      <c r="DB1" s="166"/>
      <c r="DC1" s="166"/>
      <c r="DD1" s="166"/>
      <c r="DE1" s="166"/>
      <c r="DF1" s="166"/>
      <c r="DG1" s="166"/>
      <c r="DH1" s="166"/>
      <c r="DI1" s="166"/>
      <c r="DJ1" s="166"/>
      <c r="DK1" s="166"/>
      <c r="DL1" s="166"/>
      <c r="DM1" s="166"/>
      <c r="DN1" s="166"/>
      <c r="DO1" s="166"/>
      <c r="DP1" s="166"/>
      <c r="DQ1" s="166"/>
      <c r="DR1" s="166"/>
      <c r="DS1" s="166"/>
      <c r="DT1" s="166"/>
      <c r="DU1" s="166"/>
      <c r="DV1" s="166"/>
      <c r="DW1" s="166"/>
      <c r="DX1" s="166"/>
      <c r="DY1" s="166"/>
      <c r="DZ1" s="166"/>
      <c r="EA1" s="166"/>
      <c r="EB1" s="166"/>
      <c r="EC1" s="166"/>
      <c r="ED1" s="166"/>
      <c r="EE1" s="166"/>
      <c r="EF1" s="166"/>
      <c r="EG1" s="166"/>
      <c r="EH1" s="166"/>
      <c r="EI1" s="166"/>
      <c r="EJ1" s="166"/>
      <c r="EK1" s="166"/>
      <c r="EL1" s="166"/>
      <c r="EM1" s="166"/>
      <c r="EN1" s="166"/>
      <c r="EO1" s="166"/>
      <c r="EP1" s="166"/>
      <c r="EQ1" s="166"/>
    </row>
    <row r="2" ht="21" customHeight="1" spans="1:147">
      <c r="A2" s="136" t="s">
        <v>1</v>
      </c>
      <c r="B2" s="137" t="s">
        <v>3</v>
      </c>
      <c r="C2" s="138"/>
      <c r="D2" s="137" t="s">
        <v>4</v>
      </c>
      <c r="E2" s="138"/>
      <c r="F2" s="137" t="s">
        <v>5</v>
      </c>
      <c r="G2" s="138"/>
      <c r="H2" s="137" t="s">
        <v>6</v>
      </c>
      <c r="I2" s="138"/>
      <c r="J2" s="137" t="s">
        <v>7</v>
      </c>
      <c r="K2" s="138"/>
      <c r="L2" s="137" t="s">
        <v>8</v>
      </c>
      <c r="M2" s="138"/>
      <c r="N2" s="137" t="s">
        <v>9</v>
      </c>
      <c r="O2" s="138"/>
      <c r="P2" s="137" t="s">
        <v>10</v>
      </c>
      <c r="Q2" s="138"/>
      <c r="R2" s="137" t="s">
        <v>11</v>
      </c>
      <c r="S2" s="138"/>
      <c r="T2" s="137" t="s">
        <v>12</v>
      </c>
      <c r="U2" s="138"/>
      <c r="V2" s="137" t="s">
        <v>13</v>
      </c>
      <c r="W2" s="138"/>
    </row>
    <row r="3" ht="29" customHeight="1" spans="1:147">
      <c r="A3" s="139"/>
      <c r="B3" s="140" t="s">
        <v>14</v>
      </c>
      <c r="C3" s="141" t="s">
        <v>15</v>
      </c>
      <c r="D3" s="140" t="s">
        <v>14</v>
      </c>
      <c r="E3" s="141" t="s">
        <v>15</v>
      </c>
      <c r="F3" s="140" t="s">
        <v>14</v>
      </c>
      <c r="G3" s="141" t="s">
        <v>15</v>
      </c>
      <c r="H3" s="140" t="s">
        <v>14</v>
      </c>
      <c r="I3" s="141" t="s">
        <v>15</v>
      </c>
      <c r="J3" s="140" t="s">
        <v>14</v>
      </c>
      <c r="K3" s="141" t="s">
        <v>15</v>
      </c>
      <c r="L3" s="140" t="s">
        <v>14</v>
      </c>
      <c r="M3" s="141" t="s">
        <v>15</v>
      </c>
      <c r="N3" s="140" t="s">
        <v>14</v>
      </c>
      <c r="O3" s="141" t="s">
        <v>15</v>
      </c>
      <c r="P3" s="140" t="s">
        <v>14</v>
      </c>
      <c r="Q3" s="141" t="s">
        <v>15</v>
      </c>
      <c r="R3" s="140" t="s">
        <v>14</v>
      </c>
      <c r="S3" s="141" t="s">
        <v>15</v>
      </c>
      <c r="T3" s="140" t="s">
        <v>14</v>
      </c>
      <c r="U3" s="141" t="s">
        <v>15</v>
      </c>
      <c r="V3" s="140" t="s">
        <v>14</v>
      </c>
      <c r="W3" s="141" t="s">
        <v>15</v>
      </c>
    </row>
    <row r="4" s="165" customFormat="1" ht="33" customHeight="1" spans="1:147">
      <c r="A4" s="142" t="s">
        <v>438</v>
      </c>
      <c r="B4" s="167"/>
      <c r="C4" s="168"/>
      <c r="D4" s="167"/>
      <c r="E4" s="168"/>
      <c r="F4" s="167"/>
      <c r="G4" s="168"/>
      <c r="H4" s="167"/>
      <c r="I4" s="168"/>
      <c r="J4" s="167"/>
      <c r="K4" s="168"/>
      <c r="L4" s="167"/>
      <c r="M4" s="168"/>
      <c r="N4" s="167"/>
      <c r="O4" s="168"/>
      <c r="P4" s="167"/>
      <c r="Q4" s="168"/>
      <c r="R4" s="167"/>
      <c r="S4" s="168"/>
      <c r="T4" s="167"/>
      <c r="U4" s="168"/>
      <c r="V4" s="167"/>
      <c r="W4" s="168"/>
      <c r="X4" s="166"/>
      <c r="Y4" s="166"/>
      <c r="Z4" s="166"/>
      <c r="AA4" s="166"/>
      <c r="AB4" s="166"/>
      <c r="AC4" s="166"/>
      <c r="AD4" s="166"/>
      <c r="AE4" s="166"/>
      <c r="AF4" s="166"/>
      <c r="AG4" s="166"/>
      <c r="AH4" s="166"/>
      <c r="AI4" s="166"/>
      <c r="AJ4" s="166"/>
      <c r="AK4" s="166"/>
      <c r="AL4" s="166"/>
      <c r="AM4" s="166"/>
      <c r="AN4" s="166"/>
      <c r="AO4" s="166"/>
      <c r="AP4" s="166"/>
      <c r="AQ4" s="166"/>
      <c r="AR4" s="166"/>
      <c r="AS4" s="166"/>
      <c r="AT4" s="166"/>
      <c r="AU4" s="166"/>
      <c r="AV4" s="166"/>
      <c r="AW4" s="166"/>
      <c r="AX4" s="166"/>
      <c r="AY4" s="166"/>
      <c r="AZ4" s="166"/>
      <c r="BA4" s="166"/>
      <c r="BB4" s="166"/>
      <c r="BC4" s="166"/>
      <c r="BD4" s="166"/>
      <c r="BE4" s="166"/>
      <c r="BF4" s="166"/>
      <c r="BG4" s="166"/>
      <c r="BH4" s="166"/>
      <c r="BI4" s="166"/>
      <c r="BJ4" s="166"/>
      <c r="BK4" s="166"/>
      <c r="BL4" s="166"/>
      <c r="BM4" s="166"/>
      <c r="BN4" s="166"/>
      <c r="BO4" s="166"/>
      <c r="BP4" s="166"/>
      <c r="BQ4" s="166"/>
      <c r="BR4" s="166"/>
      <c r="BS4" s="166"/>
      <c r="BT4" s="166"/>
      <c r="BU4" s="166"/>
      <c r="BV4" s="166"/>
      <c r="BW4" s="166"/>
      <c r="BX4" s="166"/>
      <c r="BY4" s="166"/>
      <c r="BZ4" s="166"/>
      <c r="CA4" s="166"/>
      <c r="CB4" s="166"/>
      <c r="CC4" s="166"/>
      <c r="CD4" s="166"/>
      <c r="CE4" s="166"/>
      <c r="CF4" s="166"/>
      <c r="CG4" s="166"/>
      <c r="CH4" s="166"/>
      <c r="CI4" s="166"/>
      <c r="CJ4" s="166"/>
      <c r="CK4" s="166"/>
      <c r="CL4" s="166"/>
      <c r="CM4" s="166"/>
      <c r="CN4" s="166"/>
      <c r="CO4" s="166"/>
      <c r="CP4" s="166"/>
      <c r="CQ4" s="166"/>
      <c r="CR4" s="166"/>
      <c r="CS4" s="166"/>
      <c r="CT4" s="166"/>
      <c r="CU4" s="166"/>
      <c r="CV4" s="166"/>
      <c r="CW4" s="166"/>
      <c r="CX4" s="166"/>
      <c r="CY4" s="166"/>
      <c r="CZ4" s="166"/>
      <c r="DA4" s="166"/>
      <c r="DB4" s="166"/>
      <c r="DC4" s="166"/>
      <c r="DD4" s="166"/>
      <c r="DE4" s="166"/>
      <c r="DF4" s="166"/>
      <c r="DG4" s="166"/>
      <c r="DH4" s="166"/>
      <c r="DI4" s="166"/>
      <c r="DJ4" s="166"/>
      <c r="DK4" s="166"/>
      <c r="DL4" s="166"/>
      <c r="DM4" s="166"/>
      <c r="DN4" s="166"/>
      <c r="DO4" s="166"/>
      <c r="DP4" s="166"/>
      <c r="DQ4" s="166"/>
      <c r="DR4" s="166"/>
      <c r="DS4" s="166"/>
      <c r="DT4" s="166"/>
      <c r="DU4" s="166"/>
      <c r="DV4" s="166"/>
      <c r="DW4" s="166"/>
      <c r="DX4" s="166"/>
      <c r="DY4" s="166"/>
      <c r="DZ4" s="166"/>
      <c r="EA4" s="166"/>
      <c r="EB4" s="166"/>
      <c r="EC4" s="166"/>
      <c r="ED4" s="166"/>
      <c r="EE4" s="166"/>
      <c r="EF4" s="166"/>
      <c r="EG4" s="166"/>
      <c r="EH4" s="166"/>
      <c r="EI4" s="166"/>
      <c r="EJ4" s="166"/>
      <c r="EK4" s="166"/>
      <c r="EL4" s="166"/>
      <c r="EM4" s="166"/>
      <c r="EN4" s="166"/>
      <c r="EO4" s="166"/>
      <c r="EP4" s="166"/>
      <c r="EQ4" s="166"/>
    </row>
    <row r="5" s="165" customFormat="1" ht="22.5" customHeight="1" spans="1:147">
      <c r="A5" s="145" t="s">
        <v>430</v>
      </c>
      <c r="B5" s="169">
        <v>1170.18164817982</v>
      </c>
      <c r="C5" s="170">
        <v>2.667537891788</v>
      </c>
      <c r="D5" s="176" t="s">
        <v>18</v>
      </c>
      <c r="E5" s="177" t="s">
        <v>18</v>
      </c>
      <c r="F5" s="169">
        <v>244.15</v>
      </c>
      <c r="G5" s="170">
        <v>3</v>
      </c>
      <c r="H5" s="176" t="s">
        <v>18</v>
      </c>
      <c r="I5" s="177" t="s">
        <v>18</v>
      </c>
      <c r="J5" s="176" t="s">
        <v>18</v>
      </c>
      <c r="K5" s="177" t="s">
        <v>18</v>
      </c>
      <c r="L5" s="169">
        <v>529.455550291192</v>
      </c>
      <c r="M5" s="170">
        <v>4.38310307576801</v>
      </c>
      <c r="N5" s="176" t="s">
        <v>18</v>
      </c>
      <c r="O5" s="177" t="s">
        <v>18</v>
      </c>
      <c r="P5" s="176" t="s">
        <v>18</v>
      </c>
      <c r="Q5" s="177" t="s">
        <v>18</v>
      </c>
      <c r="R5" s="178">
        <v>786.195768</v>
      </c>
      <c r="S5" s="179">
        <v>4.791</v>
      </c>
      <c r="T5" s="176" t="s">
        <v>18</v>
      </c>
      <c r="U5" s="177" t="s">
        <v>18</v>
      </c>
      <c r="V5" s="176" t="s">
        <v>18</v>
      </c>
      <c r="W5" s="177" t="s">
        <v>18</v>
      </c>
      <c r="X5" s="166"/>
      <c r="Y5" s="166"/>
      <c r="Z5" s="166"/>
      <c r="AA5" s="166"/>
      <c r="AB5" s="166"/>
      <c r="AC5" s="166"/>
      <c r="AD5" s="166"/>
      <c r="AE5" s="166"/>
      <c r="AF5" s="166"/>
      <c r="AG5" s="166"/>
      <c r="AH5" s="166"/>
      <c r="AI5" s="166"/>
      <c r="AJ5" s="166"/>
      <c r="AK5" s="166"/>
      <c r="AL5" s="166"/>
      <c r="AM5" s="166"/>
      <c r="AN5" s="166"/>
      <c r="AO5" s="166"/>
      <c r="AP5" s="166"/>
      <c r="AQ5" s="166"/>
      <c r="AR5" s="166"/>
      <c r="AS5" s="166"/>
      <c r="AT5" s="166"/>
      <c r="AU5" s="166"/>
      <c r="AV5" s="166"/>
      <c r="AW5" s="166"/>
      <c r="AX5" s="166"/>
      <c r="AY5" s="166"/>
      <c r="AZ5" s="166"/>
      <c r="BA5" s="166"/>
      <c r="BB5" s="166"/>
      <c r="BC5" s="166"/>
      <c r="BD5" s="166"/>
      <c r="BE5" s="166"/>
      <c r="BF5" s="166"/>
      <c r="BG5" s="166"/>
      <c r="BH5" s="166"/>
      <c r="BI5" s="166"/>
      <c r="BJ5" s="166"/>
      <c r="BK5" s="166"/>
      <c r="BL5" s="166"/>
      <c r="BM5" s="166"/>
      <c r="BN5" s="166"/>
      <c r="BO5" s="166"/>
      <c r="BP5" s="166"/>
      <c r="BQ5" s="166"/>
      <c r="BR5" s="166"/>
      <c r="BS5" s="166"/>
      <c r="BT5" s="166"/>
      <c r="BU5" s="166"/>
      <c r="BV5" s="166"/>
      <c r="BW5" s="166"/>
      <c r="BX5" s="166"/>
      <c r="BY5" s="166"/>
      <c r="BZ5" s="166"/>
      <c r="CA5" s="166"/>
      <c r="CB5" s="166"/>
      <c r="CC5" s="166"/>
      <c r="CD5" s="166"/>
      <c r="CE5" s="166"/>
      <c r="CF5" s="166"/>
      <c r="CG5" s="166"/>
      <c r="CH5" s="166"/>
      <c r="CI5" s="166"/>
      <c r="CJ5" s="166"/>
      <c r="CK5" s="166"/>
      <c r="CL5" s="166"/>
      <c r="CM5" s="166"/>
      <c r="CN5" s="166"/>
      <c r="CO5" s="166"/>
      <c r="CP5" s="166"/>
      <c r="CQ5" s="166"/>
      <c r="CR5" s="166"/>
      <c r="CS5" s="166"/>
      <c r="CT5" s="166"/>
      <c r="CU5" s="166"/>
      <c r="CV5" s="166"/>
      <c r="CW5" s="166"/>
      <c r="CX5" s="166"/>
      <c r="CY5" s="166"/>
      <c r="CZ5" s="166"/>
      <c r="DA5" s="166"/>
      <c r="DB5" s="166"/>
      <c r="DC5" s="166"/>
      <c r="DD5" s="166"/>
      <c r="DE5" s="166"/>
      <c r="DF5" s="166"/>
      <c r="DG5" s="166"/>
      <c r="DH5" s="166"/>
      <c r="DI5" s="166"/>
      <c r="DJ5" s="166"/>
      <c r="DK5" s="166"/>
      <c r="DL5" s="166"/>
      <c r="DM5" s="166"/>
      <c r="DN5" s="166"/>
      <c r="DO5" s="166"/>
      <c r="DP5" s="166"/>
      <c r="DQ5" s="166"/>
      <c r="DR5" s="166"/>
      <c r="DS5" s="166"/>
      <c r="DT5" s="166"/>
      <c r="DU5" s="166"/>
      <c r="DV5" s="166"/>
      <c r="DW5" s="166"/>
      <c r="DX5" s="166"/>
      <c r="DY5" s="166"/>
      <c r="DZ5" s="166"/>
      <c r="EA5" s="166"/>
      <c r="EB5" s="166"/>
      <c r="EC5" s="166"/>
      <c r="ED5" s="166"/>
      <c r="EE5" s="166"/>
      <c r="EF5" s="166"/>
      <c r="EG5" s="166"/>
      <c r="EH5" s="166"/>
      <c r="EI5" s="166"/>
      <c r="EJ5" s="166"/>
      <c r="EK5" s="166"/>
      <c r="EL5" s="166"/>
      <c r="EM5" s="166"/>
      <c r="EN5" s="166"/>
      <c r="EO5" s="166"/>
      <c r="EP5" s="166"/>
      <c r="EQ5" s="166"/>
    </row>
    <row r="6" ht="22.5" customHeight="1" spans="1:147">
      <c r="A6" s="148" t="s">
        <v>90</v>
      </c>
      <c r="B6" s="169">
        <v>1.239386</v>
      </c>
      <c r="C6" s="170">
        <v>-24.7</v>
      </c>
      <c r="D6" s="176" t="s">
        <v>18</v>
      </c>
      <c r="E6" s="177" t="s">
        <v>18</v>
      </c>
      <c r="F6" s="169">
        <v>0.3</v>
      </c>
      <c r="G6" s="170">
        <v>-0.9</v>
      </c>
      <c r="H6" s="176" t="s">
        <v>18</v>
      </c>
      <c r="I6" s="177" t="s">
        <v>18</v>
      </c>
      <c r="J6" s="176" t="s">
        <v>18</v>
      </c>
      <c r="K6" s="177" t="s">
        <v>18</v>
      </c>
      <c r="L6" s="169">
        <v>0.580741</v>
      </c>
      <c r="M6" s="170">
        <v>0.00400000000000489</v>
      </c>
      <c r="N6" s="176" t="s">
        <v>18</v>
      </c>
      <c r="O6" s="177" t="s">
        <v>18</v>
      </c>
      <c r="P6" s="176" t="s">
        <v>18</v>
      </c>
      <c r="Q6" s="177" t="s">
        <v>18</v>
      </c>
      <c r="R6" s="178">
        <v>0.864493</v>
      </c>
      <c r="S6" s="179">
        <v>0.0460000000000065</v>
      </c>
      <c r="T6" s="176" t="s">
        <v>18</v>
      </c>
      <c r="U6" s="177" t="s">
        <v>18</v>
      </c>
      <c r="V6" s="176" t="s">
        <v>18</v>
      </c>
      <c r="W6" s="177" t="s">
        <v>18</v>
      </c>
    </row>
    <row r="7" ht="22.5" customHeight="1" spans="1:147">
      <c r="A7" s="148" t="s">
        <v>91</v>
      </c>
      <c r="B7" s="169">
        <v>5.533544</v>
      </c>
      <c r="C7" s="170">
        <v>2.7</v>
      </c>
      <c r="D7" s="176" t="s">
        <v>18</v>
      </c>
      <c r="E7" s="177" t="s">
        <v>18</v>
      </c>
      <c r="F7" s="169">
        <v>0.83</v>
      </c>
      <c r="G7" s="170">
        <v>3.4</v>
      </c>
      <c r="H7" s="176" t="s">
        <v>18</v>
      </c>
      <c r="I7" s="177" t="s">
        <v>18</v>
      </c>
      <c r="J7" s="176" t="s">
        <v>18</v>
      </c>
      <c r="K7" s="177" t="s">
        <v>18</v>
      </c>
      <c r="L7" s="169">
        <v>1.932237</v>
      </c>
      <c r="M7" s="170">
        <v>4.452</v>
      </c>
      <c r="N7" s="176" t="s">
        <v>18</v>
      </c>
      <c r="O7" s="177" t="s">
        <v>18</v>
      </c>
      <c r="P7" s="176" t="s">
        <v>18</v>
      </c>
      <c r="Q7" s="177" t="s">
        <v>18</v>
      </c>
      <c r="R7" s="178">
        <v>3.395152</v>
      </c>
      <c r="S7" s="179">
        <v>3.027</v>
      </c>
      <c r="T7" s="176" t="s">
        <v>18</v>
      </c>
      <c r="U7" s="177" t="s">
        <v>18</v>
      </c>
      <c r="V7" s="176" t="s">
        <v>18</v>
      </c>
      <c r="W7" s="177" t="s">
        <v>18</v>
      </c>
    </row>
    <row r="8" ht="22.5" customHeight="1" spans="1:147">
      <c r="A8" s="148" t="s">
        <v>92</v>
      </c>
      <c r="B8" s="169">
        <v>42.928843</v>
      </c>
      <c r="C8" s="170">
        <v>4.90000000000001</v>
      </c>
      <c r="D8" s="176" t="s">
        <v>18</v>
      </c>
      <c r="E8" s="177" t="s">
        <v>18</v>
      </c>
      <c r="F8" s="169">
        <v>8.23</v>
      </c>
      <c r="G8" s="170">
        <v>1.7</v>
      </c>
      <c r="H8" s="176" t="s">
        <v>18</v>
      </c>
      <c r="I8" s="177" t="s">
        <v>18</v>
      </c>
      <c r="J8" s="176" t="s">
        <v>18</v>
      </c>
      <c r="K8" s="177" t="s">
        <v>18</v>
      </c>
      <c r="L8" s="169">
        <v>17.8904600244522</v>
      </c>
      <c r="M8" s="170">
        <v>2.963970765938</v>
      </c>
      <c r="N8" s="176" t="s">
        <v>18</v>
      </c>
      <c r="O8" s="177" t="s">
        <v>18</v>
      </c>
      <c r="P8" s="176" t="s">
        <v>18</v>
      </c>
      <c r="Q8" s="177" t="s">
        <v>18</v>
      </c>
      <c r="R8" s="178">
        <v>28.505802</v>
      </c>
      <c r="S8" s="179">
        <v>3.032</v>
      </c>
      <c r="T8" s="176" t="s">
        <v>18</v>
      </c>
      <c r="U8" s="177" t="s">
        <v>18</v>
      </c>
      <c r="V8" s="176" t="s">
        <v>18</v>
      </c>
      <c r="W8" s="177" t="s">
        <v>18</v>
      </c>
    </row>
    <row r="9" ht="22.5" customHeight="1" spans="1:147">
      <c r="A9" s="148" t="s">
        <v>93</v>
      </c>
      <c r="B9" s="169">
        <v>53.052691</v>
      </c>
      <c r="C9" s="170">
        <v>4.40000000000001</v>
      </c>
      <c r="D9" s="176" t="s">
        <v>18</v>
      </c>
      <c r="E9" s="177" t="s">
        <v>18</v>
      </c>
      <c r="F9" s="169">
        <v>9.67</v>
      </c>
      <c r="G9" s="170">
        <v>2.5</v>
      </c>
      <c r="H9" s="176" t="s">
        <v>18</v>
      </c>
      <c r="I9" s="177" t="s">
        <v>18</v>
      </c>
      <c r="J9" s="176" t="s">
        <v>18</v>
      </c>
      <c r="K9" s="177" t="s">
        <v>18</v>
      </c>
      <c r="L9" s="169">
        <v>19.917072</v>
      </c>
      <c r="M9" s="170">
        <v>4.46299999999999</v>
      </c>
      <c r="N9" s="176" t="s">
        <v>18</v>
      </c>
      <c r="O9" s="177" t="s">
        <v>18</v>
      </c>
      <c r="P9" s="176" t="s">
        <v>18</v>
      </c>
      <c r="Q9" s="177" t="s">
        <v>18</v>
      </c>
      <c r="R9" s="178">
        <v>33.020856</v>
      </c>
      <c r="S9" s="179">
        <v>4.128</v>
      </c>
      <c r="T9" s="176" t="s">
        <v>18</v>
      </c>
      <c r="U9" s="177" t="s">
        <v>18</v>
      </c>
      <c r="V9" s="176" t="s">
        <v>18</v>
      </c>
      <c r="W9" s="177" t="s">
        <v>18</v>
      </c>
    </row>
    <row r="10" ht="22.5" customHeight="1" spans="1:147">
      <c r="A10" s="148" t="s">
        <v>94</v>
      </c>
      <c r="B10" s="169">
        <v>73.744446</v>
      </c>
      <c r="C10" s="170">
        <v>1.8</v>
      </c>
      <c r="D10" s="176" t="s">
        <v>18</v>
      </c>
      <c r="E10" s="177" t="s">
        <v>18</v>
      </c>
      <c r="F10" s="169">
        <v>14.16</v>
      </c>
      <c r="G10" s="170">
        <v>-0.4</v>
      </c>
      <c r="H10" s="176" t="s">
        <v>18</v>
      </c>
      <c r="I10" s="177" t="s">
        <v>18</v>
      </c>
      <c r="J10" s="176" t="s">
        <v>18</v>
      </c>
      <c r="K10" s="177" t="s">
        <v>18</v>
      </c>
      <c r="L10" s="169">
        <v>29.759088</v>
      </c>
      <c r="M10" s="170">
        <v>0.918000000000006</v>
      </c>
      <c r="N10" s="176" t="s">
        <v>18</v>
      </c>
      <c r="O10" s="177" t="s">
        <v>18</v>
      </c>
      <c r="P10" s="176" t="s">
        <v>18</v>
      </c>
      <c r="Q10" s="177" t="s">
        <v>18</v>
      </c>
      <c r="R10" s="178">
        <v>50.917191</v>
      </c>
      <c r="S10" s="179">
        <v>2.377</v>
      </c>
      <c r="T10" s="176" t="s">
        <v>18</v>
      </c>
      <c r="U10" s="177" t="s">
        <v>18</v>
      </c>
      <c r="V10" s="176" t="s">
        <v>18</v>
      </c>
      <c r="W10" s="177" t="s">
        <v>18</v>
      </c>
    </row>
    <row r="11" ht="22.5" customHeight="1" spans="1:147">
      <c r="A11" s="148" t="s">
        <v>95</v>
      </c>
      <c r="B11" s="169">
        <v>186.95368</v>
      </c>
      <c r="C11" s="170">
        <v>2</v>
      </c>
      <c r="D11" s="176" t="s">
        <v>18</v>
      </c>
      <c r="E11" s="177" t="s">
        <v>18</v>
      </c>
      <c r="F11" s="169">
        <v>44.78</v>
      </c>
      <c r="G11" s="170">
        <v>2.4</v>
      </c>
      <c r="H11" s="176" t="s">
        <v>18</v>
      </c>
      <c r="I11" s="177" t="s">
        <v>18</v>
      </c>
      <c r="J11" s="176" t="s">
        <v>18</v>
      </c>
      <c r="K11" s="177" t="s">
        <v>18</v>
      </c>
      <c r="L11" s="169">
        <v>103.511979</v>
      </c>
      <c r="M11" s="170">
        <v>3.374</v>
      </c>
      <c r="N11" s="176" t="s">
        <v>18</v>
      </c>
      <c r="O11" s="177" t="s">
        <v>18</v>
      </c>
      <c r="P11" s="176" t="s">
        <v>18</v>
      </c>
      <c r="Q11" s="177" t="s">
        <v>18</v>
      </c>
      <c r="R11" s="178">
        <v>137.12</v>
      </c>
      <c r="S11" s="179">
        <v>3.264</v>
      </c>
      <c r="T11" s="176" t="s">
        <v>18</v>
      </c>
      <c r="U11" s="177" t="s">
        <v>18</v>
      </c>
      <c r="V11" s="176" t="s">
        <v>18</v>
      </c>
      <c r="W11" s="177" t="s">
        <v>18</v>
      </c>
    </row>
    <row r="12" ht="22.5" customHeight="1" spans="1:147">
      <c r="A12" s="148" t="s">
        <v>96</v>
      </c>
      <c r="B12" s="169">
        <v>263.566885</v>
      </c>
      <c r="C12" s="170">
        <v>3.59999999999999</v>
      </c>
      <c r="D12" s="176" t="s">
        <v>18</v>
      </c>
      <c r="E12" s="177" t="s">
        <v>18</v>
      </c>
      <c r="F12" s="169">
        <v>64.56</v>
      </c>
      <c r="G12" s="170">
        <v>7.6</v>
      </c>
      <c r="H12" s="176" t="s">
        <v>18</v>
      </c>
      <c r="I12" s="177" t="s">
        <v>18</v>
      </c>
      <c r="J12" s="176" t="s">
        <v>18</v>
      </c>
      <c r="K12" s="177" t="s">
        <v>18</v>
      </c>
      <c r="L12" s="169">
        <v>123.906486</v>
      </c>
      <c r="M12" s="170">
        <v>7.52500000000001</v>
      </c>
      <c r="N12" s="176" t="s">
        <v>18</v>
      </c>
      <c r="O12" s="177" t="s">
        <v>18</v>
      </c>
      <c r="P12" s="176" t="s">
        <v>18</v>
      </c>
      <c r="Q12" s="177" t="s">
        <v>18</v>
      </c>
      <c r="R12" s="178">
        <v>173.87</v>
      </c>
      <c r="S12" s="179">
        <v>7.491</v>
      </c>
      <c r="T12" s="176" t="s">
        <v>18</v>
      </c>
      <c r="U12" s="177" t="s">
        <v>18</v>
      </c>
      <c r="V12" s="176" t="s">
        <v>18</v>
      </c>
      <c r="W12" s="177" t="s">
        <v>18</v>
      </c>
    </row>
    <row r="13" ht="22.5" customHeight="1" spans="1:147">
      <c r="A13" s="148" t="s">
        <v>97</v>
      </c>
      <c r="B13" s="169">
        <v>268.840595</v>
      </c>
      <c r="C13" s="170">
        <v>4.09999999999999</v>
      </c>
      <c r="D13" s="176" t="s">
        <v>18</v>
      </c>
      <c r="E13" s="177" t="s">
        <v>18</v>
      </c>
      <c r="F13" s="169">
        <v>51.29</v>
      </c>
      <c r="G13" s="170">
        <v>4.6</v>
      </c>
      <c r="H13" s="176" t="s">
        <v>18</v>
      </c>
      <c r="I13" s="177" t="s">
        <v>18</v>
      </c>
      <c r="J13" s="176" t="s">
        <v>18</v>
      </c>
      <c r="K13" s="177" t="s">
        <v>18</v>
      </c>
      <c r="L13" s="169">
        <v>106.980891</v>
      </c>
      <c r="M13" s="170">
        <v>8.373</v>
      </c>
      <c r="N13" s="176" t="s">
        <v>18</v>
      </c>
      <c r="O13" s="177" t="s">
        <v>18</v>
      </c>
      <c r="P13" s="176" t="s">
        <v>18</v>
      </c>
      <c r="Q13" s="177" t="s">
        <v>18</v>
      </c>
      <c r="R13" s="178">
        <v>169.39</v>
      </c>
      <c r="S13" s="179">
        <v>7.797</v>
      </c>
      <c r="T13" s="176" t="s">
        <v>18</v>
      </c>
      <c r="U13" s="177" t="s">
        <v>18</v>
      </c>
      <c r="V13" s="176" t="s">
        <v>18</v>
      </c>
      <c r="W13" s="177" t="s">
        <v>18</v>
      </c>
    </row>
    <row r="14" ht="22.5" customHeight="1" spans="1:147">
      <c r="A14" s="148" t="s">
        <v>98</v>
      </c>
      <c r="B14" s="169">
        <v>238.041099</v>
      </c>
      <c r="C14" s="170">
        <v>0.799999999999997</v>
      </c>
      <c r="D14" s="176" t="s">
        <v>18</v>
      </c>
      <c r="E14" s="177" t="s">
        <v>18</v>
      </c>
      <c r="F14" s="169">
        <v>41.28</v>
      </c>
      <c r="G14" s="170">
        <v>-2</v>
      </c>
      <c r="H14" s="176" t="s">
        <v>18</v>
      </c>
      <c r="I14" s="177" t="s">
        <v>18</v>
      </c>
      <c r="J14" s="176" t="s">
        <v>18</v>
      </c>
      <c r="K14" s="177" t="s">
        <v>18</v>
      </c>
      <c r="L14" s="169">
        <v>107.731168</v>
      </c>
      <c r="M14" s="170">
        <v>1.398</v>
      </c>
      <c r="N14" s="176" t="s">
        <v>18</v>
      </c>
      <c r="O14" s="177" t="s">
        <v>18</v>
      </c>
      <c r="P14" s="176" t="s">
        <v>18</v>
      </c>
      <c r="Q14" s="177" t="s">
        <v>18</v>
      </c>
      <c r="R14" s="178">
        <v>160.31</v>
      </c>
      <c r="S14" s="179">
        <v>2.146</v>
      </c>
      <c r="T14" s="176" t="s">
        <v>18</v>
      </c>
      <c r="U14" s="177" t="s">
        <v>18</v>
      </c>
      <c r="V14" s="176" t="s">
        <v>18</v>
      </c>
      <c r="W14" s="177" t="s">
        <v>18</v>
      </c>
    </row>
    <row r="15" ht="22.5" customHeight="1" spans="1:147">
      <c r="A15" s="148" t="s">
        <v>431</v>
      </c>
      <c r="B15" s="169">
        <v>36.280502</v>
      </c>
      <c r="C15" s="170">
        <v>7.7</v>
      </c>
      <c r="D15" s="176" t="s">
        <v>18</v>
      </c>
      <c r="E15" s="177" t="s">
        <v>18</v>
      </c>
      <c r="F15" s="169">
        <v>9.05</v>
      </c>
      <c r="G15" s="170">
        <v>3</v>
      </c>
      <c r="H15" s="176" t="s">
        <v>18</v>
      </c>
      <c r="I15" s="177" t="s">
        <v>18</v>
      </c>
      <c r="J15" s="176" t="s">
        <v>18</v>
      </c>
      <c r="K15" s="177" t="s">
        <v>18</v>
      </c>
      <c r="L15" s="169">
        <v>17.24544</v>
      </c>
      <c r="M15" s="170">
        <v>0.930999999999997</v>
      </c>
      <c r="N15" s="176" t="s">
        <v>18</v>
      </c>
      <c r="O15" s="177" t="s">
        <v>18</v>
      </c>
      <c r="P15" s="176" t="s">
        <v>18</v>
      </c>
      <c r="Q15" s="177" t="s">
        <v>18</v>
      </c>
      <c r="R15" s="178">
        <v>28.797798</v>
      </c>
      <c r="S15" s="179">
        <v>3.5</v>
      </c>
      <c r="T15" s="176" t="s">
        <v>18</v>
      </c>
      <c r="U15" s="177" t="s">
        <v>18</v>
      </c>
      <c r="V15" s="176" t="s">
        <v>18</v>
      </c>
      <c r="W15" s="177" t="s">
        <v>18</v>
      </c>
    </row>
    <row r="16" ht="19.5" customHeight="1" spans="1:147">
      <c r="A16" s="148"/>
      <c r="B16" s="169"/>
      <c r="C16" s="170"/>
      <c r="D16" s="169"/>
      <c r="E16" s="170"/>
      <c r="F16" s="169"/>
      <c r="G16" s="170"/>
      <c r="H16" s="169"/>
      <c r="I16" s="170"/>
      <c r="J16" s="169"/>
      <c r="K16" s="170"/>
      <c r="L16" s="169"/>
      <c r="M16" s="170"/>
      <c r="N16" s="169"/>
      <c r="O16" s="170"/>
      <c r="P16" s="169"/>
      <c r="Q16" s="170"/>
      <c r="R16" s="169"/>
      <c r="S16" s="170"/>
      <c r="T16" s="169"/>
      <c r="U16" s="170"/>
      <c r="V16" s="169"/>
      <c r="W16" s="170"/>
    </row>
    <row r="17" ht="33" customHeight="1" spans="1:147">
      <c r="A17" s="149" t="s">
        <v>439</v>
      </c>
      <c r="B17" s="169"/>
      <c r="C17" s="170"/>
      <c r="D17" s="169"/>
      <c r="E17" s="170"/>
      <c r="F17" s="169"/>
      <c r="G17" s="170"/>
      <c r="H17" s="169"/>
      <c r="I17" s="170"/>
      <c r="J17" s="169"/>
      <c r="K17" s="170"/>
      <c r="L17" s="169"/>
      <c r="M17" s="170"/>
      <c r="N17" s="169"/>
      <c r="O17" s="170"/>
      <c r="P17" s="169"/>
      <c r="Q17" s="170"/>
      <c r="R17" s="169"/>
      <c r="S17" s="170"/>
      <c r="T17" s="169"/>
      <c r="U17" s="170"/>
      <c r="V17" s="169"/>
      <c r="W17" s="170"/>
    </row>
    <row r="18" ht="22.5" customHeight="1" spans="1:147">
      <c r="A18" s="145" t="s">
        <v>430</v>
      </c>
      <c r="B18" s="169"/>
      <c r="C18" s="170">
        <v>-2.7</v>
      </c>
      <c r="D18" s="169"/>
      <c r="E18" s="170">
        <v>-1.5</v>
      </c>
      <c r="F18" s="169"/>
      <c r="G18" s="170">
        <v>-0.5</v>
      </c>
      <c r="H18" s="169"/>
      <c r="I18" s="170">
        <v>4.8</v>
      </c>
      <c r="J18" s="169"/>
      <c r="K18" s="170">
        <v>8.9</v>
      </c>
      <c r="L18" s="169"/>
      <c r="M18" s="170">
        <v>10.2</v>
      </c>
      <c r="N18" s="169"/>
      <c r="O18" s="170">
        <v>9.7</v>
      </c>
      <c r="P18" s="169"/>
      <c r="Q18" s="170">
        <v>8.8</v>
      </c>
      <c r="R18" s="169"/>
      <c r="S18" s="170">
        <v>10.4</v>
      </c>
      <c r="T18" s="169"/>
      <c r="U18" s="170">
        <v>10.3</v>
      </c>
      <c r="V18" s="169"/>
      <c r="W18" s="170">
        <v>10.5</v>
      </c>
    </row>
    <row r="19" ht="22.5" customHeight="1" spans="1:147">
      <c r="A19" s="148" t="s">
        <v>90</v>
      </c>
      <c r="B19" s="169"/>
      <c r="C19" s="170">
        <v>0.2</v>
      </c>
      <c r="D19" s="169"/>
      <c r="E19" s="170">
        <v>13.9</v>
      </c>
      <c r="F19" s="169"/>
      <c r="G19" s="170">
        <v>1.6</v>
      </c>
      <c r="H19" s="169"/>
      <c r="I19" s="170">
        <v>-1.8</v>
      </c>
      <c r="J19" s="169"/>
      <c r="K19" s="170">
        <v>-1.6</v>
      </c>
      <c r="L19" s="169"/>
      <c r="M19" s="170">
        <v>1.3</v>
      </c>
      <c r="N19" s="169"/>
      <c r="O19" s="170">
        <v>-2.8</v>
      </c>
      <c r="P19" s="169"/>
      <c r="Q19" s="170">
        <v>-6.2</v>
      </c>
      <c r="R19" s="169"/>
      <c r="S19" s="170">
        <v>2</v>
      </c>
      <c r="T19" s="169"/>
      <c r="U19" s="170">
        <v>-0.5</v>
      </c>
      <c r="V19" s="169"/>
      <c r="W19" s="170">
        <v>1.7</v>
      </c>
    </row>
    <row r="20" ht="22.5" customHeight="1" spans="1:147">
      <c r="A20" s="148" t="s">
        <v>91</v>
      </c>
      <c r="B20" s="169"/>
      <c r="C20" s="170">
        <v>17</v>
      </c>
      <c r="D20" s="169"/>
      <c r="E20" s="170">
        <v>-2.5</v>
      </c>
      <c r="F20" s="169"/>
      <c r="G20" s="170">
        <v>-6.8</v>
      </c>
      <c r="H20" s="169"/>
      <c r="I20" s="170">
        <v>-7.3</v>
      </c>
      <c r="J20" s="169"/>
      <c r="K20" s="170">
        <v>-5.8</v>
      </c>
      <c r="L20" s="169"/>
      <c r="M20" s="170">
        <v>-4.1</v>
      </c>
      <c r="N20" s="169"/>
      <c r="O20" s="170">
        <v>-3.4</v>
      </c>
      <c r="P20" s="169"/>
      <c r="Q20" s="170">
        <v>-3.4</v>
      </c>
      <c r="R20" s="169"/>
      <c r="S20" s="170">
        <v>-3.6</v>
      </c>
      <c r="T20" s="169"/>
      <c r="U20" s="170">
        <v>-3.3</v>
      </c>
      <c r="V20" s="169"/>
      <c r="W20" s="170">
        <v>-3.5</v>
      </c>
    </row>
    <row r="21" ht="22.5" customHeight="1" spans="1:147">
      <c r="A21" s="148" t="s">
        <v>92</v>
      </c>
      <c r="B21" s="169"/>
      <c r="C21" s="170">
        <v>-8.4</v>
      </c>
      <c r="D21" s="169"/>
      <c r="E21" s="170">
        <v>-13</v>
      </c>
      <c r="F21" s="169"/>
      <c r="G21" s="170">
        <v>-6</v>
      </c>
      <c r="H21" s="169"/>
      <c r="I21" s="170">
        <v>-1.2</v>
      </c>
      <c r="J21" s="169"/>
      <c r="K21" s="170">
        <v>5.2</v>
      </c>
      <c r="L21" s="169"/>
      <c r="M21" s="170">
        <v>7.7</v>
      </c>
      <c r="N21" s="169"/>
      <c r="O21" s="170">
        <v>9.8</v>
      </c>
      <c r="P21" s="169"/>
      <c r="Q21" s="170">
        <v>12</v>
      </c>
      <c r="R21" s="169"/>
      <c r="S21" s="170">
        <v>18.3</v>
      </c>
      <c r="T21" s="169"/>
      <c r="U21" s="170">
        <v>21</v>
      </c>
      <c r="V21" s="169"/>
      <c r="W21" s="170">
        <v>24.1</v>
      </c>
    </row>
    <row r="22" ht="22.5" customHeight="1" spans="1:147">
      <c r="A22" s="148" t="s">
        <v>93</v>
      </c>
      <c r="B22" s="169"/>
      <c r="C22" s="171">
        <v>-4.3</v>
      </c>
      <c r="D22" s="169"/>
      <c r="E22" s="171">
        <v>-57.2</v>
      </c>
      <c r="F22" s="169"/>
      <c r="G22" s="171">
        <v>-58.2</v>
      </c>
      <c r="H22" s="169"/>
      <c r="I22" s="171">
        <v>-59.1</v>
      </c>
      <c r="J22" s="169"/>
      <c r="K22" s="171">
        <v>-59.4</v>
      </c>
      <c r="L22" s="169"/>
      <c r="M22" s="171">
        <v>-61.5</v>
      </c>
      <c r="N22" s="169"/>
      <c r="O22" s="171">
        <v>-60.1</v>
      </c>
      <c r="P22" s="169"/>
      <c r="Q22" s="171">
        <v>-60.3</v>
      </c>
      <c r="R22" s="169"/>
      <c r="S22" s="171">
        <v>-60.4</v>
      </c>
      <c r="T22" s="169"/>
      <c r="U22" s="171">
        <v>-60.6</v>
      </c>
      <c r="V22" s="169"/>
      <c r="W22" s="171">
        <v>-58.7</v>
      </c>
    </row>
    <row r="23" ht="22.5" customHeight="1" spans="1:147">
      <c r="A23" s="148" t="s">
        <v>94</v>
      </c>
      <c r="B23" s="169"/>
      <c r="C23" s="171">
        <v>0.1</v>
      </c>
      <c r="D23" s="169"/>
      <c r="E23" s="171">
        <v>-3.1</v>
      </c>
      <c r="F23" s="169"/>
      <c r="G23" s="171">
        <v>4</v>
      </c>
      <c r="H23" s="169"/>
      <c r="I23" s="171">
        <v>3.6</v>
      </c>
      <c r="J23" s="169"/>
      <c r="K23" s="171">
        <v>2.2</v>
      </c>
      <c r="L23" s="169"/>
      <c r="M23" s="171">
        <v>1.4</v>
      </c>
      <c r="N23" s="169"/>
      <c r="O23" s="171">
        <v>0.3</v>
      </c>
      <c r="P23" s="169"/>
      <c r="Q23" s="171">
        <v>-6.1</v>
      </c>
      <c r="R23" s="169"/>
      <c r="S23" s="171">
        <v>0.8</v>
      </c>
      <c r="T23" s="169"/>
      <c r="U23" s="171">
        <v>-0.3</v>
      </c>
      <c r="V23" s="169"/>
      <c r="W23" s="171">
        <v>0.5</v>
      </c>
    </row>
    <row r="24" ht="22.5" customHeight="1" spans="1:147">
      <c r="A24" s="148" t="s">
        <v>95</v>
      </c>
      <c r="B24" s="169"/>
      <c r="C24" s="171">
        <v>13.3</v>
      </c>
      <c r="D24" s="169"/>
      <c r="E24" s="171">
        <v>11.6</v>
      </c>
      <c r="F24" s="169"/>
      <c r="G24" s="171">
        <v>1.4</v>
      </c>
      <c r="H24" s="169"/>
      <c r="I24" s="171">
        <v>-8.2</v>
      </c>
      <c r="J24" s="169"/>
      <c r="K24" s="171">
        <v>-5</v>
      </c>
      <c r="L24" s="169"/>
      <c r="M24" s="171">
        <v>-0.3</v>
      </c>
      <c r="N24" s="169"/>
      <c r="O24" s="171">
        <v>-6.2</v>
      </c>
      <c r="P24" s="169"/>
      <c r="Q24" s="171">
        <v>-0.1</v>
      </c>
      <c r="R24" s="169"/>
      <c r="S24" s="171">
        <v>3.1</v>
      </c>
      <c r="T24" s="169"/>
      <c r="U24" s="171">
        <v>-1.7</v>
      </c>
      <c r="V24" s="169"/>
      <c r="W24" s="171">
        <v>1.7</v>
      </c>
    </row>
    <row r="25" ht="22.5" customHeight="1" spans="1:147">
      <c r="A25" s="148" t="s">
        <v>96</v>
      </c>
      <c r="B25" s="169"/>
      <c r="C25" s="171">
        <v>31.5</v>
      </c>
      <c r="D25" s="169"/>
      <c r="E25" s="171">
        <v>145.3</v>
      </c>
      <c r="F25" s="169"/>
      <c r="G25" s="171">
        <v>137.9</v>
      </c>
      <c r="H25" s="169"/>
      <c r="I25" s="171">
        <v>130.3</v>
      </c>
      <c r="J25" s="169"/>
      <c r="K25" s="171">
        <v>127.3</v>
      </c>
      <c r="L25" s="169"/>
      <c r="M25" s="171">
        <v>126</v>
      </c>
      <c r="N25" s="169"/>
      <c r="O25" s="171">
        <v>119.9</v>
      </c>
      <c r="P25" s="169"/>
      <c r="Q25" s="171">
        <v>116.6</v>
      </c>
      <c r="R25" s="169"/>
      <c r="S25" s="171">
        <v>109.3</v>
      </c>
      <c r="T25" s="169"/>
      <c r="U25" s="171">
        <v>92.7</v>
      </c>
      <c r="V25" s="169"/>
      <c r="W25" s="171">
        <v>75.3</v>
      </c>
    </row>
    <row r="26" ht="22.5" customHeight="1" spans="1:147">
      <c r="A26" s="148" t="s">
        <v>97</v>
      </c>
      <c r="B26" s="169"/>
      <c r="C26" s="171">
        <v>-2.1</v>
      </c>
      <c r="D26" s="169"/>
      <c r="E26" s="171">
        <v>15.4</v>
      </c>
      <c r="F26" s="169"/>
      <c r="G26" s="171">
        <v>12.8</v>
      </c>
      <c r="H26" s="169"/>
      <c r="I26" s="171">
        <v>11.5</v>
      </c>
      <c r="J26" s="169"/>
      <c r="K26" s="171">
        <v>10.6</v>
      </c>
      <c r="L26" s="169"/>
      <c r="M26" s="171">
        <v>10.6</v>
      </c>
      <c r="N26" s="169"/>
      <c r="O26" s="171">
        <v>8</v>
      </c>
      <c r="P26" s="169"/>
      <c r="Q26" s="171">
        <v>6.4</v>
      </c>
      <c r="R26" s="169"/>
      <c r="S26" s="171">
        <v>6</v>
      </c>
      <c r="T26" s="169"/>
      <c r="U26" s="171">
        <v>4.7</v>
      </c>
      <c r="V26" s="169"/>
      <c r="W26" s="171">
        <v>3</v>
      </c>
    </row>
    <row r="27" ht="22.5" customHeight="1" spans="1:147">
      <c r="A27" s="148" t="s">
        <v>98</v>
      </c>
      <c r="B27" s="169"/>
      <c r="C27" s="171">
        <v>0.1</v>
      </c>
      <c r="D27" s="169"/>
      <c r="E27" s="171">
        <v>3.3</v>
      </c>
      <c r="F27" s="169"/>
      <c r="G27" s="171">
        <v>1.6</v>
      </c>
      <c r="H27" s="169"/>
      <c r="I27" s="171">
        <v>-2.6</v>
      </c>
      <c r="J27" s="169"/>
      <c r="K27" s="171">
        <v>-2.9</v>
      </c>
      <c r="L27" s="169"/>
      <c r="M27" s="171">
        <v>-5</v>
      </c>
      <c r="N27" s="169"/>
      <c r="O27" s="171">
        <v>-6.5</v>
      </c>
      <c r="P27" s="169"/>
      <c r="Q27" s="171">
        <v>-7.9</v>
      </c>
      <c r="R27" s="169"/>
      <c r="S27" s="171">
        <v>-8.9</v>
      </c>
      <c r="T27" s="169"/>
      <c r="U27" s="171">
        <v>-10.2</v>
      </c>
      <c r="V27" s="169"/>
      <c r="W27" s="171">
        <v>-10.3</v>
      </c>
    </row>
    <row r="28" ht="22.5" customHeight="1" spans="1:147">
      <c r="A28" s="152" t="s">
        <v>431</v>
      </c>
      <c r="B28" s="172"/>
      <c r="C28" s="173">
        <v>-1.7</v>
      </c>
      <c r="D28" s="172"/>
      <c r="E28" s="173">
        <v>2.6</v>
      </c>
      <c r="F28" s="172"/>
      <c r="G28" s="173">
        <v>3.5</v>
      </c>
      <c r="H28" s="172"/>
      <c r="I28" s="173">
        <v>15.3</v>
      </c>
      <c r="J28" s="172"/>
      <c r="K28" s="173">
        <v>20.1</v>
      </c>
      <c r="L28" s="172"/>
      <c r="M28" s="173">
        <v>20.4</v>
      </c>
      <c r="N28" s="172"/>
      <c r="O28" s="173">
        <v>17.8</v>
      </c>
      <c r="P28" s="172"/>
      <c r="Q28" s="173">
        <v>14.8</v>
      </c>
      <c r="R28" s="172"/>
      <c r="S28" s="173">
        <v>12.9</v>
      </c>
      <c r="T28" s="172"/>
      <c r="U28" s="173">
        <v>11.9</v>
      </c>
      <c r="V28" s="172"/>
      <c r="W28" s="173">
        <v>10.2</v>
      </c>
    </row>
    <row r="29" s="165" customFormat="1" ht="64" customHeight="1" spans="1:147">
      <c r="A29" s="174" t="s">
        <v>440</v>
      </c>
      <c r="B29" s="174"/>
      <c r="C29" s="174"/>
      <c r="D29" s="174"/>
      <c r="E29" s="174"/>
      <c r="F29" s="174"/>
      <c r="G29" s="174"/>
      <c r="H29" s="174"/>
      <c r="I29" s="174"/>
      <c r="J29" s="174"/>
      <c r="K29" s="174"/>
      <c r="L29" s="174"/>
      <c r="M29" s="174"/>
      <c r="N29" s="174"/>
      <c r="O29" s="174"/>
      <c r="P29" s="174"/>
      <c r="Q29" s="174"/>
      <c r="R29" s="174"/>
      <c r="S29" s="174"/>
      <c r="T29" s="174"/>
      <c r="U29" s="174"/>
      <c r="V29" s="174"/>
      <c r="W29" s="174"/>
      <c r="X29" s="166"/>
      <c r="Y29" s="166"/>
      <c r="Z29" s="166"/>
      <c r="AA29" s="166"/>
      <c r="AB29" s="166"/>
      <c r="AC29" s="166"/>
      <c r="AD29" s="166"/>
      <c r="AE29" s="166"/>
      <c r="AF29" s="166"/>
      <c r="AG29" s="166"/>
      <c r="AH29" s="166"/>
      <c r="AI29" s="166"/>
      <c r="AJ29" s="166"/>
      <c r="AK29" s="166"/>
      <c r="AL29" s="166"/>
      <c r="AM29" s="166"/>
      <c r="AN29" s="166"/>
      <c r="AO29" s="166"/>
      <c r="AP29" s="166"/>
      <c r="AQ29" s="166"/>
      <c r="AR29" s="166"/>
      <c r="AS29" s="166"/>
      <c r="AT29" s="166"/>
      <c r="AU29" s="166"/>
      <c r="AV29" s="166"/>
      <c r="AW29" s="166"/>
      <c r="AX29" s="166"/>
      <c r="AY29" s="166"/>
      <c r="AZ29" s="166"/>
      <c r="BA29" s="166"/>
      <c r="BB29" s="166"/>
      <c r="BC29" s="166"/>
      <c r="BD29" s="166"/>
      <c r="BE29" s="166"/>
      <c r="BF29" s="166"/>
      <c r="BG29" s="166"/>
      <c r="BH29" s="166"/>
      <c r="BI29" s="166"/>
      <c r="BJ29" s="166"/>
      <c r="BK29" s="166"/>
      <c r="BL29" s="166"/>
      <c r="BM29" s="166"/>
      <c r="BN29" s="166"/>
      <c r="BO29" s="166"/>
      <c r="BP29" s="166"/>
      <c r="BQ29" s="166"/>
      <c r="BR29" s="166"/>
      <c r="BS29" s="166"/>
      <c r="BT29" s="166"/>
      <c r="BU29" s="166"/>
      <c r="BV29" s="166"/>
      <c r="BW29" s="166"/>
      <c r="BX29" s="166"/>
      <c r="BY29" s="166"/>
      <c r="BZ29" s="166"/>
      <c r="CA29" s="166"/>
      <c r="CB29" s="166"/>
      <c r="CC29" s="166"/>
      <c r="CD29" s="166"/>
      <c r="CE29" s="166"/>
      <c r="CF29" s="166"/>
      <c r="CG29" s="166"/>
      <c r="CH29" s="166"/>
      <c r="CI29" s="166"/>
      <c r="CJ29" s="166"/>
      <c r="CK29" s="166"/>
      <c r="CL29" s="166"/>
      <c r="CM29" s="166"/>
      <c r="CN29" s="166"/>
      <c r="CO29" s="166"/>
      <c r="CP29" s="166"/>
      <c r="CQ29" s="166"/>
      <c r="CR29" s="166"/>
      <c r="CS29" s="166"/>
      <c r="CT29" s="166"/>
      <c r="CU29" s="166"/>
      <c r="CV29" s="166"/>
      <c r="CW29" s="166"/>
      <c r="CX29" s="166"/>
      <c r="CY29" s="166"/>
      <c r="CZ29" s="166"/>
      <c r="DA29" s="166"/>
      <c r="DB29" s="166"/>
      <c r="DC29" s="166"/>
      <c r="DD29" s="166"/>
      <c r="DE29" s="166"/>
      <c r="DF29" s="166"/>
      <c r="DG29" s="166"/>
      <c r="DH29" s="166"/>
      <c r="DI29" s="166"/>
      <c r="DJ29" s="166"/>
      <c r="DK29" s="166"/>
      <c r="DL29" s="166"/>
      <c r="DM29" s="166"/>
      <c r="DN29" s="166"/>
      <c r="DO29" s="166"/>
      <c r="DP29" s="166"/>
      <c r="DQ29" s="166"/>
      <c r="DR29" s="166"/>
      <c r="DS29" s="166"/>
      <c r="DT29" s="166"/>
      <c r="DU29" s="166"/>
      <c r="DV29" s="166"/>
      <c r="DW29" s="166"/>
      <c r="DX29" s="166"/>
      <c r="DY29" s="166"/>
      <c r="DZ29" s="166"/>
      <c r="EA29" s="166"/>
      <c r="EB29" s="166"/>
      <c r="EC29" s="166"/>
      <c r="ED29" s="166"/>
      <c r="EE29" s="166"/>
      <c r="EF29" s="166"/>
      <c r="EG29" s="166"/>
      <c r="EH29" s="166"/>
      <c r="EI29" s="166"/>
      <c r="EJ29" s="166"/>
      <c r="EK29" s="166"/>
      <c r="EL29" s="166"/>
      <c r="EM29" s="166"/>
      <c r="EN29" s="166"/>
      <c r="EO29" s="166"/>
      <c r="EP29" s="166"/>
      <c r="EQ29" s="166"/>
    </row>
  </sheetData>
  <mergeCells count="14">
    <mergeCell ref="A1:W1"/>
    <mergeCell ref="B2:C2"/>
    <mergeCell ref="D2:E2"/>
    <mergeCell ref="F2:G2"/>
    <mergeCell ref="H2:I2"/>
    <mergeCell ref="J2:K2"/>
    <mergeCell ref="L2:M2"/>
    <mergeCell ref="N2:O2"/>
    <mergeCell ref="P2:Q2"/>
    <mergeCell ref="R2:S2"/>
    <mergeCell ref="T2:U2"/>
    <mergeCell ref="V2:W2"/>
    <mergeCell ref="A29:W29"/>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EQ29"/>
  <sheetViews>
    <sheetView zoomScale="80" zoomScaleNormal="80" workbookViewId="0">
      <pane xSplit="1" ySplit="3" topLeftCell="N4" activePane="bottomRight" state="frozen"/>
      <selection/>
      <selection pane="topRight"/>
      <selection pane="bottomLeft"/>
      <selection pane="bottomRight" activeCell="T5" sqref="T5:U28"/>
    </sheetView>
  </sheetViews>
  <sheetFormatPr defaultColWidth="9" defaultRowHeight="14.25"/>
  <cols>
    <col min="1" max="1" width="36.7166666666667" style="166" customWidth="1"/>
    <col min="2" max="2" width="12.025" style="166" customWidth="1"/>
    <col min="3" max="19" width="11.0833333333333" style="166" customWidth="1"/>
    <col min="20" max="20" width="12.6583333333333" style="166" customWidth="1"/>
    <col min="21" max="21" width="11.25" style="166" customWidth="1"/>
    <col min="22" max="147" width="9" style="166"/>
    <col min="148" max="16384" width="9" style="165"/>
  </cols>
  <sheetData>
    <row r="1" s="165" customFormat="1" ht="28.5" customHeight="1" spans="1:147">
      <c r="A1" s="135" t="s">
        <v>441</v>
      </c>
      <c r="B1" s="135"/>
      <c r="C1" s="135"/>
      <c r="D1" s="135"/>
      <c r="E1" s="135"/>
      <c r="F1" s="135"/>
      <c r="G1" s="135"/>
      <c r="H1" s="135"/>
      <c r="I1" s="135"/>
      <c r="J1" s="135"/>
      <c r="K1" s="135"/>
      <c r="L1" s="135"/>
      <c r="M1" s="135"/>
      <c r="N1" s="135"/>
      <c r="O1" s="135"/>
      <c r="P1" s="135"/>
      <c r="Q1" s="135"/>
      <c r="R1" s="135"/>
      <c r="S1" s="135"/>
      <c r="T1" s="135"/>
      <c r="U1" s="135"/>
      <c r="V1" s="166"/>
      <c r="W1" s="166"/>
      <c r="X1" s="166"/>
      <c r="Y1" s="166"/>
      <c r="Z1" s="166"/>
      <c r="AA1" s="166"/>
      <c r="AB1" s="166"/>
      <c r="AC1" s="166"/>
      <c r="AD1" s="166"/>
      <c r="AE1" s="166"/>
      <c r="AF1" s="166"/>
      <c r="AG1" s="166"/>
      <c r="AH1" s="166"/>
      <c r="AI1" s="166"/>
      <c r="AJ1" s="166"/>
      <c r="AK1" s="166"/>
      <c r="AL1" s="166"/>
      <c r="AM1" s="166"/>
      <c r="AN1" s="166"/>
      <c r="AO1" s="166"/>
      <c r="AP1" s="166"/>
      <c r="AQ1" s="166"/>
      <c r="AR1" s="166"/>
      <c r="AS1" s="166"/>
      <c r="AT1" s="166"/>
      <c r="AU1" s="166"/>
      <c r="AV1" s="166"/>
      <c r="AW1" s="166"/>
      <c r="AX1" s="166"/>
      <c r="AY1" s="166"/>
      <c r="AZ1" s="166"/>
      <c r="BA1" s="166"/>
      <c r="BB1" s="166"/>
      <c r="BC1" s="166"/>
      <c r="BD1" s="166"/>
      <c r="BE1" s="166"/>
      <c r="BF1" s="166"/>
      <c r="BG1" s="166"/>
      <c r="BH1" s="166"/>
      <c r="BI1" s="166"/>
      <c r="BJ1" s="166"/>
      <c r="BK1" s="166"/>
      <c r="BL1" s="166"/>
      <c r="BM1" s="166"/>
      <c r="BN1" s="166"/>
      <c r="BO1" s="166"/>
      <c r="BP1" s="166"/>
      <c r="BQ1" s="166"/>
      <c r="BR1" s="166"/>
      <c r="BS1" s="166"/>
      <c r="BT1" s="166"/>
      <c r="BU1" s="166"/>
      <c r="BV1" s="166"/>
      <c r="BW1" s="166"/>
      <c r="BX1" s="166"/>
      <c r="BY1" s="166"/>
      <c r="BZ1" s="166"/>
      <c r="CA1" s="166"/>
      <c r="CB1" s="166"/>
      <c r="CC1" s="166"/>
      <c r="CD1" s="166"/>
      <c r="CE1" s="166"/>
      <c r="CF1" s="166"/>
      <c r="CG1" s="166"/>
      <c r="CH1" s="166"/>
      <c r="CI1" s="166"/>
      <c r="CJ1" s="166"/>
      <c r="CK1" s="166"/>
      <c r="CL1" s="166"/>
      <c r="CM1" s="166"/>
      <c r="CN1" s="166"/>
      <c r="CO1" s="166"/>
      <c r="CP1" s="166"/>
      <c r="CQ1" s="166"/>
      <c r="CR1" s="166"/>
      <c r="CS1" s="166"/>
      <c r="CT1" s="166"/>
      <c r="CU1" s="166"/>
      <c r="CV1" s="166"/>
      <c r="CW1" s="166"/>
      <c r="CX1" s="166"/>
      <c r="CY1" s="166"/>
      <c r="CZ1" s="166"/>
      <c r="DA1" s="166"/>
      <c r="DB1" s="166"/>
      <c r="DC1" s="166"/>
      <c r="DD1" s="166"/>
      <c r="DE1" s="166"/>
      <c r="DF1" s="166"/>
      <c r="DG1" s="166"/>
      <c r="DH1" s="166"/>
      <c r="DI1" s="166"/>
      <c r="DJ1" s="166"/>
      <c r="DK1" s="166"/>
      <c r="DL1" s="166"/>
      <c r="DM1" s="166"/>
      <c r="DN1" s="166"/>
      <c r="DO1" s="166"/>
      <c r="DP1" s="166"/>
      <c r="DQ1" s="166"/>
      <c r="DR1" s="166"/>
      <c r="DS1" s="166"/>
      <c r="DT1" s="166"/>
      <c r="DU1" s="166"/>
      <c r="DV1" s="166"/>
      <c r="DW1" s="166"/>
      <c r="DX1" s="166"/>
      <c r="DY1" s="166"/>
      <c r="DZ1" s="166"/>
      <c r="EA1" s="166"/>
      <c r="EB1" s="166"/>
      <c r="EC1" s="166"/>
      <c r="ED1" s="166"/>
      <c r="EE1" s="166"/>
      <c r="EF1" s="166"/>
      <c r="EG1" s="166"/>
      <c r="EH1" s="166"/>
      <c r="EI1" s="166"/>
      <c r="EJ1" s="166"/>
      <c r="EK1" s="166"/>
      <c r="EL1" s="166"/>
      <c r="EM1" s="166"/>
      <c r="EN1" s="166"/>
      <c r="EO1" s="166"/>
      <c r="EP1" s="166"/>
      <c r="EQ1" s="166"/>
    </row>
    <row r="2" ht="21" customHeight="1" spans="1:147">
      <c r="A2" s="136" t="s">
        <v>1</v>
      </c>
      <c r="B2" s="137" t="s">
        <v>3</v>
      </c>
      <c r="C2" s="138"/>
      <c r="D2" s="137" t="s">
        <v>4</v>
      </c>
      <c r="E2" s="138"/>
      <c r="F2" s="137" t="s">
        <v>5</v>
      </c>
      <c r="G2" s="138"/>
      <c r="H2" s="137" t="s">
        <v>6</v>
      </c>
      <c r="I2" s="138"/>
      <c r="J2" s="137" t="s">
        <v>7</v>
      </c>
      <c r="K2" s="138"/>
      <c r="L2" s="137" t="s">
        <v>8</v>
      </c>
      <c r="M2" s="138"/>
      <c r="N2" s="137" t="s">
        <v>9</v>
      </c>
      <c r="O2" s="138"/>
      <c r="P2" s="137" t="s">
        <v>10</v>
      </c>
      <c r="Q2" s="138"/>
      <c r="R2" s="137" t="s">
        <v>11</v>
      </c>
      <c r="S2" s="138"/>
      <c r="T2" s="137" t="s">
        <v>12</v>
      </c>
      <c r="U2" s="138"/>
    </row>
    <row r="3" ht="29" customHeight="1" spans="1:147">
      <c r="A3" s="139"/>
      <c r="B3" s="140" t="s">
        <v>14</v>
      </c>
      <c r="C3" s="141" t="s">
        <v>15</v>
      </c>
      <c r="D3" s="140" t="s">
        <v>14</v>
      </c>
      <c r="E3" s="141" t="s">
        <v>15</v>
      </c>
      <c r="F3" s="140" t="s">
        <v>14</v>
      </c>
      <c r="G3" s="141" t="s">
        <v>15</v>
      </c>
      <c r="H3" s="140" t="s">
        <v>14</v>
      </c>
      <c r="I3" s="141" t="s">
        <v>15</v>
      </c>
      <c r="J3" s="140" t="s">
        <v>14</v>
      </c>
      <c r="K3" s="141" t="s">
        <v>15</v>
      </c>
      <c r="L3" s="140" t="s">
        <v>14</v>
      </c>
      <c r="M3" s="141" t="s">
        <v>15</v>
      </c>
      <c r="N3" s="140" t="s">
        <v>14</v>
      </c>
      <c r="O3" s="141" t="s">
        <v>15</v>
      </c>
      <c r="P3" s="140" t="s">
        <v>14</v>
      </c>
      <c r="Q3" s="141" t="s">
        <v>15</v>
      </c>
      <c r="R3" s="140" t="s">
        <v>14</v>
      </c>
      <c r="S3" s="141" t="s">
        <v>15</v>
      </c>
      <c r="T3" s="140" t="s">
        <v>14</v>
      </c>
      <c r="U3" s="141" t="s">
        <v>15</v>
      </c>
    </row>
    <row r="4" s="165" customFormat="1" ht="33" customHeight="1" spans="1:147">
      <c r="A4" s="142" t="s">
        <v>442</v>
      </c>
      <c r="B4" s="167"/>
      <c r="C4" s="168"/>
      <c r="D4" s="167"/>
      <c r="E4" s="168"/>
      <c r="F4" s="167"/>
      <c r="G4" s="168"/>
      <c r="H4" s="167"/>
      <c r="I4" s="168"/>
      <c r="J4" s="167"/>
      <c r="K4" s="168"/>
      <c r="L4" s="167"/>
      <c r="M4" s="168"/>
      <c r="N4" s="167"/>
      <c r="O4" s="168"/>
      <c r="P4" s="167"/>
      <c r="Q4" s="168"/>
      <c r="R4" s="167"/>
      <c r="S4" s="168"/>
      <c r="T4" s="167"/>
      <c r="U4" s="168"/>
      <c r="V4" s="166"/>
      <c r="W4" s="166"/>
      <c r="X4" s="166"/>
      <c r="Y4" s="166"/>
      <c r="Z4" s="166"/>
      <c r="AA4" s="166"/>
      <c r="AB4" s="166"/>
      <c r="AC4" s="166"/>
      <c r="AD4" s="166"/>
      <c r="AE4" s="166"/>
      <c r="AF4" s="166"/>
      <c r="AG4" s="166"/>
      <c r="AH4" s="166"/>
      <c r="AI4" s="166"/>
      <c r="AJ4" s="166"/>
      <c r="AK4" s="166"/>
      <c r="AL4" s="166"/>
      <c r="AM4" s="166"/>
      <c r="AN4" s="166"/>
      <c r="AO4" s="166"/>
      <c r="AP4" s="166"/>
      <c r="AQ4" s="166"/>
      <c r="AR4" s="166"/>
      <c r="AS4" s="166"/>
      <c r="AT4" s="166"/>
      <c r="AU4" s="166"/>
      <c r="AV4" s="166"/>
      <c r="AW4" s="166"/>
      <c r="AX4" s="166"/>
      <c r="AY4" s="166"/>
      <c r="AZ4" s="166"/>
      <c r="BA4" s="166"/>
      <c r="BB4" s="166"/>
      <c r="BC4" s="166"/>
      <c r="BD4" s="166"/>
      <c r="BE4" s="166"/>
      <c r="BF4" s="166"/>
      <c r="BG4" s="166"/>
      <c r="BH4" s="166"/>
      <c r="BI4" s="166"/>
      <c r="BJ4" s="166"/>
      <c r="BK4" s="166"/>
      <c r="BL4" s="166"/>
      <c r="BM4" s="166"/>
      <c r="BN4" s="166"/>
      <c r="BO4" s="166"/>
      <c r="BP4" s="166"/>
      <c r="BQ4" s="166"/>
      <c r="BR4" s="166"/>
      <c r="BS4" s="166"/>
      <c r="BT4" s="166"/>
      <c r="BU4" s="166"/>
      <c r="BV4" s="166"/>
      <c r="BW4" s="166"/>
      <c r="BX4" s="166"/>
      <c r="BY4" s="166"/>
      <c r="BZ4" s="166"/>
      <c r="CA4" s="166"/>
      <c r="CB4" s="166"/>
      <c r="CC4" s="166"/>
      <c r="CD4" s="166"/>
      <c r="CE4" s="166"/>
      <c r="CF4" s="166"/>
      <c r="CG4" s="166"/>
      <c r="CH4" s="166"/>
      <c r="CI4" s="166"/>
      <c r="CJ4" s="166"/>
      <c r="CK4" s="166"/>
      <c r="CL4" s="166"/>
      <c r="CM4" s="166"/>
      <c r="CN4" s="166"/>
      <c r="CO4" s="166"/>
      <c r="CP4" s="166"/>
      <c r="CQ4" s="166"/>
      <c r="CR4" s="166"/>
      <c r="CS4" s="166"/>
      <c r="CT4" s="166"/>
      <c r="CU4" s="166"/>
      <c r="CV4" s="166"/>
      <c r="CW4" s="166"/>
      <c r="CX4" s="166"/>
      <c r="CY4" s="166"/>
      <c r="CZ4" s="166"/>
      <c r="DA4" s="166"/>
      <c r="DB4" s="166"/>
      <c r="DC4" s="166"/>
      <c r="DD4" s="166"/>
      <c r="DE4" s="166"/>
      <c r="DF4" s="166"/>
      <c r="DG4" s="166"/>
      <c r="DH4" s="166"/>
      <c r="DI4" s="166"/>
      <c r="DJ4" s="166"/>
      <c r="DK4" s="166"/>
      <c r="DL4" s="166"/>
      <c r="DM4" s="166"/>
      <c r="DN4" s="166"/>
      <c r="DO4" s="166"/>
      <c r="DP4" s="166"/>
      <c r="DQ4" s="166"/>
      <c r="DR4" s="166"/>
      <c r="DS4" s="166"/>
      <c r="DT4" s="166"/>
      <c r="DU4" s="166"/>
      <c r="DV4" s="166"/>
      <c r="DW4" s="166"/>
      <c r="DX4" s="166"/>
      <c r="DY4" s="166"/>
      <c r="DZ4" s="166"/>
      <c r="EA4" s="166"/>
      <c r="EB4" s="166"/>
      <c r="EC4" s="166"/>
      <c r="ED4" s="166"/>
      <c r="EE4" s="166"/>
      <c r="EF4" s="166"/>
      <c r="EG4" s="166"/>
      <c r="EH4" s="166"/>
      <c r="EI4" s="166"/>
      <c r="EJ4" s="166"/>
      <c r="EK4" s="166"/>
      <c r="EL4" s="166"/>
      <c r="EM4" s="166"/>
      <c r="EN4" s="166"/>
      <c r="EO4" s="166"/>
      <c r="EP4" s="166"/>
      <c r="EQ4" s="166"/>
    </row>
    <row r="5" s="165" customFormat="1" ht="22.5" customHeight="1" spans="1:147">
      <c r="A5" s="145" t="s">
        <v>430</v>
      </c>
      <c r="B5" s="169">
        <v>125.35695</v>
      </c>
      <c r="C5" s="170">
        <v>-13</v>
      </c>
      <c r="D5" s="169">
        <v>27.19969</v>
      </c>
      <c r="E5" s="170">
        <v>-10.9</v>
      </c>
      <c r="F5" s="169">
        <v>41.0498</v>
      </c>
      <c r="G5" s="170">
        <v>-10.4</v>
      </c>
      <c r="H5" s="169">
        <v>57.28418</v>
      </c>
      <c r="I5" s="170">
        <v>-1.1</v>
      </c>
      <c r="J5" s="169">
        <v>72.74349</v>
      </c>
      <c r="K5" s="170">
        <v>11.5</v>
      </c>
      <c r="L5" s="169">
        <v>88.73065</v>
      </c>
      <c r="M5" s="170">
        <v>21.7</v>
      </c>
      <c r="N5" s="169">
        <v>90.57267</v>
      </c>
      <c r="O5" s="170">
        <v>-0.8</v>
      </c>
      <c r="P5" s="169">
        <v>110.46122</v>
      </c>
      <c r="Q5" s="170">
        <v>10.2</v>
      </c>
      <c r="R5" s="169">
        <v>119.08599</v>
      </c>
      <c r="S5" s="170">
        <v>14.7</v>
      </c>
      <c r="T5" s="169">
        <v>128.44034</v>
      </c>
      <c r="U5" s="170">
        <v>14.5</v>
      </c>
      <c r="V5" s="166"/>
      <c r="W5" s="166"/>
      <c r="X5" s="166"/>
      <c r="Y5" s="166"/>
      <c r="Z5" s="166"/>
      <c r="AA5" s="166"/>
      <c r="AB5" s="166"/>
      <c r="AC5" s="166"/>
      <c r="AD5" s="166"/>
      <c r="AE5" s="166"/>
      <c r="AF5" s="166"/>
      <c r="AG5" s="166"/>
      <c r="AH5" s="166"/>
      <c r="AI5" s="166"/>
      <c r="AJ5" s="166"/>
      <c r="AK5" s="166"/>
      <c r="AL5" s="166"/>
      <c r="AM5" s="166"/>
      <c r="AN5" s="166"/>
      <c r="AO5" s="166"/>
      <c r="AP5" s="166"/>
      <c r="AQ5" s="166"/>
      <c r="AR5" s="166"/>
      <c r="AS5" s="166"/>
      <c r="AT5" s="166"/>
      <c r="AU5" s="166"/>
      <c r="AV5" s="166"/>
      <c r="AW5" s="166"/>
      <c r="AX5" s="166"/>
      <c r="AY5" s="166"/>
      <c r="AZ5" s="166"/>
      <c r="BA5" s="166"/>
      <c r="BB5" s="166"/>
      <c r="BC5" s="166"/>
      <c r="BD5" s="166"/>
      <c r="BE5" s="166"/>
      <c r="BF5" s="166"/>
      <c r="BG5" s="166"/>
      <c r="BH5" s="166"/>
      <c r="BI5" s="166"/>
      <c r="BJ5" s="166"/>
      <c r="BK5" s="166"/>
      <c r="BL5" s="166"/>
      <c r="BM5" s="166"/>
      <c r="BN5" s="166"/>
      <c r="BO5" s="166"/>
      <c r="BP5" s="166"/>
      <c r="BQ5" s="166"/>
      <c r="BR5" s="166"/>
      <c r="BS5" s="166"/>
      <c r="BT5" s="166"/>
      <c r="BU5" s="166"/>
      <c r="BV5" s="166"/>
      <c r="BW5" s="166"/>
      <c r="BX5" s="166"/>
      <c r="BY5" s="166"/>
      <c r="BZ5" s="166"/>
      <c r="CA5" s="166"/>
      <c r="CB5" s="166"/>
      <c r="CC5" s="166"/>
      <c r="CD5" s="166"/>
      <c r="CE5" s="166"/>
      <c r="CF5" s="166"/>
      <c r="CG5" s="166"/>
      <c r="CH5" s="166"/>
      <c r="CI5" s="166"/>
      <c r="CJ5" s="166"/>
      <c r="CK5" s="166"/>
      <c r="CL5" s="166"/>
      <c r="CM5" s="166"/>
      <c r="CN5" s="166"/>
      <c r="CO5" s="166"/>
      <c r="CP5" s="166"/>
      <c r="CQ5" s="166"/>
      <c r="CR5" s="166"/>
      <c r="CS5" s="166"/>
      <c r="CT5" s="166"/>
      <c r="CU5" s="166"/>
      <c r="CV5" s="166"/>
      <c r="CW5" s="166"/>
      <c r="CX5" s="166"/>
      <c r="CY5" s="166"/>
      <c r="CZ5" s="166"/>
      <c r="DA5" s="166"/>
      <c r="DB5" s="166"/>
      <c r="DC5" s="166"/>
      <c r="DD5" s="166"/>
      <c r="DE5" s="166"/>
      <c r="DF5" s="166"/>
      <c r="DG5" s="166"/>
      <c r="DH5" s="166"/>
      <c r="DI5" s="166"/>
      <c r="DJ5" s="166"/>
      <c r="DK5" s="166"/>
      <c r="DL5" s="166"/>
      <c r="DM5" s="166"/>
      <c r="DN5" s="166"/>
      <c r="DO5" s="166"/>
      <c r="DP5" s="166"/>
      <c r="DQ5" s="166"/>
      <c r="DR5" s="166"/>
      <c r="DS5" s="166"/>
      <c r="DT5" s="166"/>
      <c r="DU5" s="166"/>
      <c r="DV5" s="166"/>
      <c r="DW5" s="166"/>
      <c r="DX5" s="166"/>
      <c r="DY5" s="166"/>
      <c r="DZ5" s="166"/>
      <c r="EA5" s="166"/>
      <c r="EB5" s="166"/>
      <c r="EC5" s="166"/>
      <c r="ED5" s="166"/>
      <c r="EE5" s="166"/>
      <c r="EF5" s="166"/>
      <c r="EG5" s="166"/>
      <c r="EH5" s="166"/>
      <c r="EI5" s="166"/>
      <c r="EJ5" s="166"/>
      <c r="EK5" s="166"/>
      <c r="EL5" s="166"/>
      <c r="EM5" s="166"/>
      <c r="EN5" s="166"/>
      <c r="EO5" s="166"/>
      <c r="EP5" s="166"/>
      <c r="EQ5" s="166"/>
    </row>
    <row r="6" ht="22.5" customHeight="1" spans="1:147">
      <c r="A6" s="148" t="s">
        <v>90</v>
      </c>
      <c r="B6" s="169">
        <v>3.46</v>
      </c>
      <c r="C6" s="170">
        <v>-27.2</v>
      </c>
      <c r="D6" s="169">
        <v>0.58762</v>
      </c>
      <c r="E6" s="170">
        <v>-34.9</v>
      </c>
      <c r="F6" s="169">
        <v>0.86629</v>
      </c>
      <c r="G6" s="170">
        <v>-22.9</v>
      </c>
      <c r="H6" s="169">
        <v>1.61741</v>
      </c>
      <c r="I6" s="170">
        <v>-28.2</v>
      </c>
      <c r="J6" s="169">
        <v>2.20374</v>
      </c>
      <c r="K6" s="170">
        <v>-24.4</v>
      </c>
      <c r="L6" s="169">
        <v>2.86938</v>
      </c>
      <c r="M6" s="170">
        <v>4.9</v>
      </c>
      <c r="N6" s="169">
        <v>3.44873</v>
      </c>
      <c r="O6" s="170">
        <v>3.3</v>
      </c>
      <c r="P6" s="169">
        <v>4.26484</v>
      </c>
      <c r="Q6" s="170">
        <v>7.4</v>
      </c>
      <c r="R6" s="169">
        <v>4.81614</v>
      </c>
      <c r="S6" s="170">
        <v>19.8</v>
      </c>
      <c r="T6" s="169">
        <v>5.19106</v>
      </c>
      <c r="U6" s="170">
        <v>16.2</v>
      </c>
    </row>
    <row r="7" ht="22.5" customHeight="1" spans="1:147">
      <c r="A7" s="148" t="s">
        <v>91</v>
      </c>
      <c r="B7" s="169">
        <v>0.72499</v>
      </c>
      <c r="C7" s="170">
        <v>-88</v>
      </c>
      <c r="D7" s="169">
        <v>1.65398</v>
      </c>
      <c r="E7" s="170">
        <v>38.4</v>
      </c>
      <c r="F7" s="169">
        <v>1.31073</v>
      </c>
      <c r="G7" s="170">
        <v>357.1</v>
      </c>
      <c r="H7" s="169">
        <v>1.14612</v>
      </c>
      <c r="I7" s="170">
        <v>416.9</v>
      </c>
      <c r="J7" s="169">
        <v>1.86984</v>
      </c>
      <c r="K7" s="170">
        <v>89.5</v>
      </c>
      <c r="L7" s="169">
        <v>2.68691</v>
      </c>
      <c r="M7" s="170">
        <v>27.1</v>
      </c>
      <c r="N7" s="169">
        <v>2.81304</v>
      </c>
      <c r="O7" s="170">
        <v>54.6</v>
      </c>
      <c r="P7" s="169">
        <v>3.08732</v>
      </c>
      <c r="Q7" s="170">
        <v>89.2</v>
      </c>
      <c r="R7" s="169">
        <v>3.67607</v>
      </c>
      <c r="S7" s="170">
        <v>156.7</v>
      </c>
      <c r="T7" s="169">
        <v>3.70947</v>
      </c>
      <c r="U7" s="170">
        <v>217</v>
      </c>
    </row>
    <row r="8" ht="22.5" customHeight="1" spans="1:147">
      <c r="A8" s="148" t="s">
        <v>92</v>
      </c>
      <c r="B8" s="169">
        <v>103.04564</v>
      </c>
      <c r="C8" s="170">
        <v>-3</v>
      </c>
      <c r="D8" s="169">
        <v>18.4925</v>
      </c>
      <c r="E8" s="170">
        <v>-20.1</v>
      </c>
      <c r="F8" s="169">
        <v>27.0562</v>
      </c>
      <c r="G8" s="170">
        <v>-19.9</v>
      </c>
      <c r="H8" s="169">
        <v>40.45693</v>
      </c>
      <c r="I8" s="170">
        <v>-7.2</v>
      </c>
      <c r="J8" s="169">
        <v>51.17631</v>
      </c>
      <c r="K8" s="170">
        <v>-4.9</v>
      </c>
      <c r="L8" s="169">
        <v>63.6601</v>
      </c>
      <c r="M8" s="170">
        <v>5.5</v>
      </c>
      <c r="N8" s="169">
        <v>70.4199</v>
      </c>
      <c r="O8" s="170">
        <v>-5.2</v>
      </c>
      <c r="P8" s="169">
        <v>84.05146</v>
      </c>
      <c r="Q8" s="170">
        <v>0.7</v>
      </c>
      <c r="R8" s="169">
        <v>93.9134</v>
      </c>
      <c r="S8" s="170">
        <v>5.2</v>
      </c>
      <c r="T8" s="169">
        <v>103.73624</v>
      </c>
      <c r="U8" s="170">
        <v>10.1</v>
      </c>
    </row>
    <row r="9" ht="22.5" customHeight="1" spans="1:147">
      <c r="A9" s="148" t="s">
        <v>93</v>
      </c>
      <c r="B9" s="169">
        <v>-3.27734</v>
      </c>
      <c r="C9" s="170">
        <v>-132.6</v>
      </c>
      <c r="D9" s="169">
        <v>-2.25511</v>
      </c>
      <c r="E9" s="170">
        <v>-991</v>
      </c>
      <c r="F9" s="169">
        <v>-3.4385</v>
      </c>
      <c r="G9" s="170">
        <v>-899.2</v>
      </c>
      <c r="H9" s="169">
        <v>-5.65198</v>
      </c>
      <c r="I9" s="170">
        <v>-2351.2</v>
      </c>
      <c r="J9" s="169">
        <v>-6.29658</v>
      </c>
      <c r="K9" s="170">
        <v>-1315.3</v>
      </c>
      <c r="L9" s="169">
        <v>-6.79659</v>
      </c>
      <c r="M9" s="170">
        <v>-1274.5</v>
      </c>
      <c r="N9" s="169">
        <v>-7.64657</v>
      </c>
      <c r="O9" s="170">
        <v>-2270.2</v>
      </c>
      <c r="P9" s="169">
        <v>-8.39564</v>
      </c>
      <c r="Q9" s="170">
        <v>-763140</v>
      </c>
      <c r="R9" s="169">
        <v>-9.23162</v>
      </c>
      <c r="S9" s="170">
        <v>-1738.3</v>
      </c>
      <c r="T9" s="169">
        <v>-9.93256</v>
      </c>
      <c r="U9" s="170">
        <v>-793.5</v>
      </c>
    </row>
    <row r="10" ht="22.5" customHeight="1" spans="1:147">
      <c r="A10" s="148" t="s">
        <v>94</v>
      </c>
      <c r="B10" s="169">
        <v>0.25488</v>
      </c>
      <c r="C10" s="170">
        <v>110.5</v>
      </c>
      <c r="D10" s="169">
        <v>-0.32707</v>
      </c>
      <c r="E10" s="170">
        <v>-1170.6</v>
      </c>
      <c r="F10" s="169">
        <v>-0.66907</v>
      </c>
      <c r="G10" s="170">
        <v>-387.3</v>
      </c>
      <c r="H10" s="169">
        <v>-0.55139</v>
      </c>
      <c r="I10" s="170">
        <v>-227.6</v>
      </c>
      <c r="J10" s="169">
        <v>-1.17877</v>
      </c>
      <c r="K10" s="170">
        <v>-689.7</v>
      </c>
      <c r="L10" s="169">
        <v>-2.27891</v>
      </c>
      <c r="M10" s="170">
        <v>-913.2</v>
      </c>
      <c r="N10" s="169">
        <v>-10.30977</v>
      </c>
      <c r="O10" s="170">
        <v>-6371.9</v>
      </c>
      <c r="P10" s="169">
        <v>-8.9325</v>
      </c>
      <c r="Q10" s="170">
        <v>-1218.6</v>
      </c>
      <c r="R10" s="169">
        <v>-11.02581</v>
      </c>
      <c r="S10" s="170">
        <v>-1677.3</v>
      </c>
      <c r="T10" s="169">
        <v>-11.17141</v>
      </c>
      <c r="U10" s="170">
        <v>-2133.9</v>
      </c>
    </row>
    <row r="11" ht="22.5" customHeight="1" spans="1:147">
      <c r="A11" s="148" t="s">
        <v>95</v>
      </c>
      <c r="B11" s="169">
        <v>9.51805</v>
      </c>
      <c r="C11" s="170">
        <v>93.6</v>
      </c>
      <c r="D11" s="169">
        <v>2.11709</v>
      </c>
      <c r="E11" s="170">
        <v>-13.1</v>
      </c>
      <c r="F11" s="169">
        <v>3.07578</v>
      </c>
      <c r="G11" s="170">
        <v>-18.4</v>
      </c>
      <c r="H11" s="169">
        <v>3.46306</v>
      </c>
      <c r="I11" s="170">
        <v>-37.2</v>
      </c>
      <c r="J11" s="169">
        <v>3.64866</v>
      </c>
      <c r="K11" s="170">
        <v>-38.1</v>
      </c>
      <c r="L11" s="169">
        <v>4.95481</v>
      </c>
      <c r="M11" s="170">
        <v>-20.2</v>
      </c>
      <c r="N11" s="169">
        <v>4.52291</v>
      </c>
      <c r="O11" s="170">
        <v>-35.5</v>
      </c>
      <c r="P11" s="169">
        <v>4.49835</v>
      </c>
      <c r="Q11" s="170">
        <v>-27.4</v>
      </c>
      <c r="R11" s="169">
        <v>4.70729</v>
      </c>
      <c r="S11" s="170">
        <v>-14.6</v>
      </c>
      <c r="T11" s="169">
        <v>4.01135</v>
      </c>
      <c r="U11" s="170">
        <v>-35.2</v>
      </c>
    </row>
    <row r="12" ht="22.5" customHeight="1" spans="1:147">
      <c r="A12" s="148" t="s">
        <v>96</v>
      </c>
      <c r="B12" s="169">
        <v>5.6929</v>
      </c>
      <c r="C12" s="170">
        <v>8</v>
      </c>
      <c r="D12" s="169">
        <v>1.14702</v>
      </c>
      <c r="E12" s="170">
        <v>439.2</v>
      </c>
      <c r="F12" s="169">
        <v>2.68172</v>
      </c>
      <c r="G12" s="170">
        <v>406.4</v>
      </c>
      <c r="H12" s="169">
        <v>3.58976</v>
      </c>
      <c r="I12" s="170">
        <v>295.6</v>
      </c>
      <c r="J12" s="169">
        <v>4.76224</v>
      </c>
      <c r="K12" s="170">
        <v>292.1</v>
      </c>
      <c r="L12" s="169">
        <v>5.73423</v>
      </c>
      <c r="M12" s="170">
        <v>291.5</v>
      </c>
      <c r="N12" s="169">
        <v>6.81634</v>
      </c>
      <c r="O12" s="170">
        <v>222</v>
      </c>
      <c r="P12" s="169">
        <v>7.95148</v>
      </c>
      <c r="Q12" s="170">
        <v>242.7</v>
      </c>
      <c r="R12" s="169">
        <v>8.44501</v>
      </c>
      <c r="S12" s="170">
        <v>261.1</v>
      </c>
      <c r="T12" s="169">
        <v>9.14748</v>
      </c>
      <c r="U12" s="170">
        <v>176.5</v>
      </c>
    </row>
    <row r="13" ht="22.5" customHeight="1" spans="1:147">
      <c r="A13" s="148" t="s">
        <v>97</v>
      </c>
      <c r="B13" s="169">
        <v>-0.76795</v>
      </c>
      <c r="C13" s="170">
        <v>86.3</v>
      </c>
      <c r="D13" s="169">
        <v>0.14757</v>
      </c>
      <c r="E13" s="170">
        <v>135.2</v>
      </c>
      <c r="F13" s="169">
        <v>-0.17913</v>
      </c>
      <c r="G13" s="170">
        <v>80.3</v>
      </c>
      <c r="H13" s="169">
        <v>0.27246</v>
      </c>
      <c r="I13" s="170">
        <v>128.7</v>
      </c>
      <c r="J13" s="169">
        <v>0.8233</v>
      </c>
      <c r="K13" s="170">
        <v>-378.9</v>
      </c>
      <c r="L13" s="169">
        <v>0.86992</v>
      </c>
      <c r="M13" s="170">
        <v>278</v>
      </c>
      <c r="N13" s="169">
        <v>1.00915</v>
      </c>
      <c r="O13" s="170">
        <v>596.3</v>
      </c>
      <c r="P13" s="169">
        <v>1.21301</v>
      </c>
      <c r="Q13" s="170">
        <v>96.2</v>
      </c>
      <c r="R13" s="169">
        <v>1.36971</v>
      </c>
      <c r="S13" s="170">
        <v>8558.1</v>
      </c>
      <c r="T13" s="169">
        <v>1.86274</v>
      </c>
      <c r="U13" s="170">
        <v>199.5</v>
      </c>
    </row>
    <row r="14" ht="22.5" customHeight="1" spans="1:147">
      <c r="A14" s="148" t="s">
        <v>98</v>
      </c>
      <c r="B14" s="169">
        <v>1.59116</v>
      </c>
      <c r="C14" s="170">
        <v>-35.8</v>
      </c>
      <c r="D14" s="169">
        <v>0.12507</v>
      </c>
      <c r="E14" s="170">
        <v>-52</v>
      </c>
      <c r="F14" s="169">
        <v>0.23104</v>
      </c>
      <c r="G14" s="170">
        <v>-25.4</v>
      </c>
      <c r="H14" s="169">
        <v>0.43194</v>
      </c>
      <c r="I14" s="170">
        <v>-11.6</v>
      </c>
      <c r="J14" s="169">
        <v>0.5201</v>
      </c>
      <c r="K14" s="170">
        <v>-18.9</v>
      </c>
      <c r="L14" s="169">
        <v>0.61147</v>
      </c>
      <c r="M14" s="170">
        <v>-20.1</v>
      </c>
      <c r="N14" s="169">
        <v>0.8952</v>
      </c>
      <c r="O14" s="170">
        <v>-20.5</v>
      </c>
      <c r="P14" s="169">
        <v>1.26218</v>
      </c>
      <c r="Q14" s="170">
        <v>-12.1</v>
      </c>
      <c r="R14" s="169">
        <v>1.38572</v>
      </c>
      <c r="S14" s="170">
        <v>-24.3</v>
      </c>
      <c r="T14" s="169">
        <v>1.69354</v>
      </c>
      <c r="U14" s="170">
        <v>-20.1</v>
      </c>
    </row>
    <row r="15" ht="22.5" customHeight="1" spans="1:147">
      <c r="A15" s="148" t="s">
        <v>431</v>
      </c>
      <c r="B15" s="169">
        <v>-3.85895</v>
      </c>
      <c r="C15" s="170">
        <v>-122</v>
      </c>
      <c r="D15" s="169">
        <v>6.53657</v>
      </c>
      <c r="E15" s="170">
        <v>69.7</v>
      </c>
      <c r="F15" s="169">
        <v>10.19242</v>
      </c>
      <c r="G15" s="170">
        <v>51.7</v>
      </c>
      <c r="H15" s="169">
        <v>12.67642</v>
      </c>
      <c r="I15" s="170">
        <v>96</v>
      </c>
      <c r="J15" s="169">
        <v>15.48139</v>
      </c>
      <c r="K15" s="170">
        <v>3002.2</v>
      </c>
      <c r="L15" s="169">
        <v>16.79935</v>
      </c>
      <c r="M15" s="170">
        <v>2846</v>
      </c>
      <c r="N15" s="169">
        <v>19.01281</v>
      </c>
      <c r="O15" s="170">
        <v>1229.3</v>
      </c>
      <c r="P15" s="169">
        <v>21.92998</v>
      </c>
      <c r="Q15" s="170">
        <v>7305</v>
      </c>
      <c r="R15" s="169">
        <v>21.52903</v>
      </c>
      <c r="S15" s="170">
        <v>13246.7</v>
      </c>
      <c r="T15" s="169">
        <v>20.73089</v>
      </c>
      <c r="U15" s="170">
        <v>1456.7</v>
      </c>
    </row>
    <row r="16" ht="19.5" customHeight="1" spans="1:147">
      <c r="A16" s="148"/>
      <c r="B16" s="169"/>
      <c r="C16" s="170"/>
      <c r="D16" s="169"/>
      <c r="E16" s="170"/>
      <c r="F16" s="169"/>
      <c r="G16" s="170"/>
      <c r="H16" s="169"/>
      <c r="I16" s="170"/>
      <c r="J16" s="169"/>
      <c r="K16" s="170"/>
      <c r="L16" s="169"/>
      <c r="M16" s="170"/>
      <c r="N16" s="169"/>
      <c r="O16" s="170"/>
      <c r="P16" s="169"/>
      <c r="Q16" s="170"/>
      <c r="R16" s="169"/>
      <c r="S16" s="170"/>
      <c r="T16" s="169"/>
      <c r="U16" s="170"/>
    </row>
    <row r="17" ht="33" customHeight="1" spans="1:21">
      <c r="A17" s="149" t="s">
        <v>443</v>
      </c>
      <c r="B17" s="169"/>
      <c r="C17" s="170"/>
      <c r="D17" s="169"/>
      <c r="E17" s="170"/>
      <c r="F17" s="169"/>
      <c r="G17" s="170"/>
      <c r="H17" s="169"/>
      <c r="I17" s="170"/>
      <c r="J17" s="169"/>
      <c r="K17" s="170"/>
      <c r="L17" s="169"/>
      <c r="M17" s="170"/>
      <c r="N17" s="169"/>
      <c r="O17" s="170"/>
      <c r="P17" s="169"/>
      <c r="Q17" s="170"/>
      <c r="R17" s="169"/>
      <c r="S17" s="170"/>
      <c r="T17" s="169"/>
      <c r="U17" s="170"/>
    </row>
    <row r="18" ht="22.5" customHeight="1" spans="1:21">
      <c r="A18" s="145" t="s">
        <v>430</v>
      </c>
      <c r="B18" s="169">
        <v>3252.6854</v>
      </c>
      <c r="C18" s="170">
        <v>-5</v>
      </c>
      <c r="D18" s="169">
        <v>502.99101</v>
      </c>
      <c r="E18" s="170">
        <v>-9.9</v>
      </c>
      <c r="F18" s="169">
        <v>762.13988</v>
      </c>
      <c r="G18" s="170">
        <v>-8.2</v>
      </c>
      <c r="H18" s="169">
        <v>1028.34889</v>
      </c>
      <c r="I18" s="170">
        <v>-3.6</v>
      </c>
      <c r="J18" s="169">
        <v>1299.26538</v>
      </c>
      <c r="K18" s="170">
        <v>-0.5</v>
      </c>
      <c r="L18" s="169">
        <v>1570.44101</v>
      </c>
      <c r="M18" s="170">
        <v>-0.6</v>
      </c>
      <c r="N18" s="169">
        <v>1836.57794</v>
      </c>
      <c r="O18" s="170">
        <v>-1.7</v>
      </c>
      <c r="P18" s="169">
        <v>2110.78325</v>
      </c>
      <c r="Q18" s="170">
        <v>-2.4</v>
      </c>
      <c r="R18" s="169">
        <v>2384.25938</v>
      </c>
      <c r="S18" s="170">
        <v>-2.2</v>
      </c>
      <c r="T18" s="169">
        <v>2651.69667</v>
      </c>
      <c r="U18" s="170">
        <v>-2.3</v>
      </c>
    </row>
    <row r="19" ht="22.5" customHeight="1" spans="1:21">
      <c r="A19" s="148" t="s">
        <v>90</v>
      </c>
      <c r="B19" s="169">
        <v>121.6385</v>
      </c>
      <c r="C19" s="170">
        <v>-4.1</v>
      </c>
      <c r="D19" s="169">
        <v>19.63909</v>
      </c>
      <c r="E19" s="170">
        <v>-12.3</v>
      </c>
      <c r="F19" s="169">
        <v>29.51531</v>
      </c>
      <c r="G19" s="170">
        <v>-16.3</v>
      </c>
      <c r="H19" s="169">
        <v>38.84743</v>
      </c>
      <c r="I19" s="170">
        <v>-13.7</v>
      </c>
      <c r="J19" s="169">
        <v>47.90702</v>
      </c>
      <c r="K19" s="170">
        <v>-13.2</v>
      </c>
      <c r="L19" s="169">
        <v>58.3298</v>
      </c>
      <c r="M19" s="170">
        <v>-10.4</v>
      </c>
      <c r="N19" s="169">
        <v>67.99628</v>
      </c>
      <c r="O19" s="170">
        <v>-10.5</v>
      </c>
      <c r="P19" s="169">
        <v>77.16152</v>
      </c>
      <c r="Q19" s="170">
        <v>-10.9</v>
      </c>
      <c r="R19" s="169">
        <v>89.06264</v>
      </c>
      <c r="S19" s="170">
        <v>-7.9</v>
      </c>
      <c r="T19" s="169">
        <v>98.05539</v>
      </c>
      <c r="U19" s="170">
        <v>-7.4</v>
      </c>
    </row>
    <row r="20" ht="22.5" customHeight="1" spans="1:21">
      <c r="A20" s="148" t="s">
        <v>91</v>
      </c>
      <c r="B20" s="169">
        <v>463.43583</v>
      </c>
      <c r="C20" s="170">
        <v>-7.7</v>
      </c>
      <c r="D20" s="169">
        <v>66.96604</v>
      </c>
      <c r="E20" s="170">
        <v>-22.4</v>
      </c>
      <c r="F20" s="169">
        <v>86.81502</v>
      </c>
      <c r="G20" s="170">
        <v>-27.4</v>
      </c>
      <c r="H20" s="169">
        <v>118.61397</v>
      </c>
      <c r="I20" s="170">
        <v>-25.7</v>
      </c>
      <c r="J20" s="169">
        <v>154.81846</v>
      </c>
      <c r="K20" s="170">
        <v>-20.6</v>
      </c>
      <c r="L20" s="169">
        <v>189.9459</v>
      </c>
      <c r="M20" s="170">
        <v>-19.1</v>
      </c>
      <c r="N20" s="169">
        <v>220.61398</v>
      </c>
      <c r="O20" s="170">
        <v>-18</v>
      </c>
      <c r="P20" s="169">
        <v>254.84821</v>
      </c>
      <c r="Q20" s="170">
        <v>-17.9</v>
      </c>
      <c r="R20" s="169">
        <v>293.2128</v>
      </c>
      <c r="S20" s="170">
        <v>-15.6</v>
      </c>
      <c r="T20" s="169">
        <v>326.4112</v>
      </c>
      <c r="U20" s="170">
        <v>-15.2</v>
      </c>
    </row>
    <row r="21" ht="22.5" customHeight="1" spans="1:21">
      <c r="A21" s="148" t="s">
        <v>92</v>
      </c>
      <c r="B21" s="169">
        <v>301.58098</v>
      </c>
      <c r="C21" s="170">
        <v>-4.2</v>
      </c>
      <c r="D21" s="169">
        <v>44.32736</v>
      </c>
      <c r="E21" s="170">
        <v>-15.4</v>
      </c>
      <c r="F21" s="169">
        <v>69.86409</v>
      </c>
      <c r="G21" s="170">
        <v>-11.4</v>
      </c>
      <c r="H21" s="169">
        <v>99.87413</v>
      </c>
      <c r="I21" s="170">
        <v>-6.8</v>
      </c>
      <c r="J21" s="169">
        <v>126.54374</v>
      </c>
      <c r="K21" s="170">
        <v>-4.7</v>
      </c>
      <c r="L21" s="169">
        <v>156.38938</v>
      </c>
      <c r="M21" s="170">
        <v>-2.1</v>
      </c>
      <c r="N21" s="169">
        <v>185.94801</v>
      </c>
      <c r="O21" s="170">
        <v>-2.3</v>
      </c>
      <c r="P21" s="169">
        <v>219.11633</v>
      </c>
      <c r="Q21" s="170">
        <v>1.5</v>
      </c>
      <c r="R21" s="169">
        <v>246.41282</v>
      </c>
      <c r="S21" s="170">
        <v>3.9</v>
      </c>
      <c r="T21" s="169">
        <v>274.00802</v>
      </c>
      <c r="U21" s="170">
        <v>5.5</v>
      </c>
    </row>
    <row r="22" ht="22.5" customHeight="1" spans="1:21">
      <c r="A22" s="148" t="s">
        <v>93</v>
      </c>
      <c r="B22" s="169">
        <v>184.4997</v>
      </c>
      <c r="C22" s="171">
        <v>2.9</v>
      </c>
      <c r="D22" s="169">
        <v>13.4569</v>
      </c>
      <c r="E22" s="171">
        <v>-61.2</v>
      </c>
      <c r="F22" s="169">
        <v>20.40475</v>
      </c>
      <c r="G22" s="171">
        <v>-58.4</v>
      </c>
      <c r="H22" s="169">
        <v>27.48336</v>
      </c>
      <c r="I22" s="171">
        <v>-57.1</v>
      </c>
      <c r="J22" s="169">
        <v>33.85828</v>
      </c>
      <c r="K22" s="171">
        <v>-58.9</v>
      </c>
      <c r="L22" s="169">
        <v>41.18053</v>
      </c>
      <c r="M22" s="171">
        <v>-58.7</v>
      </c>
      <c r="N22" s="169">
        <v>47.93988</v>
      </c>
      <c r="O22" s="171">
        <v>-59.1</v>
      </c>
      <c r="P22" s="169">
        <v>55.05153</v>
      </c>
      <c r="Q22" s="171">
        <v>-59</v>
      </c>
      <c r="R22" s="169">
        <v>62.09031</v>
      </c>
      <c r="S22" s="171">
        <v>-58.5</v>
      </c>
      <c r="T22" s="169">
        <v>68.36277</v>
      </c>
      <c r="U22" s="171">
        <v>-58.3</v>
      </c>
    </row>
    <row r="23" ht="22.5" customHeight="1" spans="1:21">
      <c r="A23" s="148" t="s">
        <v>94</v>
      </c>
      <c r="B23" s="169">
        <v>87.59792</v>
      </c>
      <c r="C23" s="171">
        <v>-10.5</v>
      </c>
      <c r="D23" s="169">
        <v>11.47039</v>
      </c>
      <c r="E23" s="171">
        <v>-19</v>
      </c>
      <c r="F23" s="169">
        <v>18.09775</v>
      </c>
      <c r="G23" s="171">
        <v>-9.9</v>
      </c>
      <c r="H23" s="169">
        <v>25.36792</v>
      </c>
      <c r="I23" s="171">
        <v>-7.1</v>
      </c>
      <c r="J23" s="169">
        <v>31.93724</v>
      </c>
      <c r="K23" s="171">
        <v>-5.6</v>
      </c>
      <c r="L23" s="169">
        <v>38.48004</v>
      </c>
      <c r="M23" s="171">
        <v>-4.8</v>
      </c>
      <c r="N23" s="169">
        <v>47.8609</v>
      </c>
      <c r="O23" s="171">
        <v>1</v>
      </c>
      <c r="P23" s="169">
        <v>55.50981</v>
      </c>
      <c r="Q23" s="171">
        <v>-3.1</v>
      </c>
      <c r="R23" s="169">
        <v>63.99236</v>
      </c>
      <c r="S23" s="171">
        <v>-1.3</v>
      </c>
      <c r="T23" s="169">
        <v>71.19479</v>
      </c>
      <c r="U23" s="171">
        <v>-1.6</v>
      </c>
    </row>
    <row r="24" ht="22.5" customHeight="1" spans="1:21">
      <c r="A24" s="148" t="s">
        <v>95</v>
      </c>
      <c r="B24" s="169">
        <v>47.10851</v>
      </c>
      <c r="C24" s="171">
        <v>-4.4</v>
      </c>
      <c r="D24" s="169">
        <v>8.21877</v>
      </c>
      <c r="E24" s="171">
        <v>-1.7</v>
      </c>
      <c r="F24" s="169">
        <v>11.91952</v>
      </c>
      <c r="G24" s="171">
        <v>-9.4</v>
      </c>
      <c r="H24" s="169">
        <v>15.26322</v>
      </c>
      <c r="I24" s="171">
        <v>-15.4</v>
      </c>
      <c r="J24" s="169">
        <v>18.87009</v>
      </c>
      <c r="K24" s="171">
        <v>-11.9</v>
      </c>
      <c r="L24" s="169">
        <v>23.37163</v>
      </c>
      <c r="M24" s="171">
        <v>-5.9</v>
      </c>
      <c r="N24" s="169">
        <v>26.26538</v>
      </c>
      <c r="O24" s="171">
        <v>-9.4</v>
      </c>
      <c r="P24" s="169">
        <v>30.11491</v>
      </c>
      <c r="Q24" s="171">
        <v>-4.8</v>
      </c>
      <c r="R24" s="169">
        <v>33.45987</v>
      </c>
      <c r="S24" s="171">
        <v>-1.5</v>
      </c>
      <c r="T24" s="169">
        <v>36.17119</v>
      </c>
      <c r="U24" s="171">
        <v>-5.5</v>
      </c>
    </row>
    <row r="25" ht="22.5" customHeight="1" spans="1:21">
      <c r="A25" s="148" t="s">
        <v>96</v>
      </c>
      <c r="B25" s="169">
        <v>103.55943</v>
      </c>
      <c r="C25" s="171">
        <v>-5.3</v>
      </c>
      <c r="D25" s="169">
        <v>19.33186</v>
      </c>
      <c r="E25" s="171">
        <v>44</v>
      </c>
      <c r="F25" s="169">
        <v>32.13066</v>
      </c>
      <c r="G25" s="171">
        <v>48.8</v>
      </c>
      <c r="H25" s="169">
        <v>42.40709</v>
      </c>
      <c r="I25" s="171">
        <v>44.4</v>
      </c>
      <c r="J25" s="169">
        <v>52.28597</v>
      </c>
      <c r="K25" s="171">
        <v>41</v>
      </c>
      <c r="L25" s="169">
        <v>61.85061</v>
      </c>
      <c r="M25" s="171">
        <v>37.2</v>
      </c>
      <c r="N25" s="169">
        <v>72.26279</v>
      </c>
      <c r="O25" s="171">
        <v>33.5</v>
      </c>
      <c r="P25" s="169">
        <v>81.9065</v>
      </c>
      <c r="Q25" s="171">
        <v>27.9</v>
      </c>
      <c r="R25" s="169">
        <v>91.6185</v>
      </c>
      <c r="S25" s="171">
        <v>25.2</v>
      </c>
      <c r="T25" s="169">
        <v>99.87991</v>
      </c>
      <c r="U25" s="171">
        <v>19.3</v>
      </c>
    </row>
    <row r="26" ht="22.5" customHeight="1" spans="1:21">
      <c r="A26" s="148" t="s">
        <v>97</v>
      </c>
      <c r="B26" s="169">
        <v>227.72892</v>
      </c>
      <c r="C26" s="171">
        <v>-6.9</v>
      </c>
      <c r="D26" s="169">
        <v>38.62699</v>
      </c>
      <c r="E26" s="171">
        <v>7.2</v>
      </c>
      <c r="F26" s="169">
        <v>59.02364</v>
      </c>
      <c r="G26" s="171">
        <v>9.1</v>
      </c>
      <c r="H26" s="169">
        <v>79.94734</v>
      </c>
      <c r="I26" s="171">
        <v>9.5</v>
      </c>
      <c r="J26" s="169">
        <v>98.97152</v>
      </c>
      <c r="K26" s="171">
        <v>10.2</v>
      </c>
      <c r="L26" s="169">
        <v>119.98194</v>
      </c>
      <c r="M26" s="171">
        <v>12.2</v>
      </c>
      <c r="N26" s="169">
        <v>139.61392</v>
      </c>
      <c r="O26" s="171">
        <v>9.3</v>
      </c>
      <c r="P26" s="169">
        <v>159.19393</v>
      </c>
      <c r="Q26" s="171">
        <v>7.4</v>
      </c>
      <c r="R26" s="169">
        <v>179.40556</v>
      </c>
      <c r="S26" s="171">
        <v>5.9</v>
      </c>
      <c r="T26" s="169">
        <v>200.05303</v>
      </c>
      <c r="U26" s="171">
        <v>6.2</v>
      </c>
    </row>
    <row r="27" ht="22.5" customHeight="1" spans="1:21">
      <c r="A27" s="148" t="s">
        <v>98</v>
      </c>
      <c r="B27" s="169">
        <v>151.29639</v>
      </c>
      <c r="C27" s="171">
        <v>-5.2</v>
      </c>
      <c r="D27" s="169">
        <v>21.19085</v>
      </c>
      <c r="E27" s="171">
        <v>-3.3</v>
      </c>
      <c r="F27" s="169">
        <v>32.04252</v>
      </c>
      <c r="G27" s="171">
        <v>-3.2</v>
      </c>
      <c r="H27" s="169">
        <v>41.0242</v>
      </c>
      <c r="I27" s="171">
        <v>-9.7</v>
      </c>
      <c r="J27" s="169">
        <v>52.5962</v>
      </c>
      <c r="K27" s="171">
        <v>-9</v>
      </c>
      <c r="L27" s="169">
        <v>64.3114</v>
      </c>
      <c r="M27" s="171">
        <v>-9.4</v>
      </c>
      <c r="N27" s="169">
        <v>75.80184</v>
      </c>
      <c r="O27" s="171">
        <v>-9.7</v>
      </c>
      <c r="P27" s="169">
        <v>88.63195</v>
      </c>
      <c r="Q27" s="171">
        <v>-9.2</v>
      </c>
      <c r="R27" s="169">
        <v>101.44053</v>
      </c>
      <c r="S27" s="171">
        <v>-9.5</v>
      </c>
      <c r="T27" s="169">
        <v>113.40614</v>
      </c>
      <c r="U27" s="171">
        <v>-10.1</v>
      </c>
    </row>
    <row r="28" ht="22.5" customHeight="1" spans="1:21">
      <c r="A28" s="152" t="s">
        <v>431</v>
      </c>
      <c r="B28" s="172">
        <v>1796.9932</v>
      </c>
      <c r="C28" s="173">
        <v>-4.6</v>
      </c>
      <c r="D28" s="172">
        <v>271.44054</v>
      </c>
      <c r="E28" s="173">
        <v>-3.4</v>
      </c>
      <c r="F28" s="172">
        <v>406.74004</v>
      </c>
      <c r="G28" s="173">
        <v>-1.5</v>
      </c>
      <c r="H28" s="172">
        <v>545.36337</v>
      </c>
      <c r="I28" s="173">
        <v>7.6</v>
      </c>
      <c r="J28" s="172">
        <v>688.9426</v>
      </c>
      <c r="K28" s="173">
        <v>12.5</v>
      </c>
      <c r="L28" s="172">
        <v>825.86363</v>
      </c>
      <c r="M28" s="173">
        <v>10.9</v>
      </c>
      <c r="N28" s="172">
        <v>963.01114</v>
      </c>
      <c r="O28" s="173">
        <v>8.5</v>
      </c>
      <c r="P28" s="172">
        <v>1101.48923</v>
      </c>
      <c r="Q28" s="173">
        <v>6.7</v>
      </c>
      <c r="R28" s="172">
        <v>1237.58073</v>
      </c>
      <c r="S28" s="173">
        <v>5.6</v>
      </c>
      <c r="T28" s="172">
        <v>1379.57614</v>
      </c>
      <c r="U28" s="173">
        <v>5.4</v>
      </c>
    </row>
    <row r="29" ht="50" customHeight="1" spans="1:21">
      <c r="A29" s="174"/>
      <c r="B29" s="174"/>
      <c r="C29" s="174"/>
      <c r="D29" s="174"/>
      <c r="E29" s="174"/>
      <c r="F29" s="174"/>
      <c r="G29" s="174"/>
      <c r="H29" s="174"/>
      <c r="I29" s="174"/>
      <c r="J29" s="174"/>
      <c r="K29" s="174"/>
      <c r="L29" s="174"/>
      <c r="M29" s="174"/>
      <c r="N29" s="174"/>
      <c r="O29" s="174"/>
      <c r="P29" s="174"/>
      <c r="Q29" s="174"/>
      <c r="R29" s="174"/>
      <c r="S29" s="174"/>
    </row>
  </sheetData>
  <mergeCells count="12">
    <mergeCell ref="A1:U1"/>
    <mergeCell ref="B2:C2"/>
    <mergeCell ref="D2:E2"/>
    <mergeCell ref="F2:G2"/>
    <mergeCell ref="H2:I2"/>
    <mergeCell ref="J2:K2"/>
    <mergeCell ref="L2:M2"/>
    <mergeCell ref="N2:O2"/>
    <mergeCell ref="P2:Q2"/>
    <mergeCell ref="R2:S2"/>
    <mergeCell ref="T2:U2"/>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W29"/>
  <sheetViews>
    <sheetView zoomScale="80" zoomScaleNormal="80" workbookViewId="0">
      <pane xSplit="1" ySplit="3" topLeftCell="O6" activePane="bottomRight" state="frozen"/>
      <selection/>
      <selection pane="topRight"/>
      <selection pane="bottomLeft"/>
      <selection pane="bottomRight" activeCell="B28" sqref="B28"/>
    </sheetView>
  </sheetViews>
  <sheetFormatPr defaultColWidth="9" defaultRowHeight="14.25"/>
  <cols>
    <col min="1" max="1" width="25.625" style="133" customWidth="1"/>
    <col min="2" max="2" width="10.375" style="133"/>
    <col min="3" max="21" width="9.375" style="133"/>
    <col min="22" max="22" width="10.375" style="133"/>
    <col min="23" max="23" width="9.375" style="133"/>
    <col min="24" max="172" width="9" style="133"/>
    <col min="173" max="16384" width="9" style="134"/>
  </cols>
  <sheetData>
    <row r="1" ht="28.5" customHeight="1" spans="1:23">
      <c r="A1" s="135" t="s">
        <v>444</v>
      </c>
      <c r="B1" s="135"/>
      <c r="C1" s="135"/>
      <c r="D1" s="135"/>
      <c r="E1" s="135"/>
      <c r="F1" s="135"/>
      <c r="G1" s="135"/>
      <c r="H1" s="135"/>
      <c r="I1" s="135"/>
      <c r="J1" s="135"/>
      <c r="K1" s="135"/>
      <c r="L1" s="135"/>
      <c r="M1" s="135"/>
      <c r="N1" s="135"/>
      <c r="O1" s="135"/>
      <c r="P1" s="135"/>
      <c r="Q1" s="135"/>
      <c r="R1" s="135"/>
      <c r="S1" s="135"/>
      <c r="T1" s="135"/>
      <c r="U1" s="135"/>
      <c r="V1" s="135"/>
      <c r="W1" s="135"/>
    </row>
    <row r="2" ht="21" customHeight="1" spans="1:23">
      <c r="A2" s="136" t="s">
        <v>1</v>
      </c>
      <c r="B2" s="137" t="s">
        <v>3</v>
      </c>
      <c r="C2" s="138"/>
      <c r="D2" s="137" t="s">
        <v>4</v>
      </c>
      <c r="E2" s="138"/>
      <c r="F2" s="137" t="s">
        <v>5</v>
      </c>
      <c r="G2" s="138"/>
      <c r="H2" s="137" t="s">
        <v>6</v>
      </c>
      <c r="I2" s="138"/>
      <c r="J2" s="137" t="s">
        <v>7</v>
      </c>
      <c r="K2" s="138"/>
      <c r="L2" s="137" t="s">
        <v>8</v>
      </c>
      <c r="M2" s="138"/>
      <c r="N2" s="137" t="s">
        <v>9</v>
      </c>
      <c r="O2" s="138"/>
      <c r="P2" s="137" t="s">
        <v>10</v>
      </c>
      <c r="Q2" s="138"/>
      <c r="R2" s="137" t="s">
        <v>11</v>
      </c>
      <c r="S2" s="138"/>
      <c r="T2" s="137" t="s">
        <v>12</v>
      </c>
      <c r="U2" s="138"/>
      <c r="V2" s="137" t="s">
        <v>13</v>
      </c>
      <c r="W2" s="138"/>
    </row>
    <row r="3" ht="21" customHeight="1" spans="1:23">
      <c r="A3" s="139"/>
      <c r="B3" s="140" t="s">
        <v>14</v>
      </c>
      <c r="C3" s="141" t="s">
        <v>15</v>
      </c>
      <c r="D3" s="140" t="s">
        <v>14</v>
      </c>
      <c r="E3" s="141" t="s">
        <v>15</v>
      </c>
      <c r="F3" s="140" t="s">
        <v>14</v>
      </c>
      <c r="G3" s="141" t="s">
        <v>15</v>
      </c>
      <c r="H3" s="140" t="s">
        <v>14</v>
      </c>
      <c r="I3" s="141" t="s">
        <v>15</v>
      </c>
      <c r="J3" s="140" t="s">
        <v>14</v>
      </c>
      <c r="K3" s="141" t="s">
        <v>15</v>
      </c>
      <c r="L3" s="140" t="s">
        <v>14</v>
      </c>
      <c r="M3" s="141" t="s">
        <v>15</v>
      </c>
      <c r="N3" s="140" t="s">
        <v>14</v>
      </c>
      <c r="O3" s="141" t="s">
        <v>15</v>
      </c>
      <c r="P3" s="140" t="s">
        <v>14</v>
      </c>
      <c r="Q3" s="141" t="s">
        <v>15</v>
      </c>
      <c r="R3" s="140" t="s">
        <v>14</v>
      </c>
      <c r="S3" s="141" t="s">
        <v>15</v>
      </c>
      <c r="T3" s="140" t="s">
        <v>14</v>
      </c>
      <c r="U3" s="141" t="s">
        <v>15</v>
      </c>
      <c r="V3" s="140" t="s">
        <v>14</v>
      </c>
      <c r="W3" s="141" t="s">
        <v>15</v>
      </c>
    </row>
    <row r="4" ht="33" customHeight="1" spans="1:23">
      <c r="A4" s="142" t="s">
        <v>302</v>
      </c>
      <c r="B4" s="143"/>
      <c r="C4" s="144"/>
      <c r="D4" s="143"/>
      <c r="E4" s="144"/>
      <c r="F4" s="143"/>
      <c r="G4" s="144"/>
      <c r="H4" s="143"/>
      <c r="I4" s="144"/>
      <c r="J4" s="143"/>
      <c r="K4" s="144"/>
      <c r="L4" s="143"/>
      <c r="M4" s="144"/>
      <c r="N4" s="143"/>
      <c r="O4" s="144"/>
      <c r="P4" s="143"/>
      <c r="Q4" s="144"/>
      <c r="R4" s="143"/>
      <c r="S4" s="144"/>
      <c r="T4" s="143"/>
      <c r="U4" s="144"/>
      <c r="V4" s="143"/>
      <c r="W4" s="144"/>
    </row>
    <row r="5" ht="24" customHeight="1" spans="1:23">
      <c r="A5" s="145" t="s">
        <v>430</v>
      </c>
      <c r="B5" s="146">
        <v>1987.45464</v>
      </c>
      <c r="C5" s="147">
        <v>1.53</v>
      </c>
      <c r="D5" s="146">
        <v>259.8447</v>
      </c>
      <c r="E5" s="147">
        <v>1.01</v>
      </c>
      <c r="F5" s="146">
        <v>381.62659</v>
      </c>
      <c r="G5" s="147">
        <v>1.6495</v>
      </c>
      <c r="H5" s="146">
        <v>504.339</v>
      </c>
      <c r="I5" s="147">
        <v>1.84</v>
      </c>
      <c r="J5" s="146">
        <v>626.5142</v>
      </c>
      <c r="K5" s="147">
        <v>2.06</v>
      </c>
      <c r="L5" s="146">
        <v>763.1877</v>
      </c>
      <c r="M5" s="147">
        <v>4.3</v>
      </c>
      <c r="N5" s="146">
        <v>902.3366</v>
      </c>
      <c r="O5" s="147">
        <v>4.08</v>
      </c>
      <c r="P5" s="146">
        <v>1037.31704</v>
      </c>
      <c r="Q5" s="147">
        <v>3.65</v>
      </c>
      <c r="R5" s="146">
        <v>1184.7481</v>
      </c>
      <c r="S5" s="147">
        <v>3.31</v>
      </c>
      <c r="T5" s="146">
        <v>1334.5605</v>
      </c>
      <c r="U5" s="147">
        <v>3.3</v>
      </c>
      <c r="V5" s="146">
        <v>1486.47006</v>
      </c>
      <c r="W5" s="147">
        <v>3.14</v>
      </c>
    </row>
    <row r="6" ht="24" customHeight="1" spans="1:23">
      <c r="A6" s="148" t="s">
        <v>90</v>
      </c>
      <c r="B6" s="146">
        <v>452.76074</v>
      </c>
      <c r="C6" s="147">
        <v>1.24</v>
      </c>
      <c r="D6" s="146">
        <v>41.74836</v>
      </c>
      <c r="E6" s="147">
        <v>-0.08</v>
      </c>
      <c r="F6" s="146">
        <v>61.77109</v>
      </c>
      <c r="G6" s="147">
        <v>0.14</v>
      </c>
      <c r="H6" s="146">
        <v>81.4502</v>
      </c>
      <c r="I6" s="147">
        <v>-0.07</v>
      </c>
      <c r="J6" s="146">
        <v>101.17556</v>
      </c>
      <c r="K6" s="147">
        <v>-0.31</v>
      </c>
      <c r="L6" s="146">
        <v>121.64386</v>
      </c>
      <c r="M6" s="147">
        <v>0.21</v>
      </c>
      <c r="N6" s="146">
        <v>143.17885</v>
      </c>
      <c r="O6" s="147">
        <v>0.21</v>
      </c>
      <c r="P6" s="146">
        <v>163.92383</v>
      </c>
      <c r="Q6" s="147">
        <v>-0.14</v>
      </c>
      <c r="R6" s="146">
        <v>187.374</v>
      </c>
      <c r="S6" s="147">
        <v>0.05</v>
      </c>
      <c r="T6" s="146">
        <v>210.90242</v>
      </c>
      <c r="U6" s="147">
        <v>-0.19</v>
      </c>
      <c r="V6" s="146">
        <v>233.57058</v>
      </c>
      <c r="W6" s="147">
        <v>0.06</v>
      </c>
    </row>
    <row r="7" ht="24" customHeight="1" spans="1:23">
      <c r="A7" s="148" t="s">
        <v>91</v>
      </c>
      <c r="B7" s="146">
        <v>366.33754</v>
      </c>
      <c r="C7" s="147">
        <v>0.95</v>
      </c>
      <c r="D7" s="146">
        <v>41.65635</v>
      </c>
      <c r="E7" s="147">
        <v>-1</v>
      </c>
      <c r="F7" s="146">
        <v>61.63399</v>
      </c>
      <c r="G7" s="147">
        <v>0.41</v>
      </c>
      <c r="H7" s="146">
        <v>82.72958</v>
      </c>
      <c r="I7" s="147">
        <v>1.2</v>
      </c>
      <c r="J7" s="146">
        <v>103.91466</v>
      </c>
      <c r="K7" s="147">
        <v>2.16</v>
      </c>
      <c r="L7" s="146">
        <v>139.57382</v>
      </c>
      <c r="M7" s="147">
        <v>15.13</v>
      </c>
      <c r="N7" s="146">
        <v>163.69005</v>
      </c>
      <c r="O7" s="147">
        <v>14.32</v>
      </c>
      <c r="P7" s="146">
        <v>187.29645</v>
      </c>
      <c r="Q7" s="147">
        <v>12.85</v>
      </c>
      <c r="R7" s="146">
        <v>211.09083</v>
      </c>
      <c r="S7" s="147">
        <v>11.26</v>
      </c>
      <c r="T7" s="146">
        <v>236.35535</v>
      </c>
      <c r="U7" s="147">
        <v>10.74</v>
      </c>
      <c r="V7" s="146">
        <v>262.5647</v>
      </c>
      <c r="W7" s="147">
        <v>10.74</v>
      </c>
    </row>
    <row r="8" ht="24" customHeight="1" spans="1:23">
      <c r="A8" s="148" t="s">
        <v>92</v>
      </c>
      <c r="B8" s="146">
        <v>48.14113</v>
      </c>
      <c r="C8" s="147">
        <v>2.56</v>
      </c>
      <c r="D8" s="146">
        <v>7.63626</v>
      </c>
      <c r="E8" s="147">
        <v>1.91</v>
      </c>
      <c r="F8" s="146">
        <v>10.9069</v>
      </c>
      <c r="G8" s="147">
        <v>1.56</v>
      </c>
      <c r="H8" s="146">
        <v>14.44</v>
      </c>
      <c r="I8" s="147">
        <v>1.3</v>
      </c>
      <c r="J8" s="146">
        <v>17.89746</v>
      </c>
      <c r="K8" s="147">
        <v>1.12</v>
      </c>
      <c r="L8" s="146">
        <v>21.32888</v>
      </c>
      <c r="M8" s="147">
        <v>0.81</v>
      </c>
      <c r="N8" s="146">
        <v>25.24135</v>
      </c>
      <c r="O8" s="147">
        <v>0.35</v>
      </c>
      <c r="P8" s="146">
        <v>28.99097</v>
      </c>
      <c r="Q8" s="147">
        <v>0.08</v>
      </c>
      <c r="R8" s="146">
        <v>33.11041</v>
      </c>
      <c r="S8" s="147">
        <v>0.05</v>
      </c>
      <c r="T8" s="146">
        <v>37.11578</v>
      </c>
      <c r="U8" s="147">
        <v>0.04</v>
      </c>
      <c r="V8" s="146">
        <v>41.41964</v>
      </c>
      <c r="W8" s="147">
        <v>0.16</v>
      </c>
    </row>
    <row r="9" ht="24" customHeight="1" spans="1:23">
      <c r="A9" s="148" t="s">
        <v>93</v>
      </c>
      <c r="B9" s="146">
        <v>161.14152</v>
      </c>
      <c r="C9" s="147">
        <v>0.9</v>
      </c>
      <c r="D9" s="146">
        <v>32.48778</v>
      </c>
      <c r="E9" s="147">
        <v>1.26</v>
      </c>
      <c r="F9" s="146">
        <v>47.66182</v>
      </c>
      <c r="G9" s="147">
        <v>1.14</v>
      </c>
      <c r="H9" s="146">
        <v>62.50953</v>
      </c>
      <c r="I9" s="147">
        <v>1.06</v>
      </c>
      <c r="J9" s="146">
        <v>76.99226</v>
      </c>
      <c r="K9" s="147">
        <v>1.55</v>
      </c>
      <c r="L9" s="146">
        <v>91.90252</v>
      </c>
      <c r="M9" s="147">
        <v>1.92</v>
      </c>
      <c r="N9" s="146">
        <v>109.06658</v>
      </c>
      <c r="O9" s="147">
        <v>2.2</v>
      </c>
      <c r="P9" s="146">
        <v>125.94497</v>
      </c>
      <c r="Q9" s="147">
        <v>2.25</v>
      </c>
      <c r="R9" s="146">
        <v>143.30611</v>
      </c>
      <c r="S9" s="147">
        <v>2.36</v>
      </c>
      <c r="T9" s="146">
        <v>162.32379</v>
      </c>
      <c r="U9" s="147">
        <v>2.61</v>
      </c>
      <c r="V9" s="146">
        <v>180.93335</v>
      </c>
      <c r="W9" s="147">
        <v>2.45</v>
      </c>
    </row>
    <row r="10" ht="24" customHeight="1" spans="1:23">
      <c r="A10" s="148" t="s">
        <v>94</v>
      </c>
      <c r="B10" s="146">
        <v>176.61394</v>
      </c>
      <c r="C10" s="147">
        <v>1.62</v>
      </c>
      <c r="D10" s="146">
        <v>27.57005</v>
      </c>
      <c r="E10" s="147">
        <v>2.21</v>
      </c>
      <c r="F10" s="146">
        <v>40.41333</v>
      </c>
      <c r="G10" s="147">
        <v>2.01</v>
      </c>
      <c r="H10" s="146">
        <v>53.28821</v>
      </c>
      <c r="I10" s="147">
        <v>2.01</v>
      </c>
      <c r="J10" s="146">
        <v>66.66651</v>
      </c>
      <c r="K10" s="147">
        <v>2.78</v>
      </c>
      <c r="L10" s="146">
        <v>77.6215</v>
      </c>
      <c r="M10" s="147">
        <v>2.89</v>
      </c>
      <c r="N10" s="146">
        <v>92.12512</v>
      </c>
      <c r="O10" s="147">
        <v>2.89</v>
      </c>
      <c r="P10" s="146">
        <v>105.91234</v>
      </c>
      <c r="Q10" s="147">
        <v>2.62</v>
      </c>
      <c r="R10" s="146">
        <v>121.81916</v>
      </c>
      <c r="S10" s="147">
        <v>2.59</v>
      </c>
      <c r="T10" s="146">
        <v>137.58702</v>
      </c>
      <c r="U10" s="147">
        <v>2.51</v>
      </c>
      <c r="V10" s="146">
        <v>153.6199</v>
      </c>
      <c r="W10" s="147">
        <v>2.34</v>
      </c>
    </row>
    <row r="11" ht="24" customHeight="1" spans="1:23">
      <c r="A11" s="148" t="s">
        <v>95</v>
      </c>
      <c r="B11" s="146">
        <v>81.63372</v>
      </c>
      <c r="C11" s="147">
        <v>1.91</v>
      </c>
      <c r="D11" s="146">
        <v>17.79687</v>
      </c>
      <c r="E11" s="147">
        <v>2.1</v>
      </c>
      <c r="F11" s="146">
        <v>26.05688</v>
      </c>
      <c r="G11" s="147">
        <v>1.7</v>
      </c>
      <c r="H11" s="146">
        <v>34.36023</v>
      </c>
      <c r="I11" s="147">
        <v>1.56</v>
      </c>
      <c r="J11" s="146">
        <v>42.55146</v>
      </c>
      <c r="K11" s="147">
        <v>2.2</v>
      </c>
      <c r="L11" s="146">
        <v>50.74163</v>
      </c>
      <c r="M11" s="147">
        <v>2.39</v>
      </c>
      <c r="N11" s="146">
        <v>59.83395</v>
      </c>
      <c r="O11" s="147">
        <v>2.39</v>
      </c>
      <c r="P11" s="146">
        <v>69.23322</v>
      </c>
      <c r="Q11" s="147">
        <v>2.24</v>
      </c>
      <c r="R11" s="146">
        <v>79.04412</v>
      </c>
      <c r="S11" s="147">
        <v>2.15</v>
      </c>
      <c r="T11" s="146">
        <v>89.10822</v>
      </c>
      <c r="U11" s="147">
        <v>2.13</v>
      </c>
      <c r="V11" s="146">
        <v>99.49922</v>
      </c>
      <c r="W11" s="147">
        <v>2.01</v>
      </c>
    </row>
    <row r="12" ht="24" customHeight="1" spans="1:23">
      <c r="A12" s="148" t="s">
        <v>96</v>
      </c>
      <c r="B12" s="146">
        <v>197.93671</v>
      </c>
      <c r="C12" s="147">
        <v>1.73</v>
      </c>
      <c r="D12" s="146">
        <v>29.84095</v>
      </c>
      <c r="E12" s="147">
        <v>1.22</v>
      </c>
      <c r="F12" s="146">
        <v>43.28281</v>
      </c>
      <c r="G12" s="147">
        <v>0.9</v>
      </c>
      <c r="H12" s="146">
        <v>57.0917</v>
      </c>
      <c r="I12" s="147">
        <v>0.81</v>
      </c>
      <c r="J12" s="146">
        <v>70.23494</v>
      </c>
      <c r="K12" s="147">
        <v>1.29</v>
      </c>
      <c r="L12" s="146">
        <v>83.85534</v>
      </c>
      <c r="M12" s="147">
        <v>1.53</v>
      </c>
      <c r="N12" s="146">
        <v>99.59728</v>
      </c>
      <c r="O12" s="147">
        <v>1.59</v>
      </c>
      <c r="P12" s="146">
        <v>114.3541</v>
      </c>
      <c r="Q12" s="147">
        <v>1.43</v>
      </c>
      <c r="R12" s="146">
        <v>131.62418</v>
      </c>
      <c r="S12" s="147">
        <v>1.42</v>
      </c>
      <c r="T12" s="146">
        <v>148.54354</v>
      </c>
      <c r="U12" s="147">
        <v>1.5</v>
      </c>
      <c r="V12" s="146">
        <v>165.29459</v>
      </c>
      <c r="W12" s="147">
        <v>1.47</v>
      </c>
    </row>
    <row r="13" ht="24" customHeight="1" spans="1:23">
      <c r="A13" s="148" t="s">
        <v>97</v>
      </c>
      <c r="B13" s="146">
        <v>160.41507</v>
      </c>
      <c r="C13" s="147">
        <v>2.51</v>
      </c>
      <c r="D13" s="146">
        <v>24.49671</v>
      </c>
      <c r="E13" s="147">
        <v>1.98</v>
      </c>
      <c r="F13" s="146">
        <v>36.3394</v>
      </c>
      <c r="G13" s="147">
        <v>1.31</v>
      </c>
      <c r="H13" s="146">
        <v>47.75062</v>
      </c>
      <c r="I13" s="147">
        <v>1.44</v>
      </c>
      <c r="J13" s="146">
        <v>59.08915</v>
      </c>
      <c r="K13" s="147">
        <v>1.95</v>
      </c>
      <c r="L13" s="146">
        <v>70.58967</v>
      </c>
      <c r="M13" s="147">
        <v>2.44</v>
      </c>
      <c r="N13" s="146">
        <v>83.67079</v>
      </c>
      <c r="O13" s="147">
        <v>2.41</v>
      </c>
      <c r="P13" s="146">
        <v>96.47973</v>
      </c>
      <c r="Q13" s="147">
        <v>2.13</v>
      </c>
      <c r="R13" s="146">
        <v>110.6528</v>
      </c>
      <c r="S13" s="147">
        <v>2.36</v>
      </c>
      <c r="T13" s="146">
        <v>124.28521</v>
      </c>
      <c r="U13" s="147">
        <v>2.2</v>
      </c>
      <c r="V13" s="146">
        <v>138.63009</v>
      </c>
      <c r="W13" s="147">
        <v>2.07</v>
      </c>
    </row>
    <row r="14" ht="24" customHeight="1" spans="1:23">
      <c r="A14" s="148" t="s">
        <v>98</v>
      </c>
      <c r="B14" s="146">
        <v>342.47423</v>
      </c>
      <c r="C14" s="147">
        <v>1.99</v>
      </c>
      <c r="D14" s="146">
        <v>36.61137</v>
      </c>
      <c r="E14" s="147">
        <v>1.95</v>
      </c>
      <c r="F14" s="146">
        <v>53.56037</v>
      </c>
      <c r="G14" s="147">
        <v>1.74</v>
      </c>
      <c r="H14" s="146">
        <v>70.71895</v>
      </c>
      <c r="I14" s="147">
        <v>1.55</v>
      </c>
      <c r="J14" s="146">
        <v>87.99222</v>
      </c>
      <c r="K14" s="147">
        <v>2.08</v>
      </c>
      <c r="L14" s="146">
        <v>105.93048</v>
      </c>
      <c r="M14" s="147">
        <v>2.35</v>
      </c>
      <c r="N14" s="146">
        <v>125.93264</v>
      </c>
      <c r="O14" s="147">
        <v>2.35</v>
      </c>
      <c r="P14" s="146">
        <v>145.18144</v>
      </c>
      <c r="Q14" s="147">
        <v>2.18</v>
      </c>
      <c r="R14" s="146">
        <v>166.72651</v>
      </c>
      <c r="S14" s="147">
        <v>2.24</v>
      </c>
      <c r="T14" s="146">
        <v>188.3392</v>
      </c>
      <c r="U14" s="147">
        <v>2.12</v>
      </c>
      <c r="V14" s="146">
        <v>210.93803</v>
      </c>
      <c r="W14" s="147">
        <v>2.07</v>
      </c>
    </row>
    <row r="15" ht="24" customHeight="1" spans="1:23">
      <c r="A15" s="148" t="s">
        <v>431</v>
      </c>
      <c r="B15" s="146">
        <v>132.64813</v>
      </c>
      <c r="C15" s="147">
        <v>4.69</v>
      </c>
      <c r="D15" s="146">
        <v>22.15132</v>
      </c>
      <c r="E15" s="147">
        <v>3.81</v>
      </c>
      <c r="F15" s="146">
        <v>33.15438</v>
      </c>
      <c r="G15" s="147">
        <v>4.73</v>
      </c>
      <c r="H15" s="146">
        <v>44.56394</v>
      </c>
      <c r="I15" s="147">
        <v>5.15</v>
      </c>
      <c r="J15" s="146">
        <v>56.46015</v>
      </c>
      <c r="K15" s="147">
        <v>5.67</v>
      </c>
      <c r="L15" s="146">
        <v>67.3463</v>
      </c>
      <c r="M15" s="147">
        <v>6</v>
      </c>
      <c r="N15" s="146">
        <v>80.16378</v>
      </c>
      <c r="O15" s="147">
        <v>6.24</v>
      </c>
      <c r="P15" s="146">
        <v>92.99575</v>
      </c>
      <c r="Q15" s="147">
        <v>5.93</v>
      </c>
      <c r="R15" s="146">
        <v>105.49828</v>
      </c>
      <c r="S15" s="147">
        <v>5.35</v>
      </c>
      <c r="T15" s="146">
        <v>118.20118</v>
      </c>
      <c r="U15" s="147">
        <v>4.96</v>
      </c>
      <c r="V15" s="146">
        <v>131.54428</v>
      </c>
      <c r="W15" s="147">
        <v>4.55</v>
      </c>
    </row>
    <row r="16" ht="22.9" customHeight="1" spans="1:23">
      <c r="A16" s="148"/>
      <c r="B16" s="164"/>
      <c r="C16" s="160"/>
      <c r="D16" s="164"/>
      <c r="E16" s="160"/>
      <c r="F16" s="164"/>
      <c r="G16" s="160"/>
      <c r="H16" s="164"/>
      <c r="I16" s="160"/>
      <c r="J16" s="164"/>
      <c r="K16" s="160"/>
      <c r="L16" s="164"/>
      <c r="M16" s="160"/>
      <c r="N16" s="164"/>
      <c r="O16" s="160"/>
      <c r="P16" s="164"/>
      <c r="Q16" s="160"/>
      <c r="R16" s="164"/>
      <c r="S16" s="160"/>
      <c r="T16" s="164"/>
      <c r="U16" s="160"/>
      <c r="V16" s="164"/>
      <c r="W16" s="160"/>
    </row>
    <row r="17" ht="33" customHeight="1" spans="1:23">
      <c r="A17" s="149" t="s">
        <v>445</v>
      </c>
      <c r="B17" s="164"/>
      <c r="C17" s="160"/>
      <c r="D17" s="164"/>
      <c r="E17" s="160"/>
      <c r="F17" s="164"/>
      <c r="G17" s="160"/>
      <c r="H17" s="164"/>
      <c r="I17" s="160"/>
      <c r="J17" s="164"/>
      <c r="K17" s="160"/>
      <c r="L17" s="164"/>
      <c r="M17" s="160"/>
      <c r="N17" s="164"/>
      <c r="O17" s="160"/>
      <c r="P17" s="164"/>
      <c r="Q17" s="160"/>
      <c r="R17" s="164"/>
      <c r="S17" s="160"/>
      <c r="T17" s="164"/>
      <c r="U17" s="160"/>
      <c r="V17" s="164"/>
      <c r="W17" s="160"/>
    </row>
    <row r="18" ht="24" customHeight="1" spans="1:23">
      <c r="A18" s="145" t="s">
        <v>430</v>
      </c>
      <c r="B18" s="146"/>
      <c r="C18" s="147">
        <v>-11.3</v>
      </c>
      <c r="D18" s="146"/>
      <c r="E18" s="147">
        <v>8.6</v>
      </c>
      <c r="F18" s="146"/>
      <c r="G18" s="147">
        <v>8.7</v>
      </c>
      <c r="H18" s="146"/>
      <c r="I18" s="147">
        <v>4.67883866873623</v>
      </c>
      <c r="J18" s="146"/>
      <c r="K18" s="147">
        <v>1.10375275724533</v>
      </c>
      <c r="L18" s="146"/>
      <c r="M18" s="147">
        <v>-4.53734085531219</v>
      </c>
      <c r="N18" s="146"/>
      <c r="O18" s="147">
        <v>-6.96882016305189</v>
      </c>
      <c r="P18" s="146"/>
      <c r="Q18" s="147">
        <v>-8.94790726270841</v>
      </c>
      <c r="R18" s="146"/>
      <c r="S18" s="147">
        <v>-9.52273861501286</v>
      </c>
      <c r="T18" s="146"/>
      <c r="U18" s="147">
        <v>-10.5746596864876</v>
      </c>
      <c r="V18" s="146"/>
      <c r="W18" s="147">
        <v>-11.2742902183106</v>
      </c>
    </row>
    <row r="19" ht="24" customHeight="1" spans="1:23">
      <c r="A19" s="148" t="s">
        <v>90</v>
      </c>
      <c r="B19" s="150"/>
      <c r="C19" s="151">
        <v>-28</v>
      </c>
      <c r="D19" s="150"/>
      <c r="E19" s="151">
        <v>-30.5</v>
      </c>
      <c r="F19" s="150"/>
      <c r="G19" s="151">
        <v>-25.6</v>
      </c>
      <c r="H19" s="150"/>
      <c r="I19" s="151">
        <v>-23.8506655945213</v>
      </c>
      <c r="J19" s="150"/>
      <c r="K19" s="151">
        <v>-23.9159931550212</v>
      </c>
      <c r="L19" s="150"/>
      <c r="M19" s="151">
        <v>-24.7903274696893</v>
      </c>
      <c r="N19" s="150"/>
      <c r="O19" s="151">
        <v>-26.8602026881284</v>
      </c>
      <c r="P19" s="150"/>
      <c r="Q19" s="151">
        <v>-27.1044748887921</v>
      </c>
      <c r="R19" s="150"/>
      <c r="S19" s="151">
        <v>-26.3091446348114</v>
      </c>
      <c r="T19" s="150"/>
      <c r="U19" s="151">
        <v>-21.7509162506306</v>
      </c>
      <c r="V19" s="150"/>
      <c r="W19" s="151">
        <v>-19.9790252859232</v>
      </c>
    </row>
    <row r="20" ht="24" customHeight="1" spans="1:23">
      <c r="A20" s="148" t="s">
        <v>91</v>
      </c>
      <c r="B20" s="146"/>
      <c r="C20" s="147">
        <v>-26</v>
      </c>
      <c r="D20" s="146"/>
      <c r="E20" s="147">
        <v>76.2</v>
      </c>
      <c r="F20" s="146"/>
      <c r="G20" s="147">
        <v>39.6</v>
      </c>
      <c r="H20" s="146"/>
      <c r="I20" s="147">
        <v>49.9374138752135</v>
      </c>
      <c r="J20" s="146"/>
      <c r="K20" s="147">
        <v>34.9173436899432</v>
      </c>
      <c r="L20" s="146"/>
      <c r="M20" s="147">
        <v>24.8084149090688</v>
      </c>
      <c r="N20" s="146"/>
      <c r="O20" s="147">
        <v>22.3172680667788</v>
      </c>
      <c r="P20" s="146"/>
      <c r="Q20" s="147">
        <v>21.2969991993592</v>
      </c>
      <c r="R20" s="146"/>
      <c r="S20" s="147">
        <v>18.734186536554</v>
      </c>
      <c r="T20" s="146"/>
      <c r="U20" s="147">
        <v>15.5464079714048</v>
      </c>
      <c r="V20" s="146"/>
      <c r="W20" s="147">
        <v>20.913407641865</v>
      </c>
    </row>
    <row r="21" ht="24" customHeight="1" spans="1:23">
      <c r="A21" s="148" t="s">
        <v>92</v>
      </c>
      <c r="B21" s="146"/>
      <c r="C21" s="147">
        <v>-21.4</v>
      </c>
      <c r="D21" s="146"/>
      <c r="E21" s="147">
        <v>1.1</v>
      </c>
      <c r="F21" s="146"/>
      <c r="G21" s="147">
        <v>3.3</v>
      </c>
      <c r="H21" s="146"/>
      <c r="I21" s="147">
        <v>6.7422790281984</v>
      </c>
      <c r="J21" s="146"/>
      <c r="K21" s="147">
        <v>7.72905928477763</v>
      </c>
      <c r="L21" s="146"/>
      <c r="M21" s="147">
        <v>6.67915244340568</v>
      </c>
      <c r="N21" s="146"/>
      <c r="O21" s="147">
        <v>-0.213817573828734</v>
      </c>
      <c r="P21" s="146"/>
      <c r="Q21" s="147">
        <v>-2.47114172950172</v>
      </c>
      <c r="R21" s="146"/>
      <c r="S21" s="147">
        <v>-1.05896162646799</v>
      </c>
      <c r="T21" s="146"/>
      <c r="U21" s="147">
        <v>-2.56633715570047</v>
      </c>
      <c r="V21" s="146"/>
      <c r="W21" s="147">
        <v>-0.358606549062017</v>
      </c>
    </row>
    <row r="22" ht="24" customHeight="1" spans="1:23">
      <c r="A22" s="148" t="s">
        <v>93</v>
      </c>
      <c r="B22" s="146"/>
      <c r="C22" s="147">
        <v>-19.2</v>
      </c>
      <c r="D22" s="146"/>
      <c r="E22" s="147">
        <v>21.3</v>
      </c>
      <c r="F22" s="146"/>
      <c r="G22" s="147">
        <v>12.6</v>
      </c>
      <c r="H22" s="146"/>
      <c r="I22" s="147">
        <v>7.35426908800483</v>
      </c>
      <c r="J22" s="146"/>
      <c r="K22" s="147">
        <v>7.22858532448525</v>
      </c>
      <c r="L22" s="146"/>
      <c r="M22" s="147">
        <v>0.125886044616763</v>
      </c>
      <c r="N22" s="146"/>
      <c r="O22" s="147">
        <v>-4.73120406617618</v>
      </c>
      <c r="P22" s="146"/>
      <c r="Q22" s="147">
        <v>-12.504046541907</v>
      </c>
      <c r="R22" s="146"/>
      <c r="S22" s="147">
        <v>-11.6907056603202</v>
      </c>
      <c r="T22" s="146"/>
      <c r="U22" s="147">
        <v>-9.50791548443371</v>
      </c>
      <c r="V22" s="146"/>
      <c r="W22" s="147">
        <v>-8.72631058248471</v>
      </c>
    </row>
    <row r="23" ht="24" customHeight="1" spans="1:23">
      <c r="A23" s="148" t="s">
        <v>94</v>
      </c>
      <c r="B23" s="146"/>
      <c r="C23" s="147">
        <v>-36.3</v>
      </c>
      <c r="D23" s="146"/>
      <c r="E23" s="147">
        <v>40.2</v>
      </c>
      <c r="F23" s="146"/>
      <c r="G23" s="147">
        <v>0.2</v>
      </c>
      <c r="H23" s="146"/>
      <c r="I23" s="147">
        <v>0.60437751111786</v>
      </c>
      <c r="J23" s="146"/>
      <c r="K23" s="147">
        <v>0.600259265177698</v>
      </c>
      <c r="L23" s="146"/>
      <c r="M23" s="147">
        <v>-8.15607792168522</v>
      </c>
      <c r="N23" s="146"/>
      <c r="O23" s="147">
        <v>-2.51077621993703</v>
      </c>
      <c r="P23" s="146"/>
      <c r="Q23" s="147">
        <v>-3.9319271410873</v>
      </c>
      <c r="R23" s="146"/>
      <c r="S23" s="147">
        <v>-8.25020254305647</v>
      </c>
      <c r="T23" s="146"/>
      <c r="U23" s="147">
        <v>-11.6319387572229</v>
      </c>
      <c r="V23" s="146"/>
      <c r="W23" s="147">
        <v>-13.5290550594158</v>
      </c>
    </row>
    <row r="24" ht="24" customHeight="1" spans="1:23">
      <c r="A24" s="148" t="s">
        <v>95</v>
      </c>
      <c r="B24" s="146"/>
      <c r="C24" s="147">
        <v>-31</v>
      </c>
      <c r="D24" s="146"/>
      <c r="E24" s="147">
        <v>1.1</v>
      </c>
      <c r="F24" s="146"/>
      <c r="G24" s="147">
        <v>15.7</v>
      </c>
      <c r="H24" s="146"/>
      <c r="I24" s="147">
        <v>6.96480671943714</v>
      </c>
      <c r="J24" s="146"/>
      <c r="K24" s="147">
        <v>15.1</v>
      </c>
      <c r="L24" s="146"/>
      <c r="M24" s="147">
        <v>8.59290578848204</v>
      </c>
      <c r="N24" s="146"/>
      <c r="O24" s="147">
        <v>13.1625401961541</v>
      </c>
      <c r="P24" s="146"/>
      <c r="Q24" s="147">
        <v>10.1876927890531</v>
      </c>
      <c r="R24" s="146"/>
      <c r="S24" s="147">
        <v>9.6978149215436</v>
      </c>
      <c r="T24" s="146"/>
      <c r="U24" s="147">
        <v>1.75410421502964</v>
      </c>
      <c r="V24" s="146"/>
      <c r="W24" s="147">
        <v>9.67665419029409</v>
      </c>
    </row>
    <row r="25" ht="24" customHeight="1" spans="1:23">
      <c r="A25" s="148" t="s">
        <v>96</v>
      </c>
      <c r="B25" s="146"/>
      <c r="C25" s="147">
        <v>10.4</v>
      </c>
      <c r="D25" s="146"/>
      <c r="E25" s="147">
        <v>-16.7</v>
      </c>
      <c r="F25" s="146"/>
      <c r="G25" s="147">
        <v>-17.8</v>
      </c>
      <c r="H25" s="146"/>
      <c r="I25" s="147">
        <v>-15.8294681156626</v>
      </c>
      <c r="J25" s="146"/>
      <c r="K25" s="147">
        <v>-24.6247781530262</v>
      </c>
      <c r="L25" s="146"/>
      <c r="M25" s="147">
        <v>-24.6984897454963</v>
      </c>
      <c r="N25" s="146"/>
      <c r="O25" s="147">
        <v>-27.1349764328987</v>
      </c>
      <c r="P25" s="146"/>
      <c r="Q25" s="147">
        <v>-28.8974796005029</v>
      </c>
      <c r="R25" s="146"/>
      <c r="S25" s="147">
        <v>-25.8077370379959</v>
      </c>
      <c r="T25" s="146"/>
      <c r="U25" s="147">
        <v>-23.7825492262921</v>
      </c>
      <c r="V25" s="146"/>
      <c r="W25" s="147">
        <v>-27.6715667280777</v>
      </c>
    </row>
    <row r="26" ht="24" customHeight="1" spans="1:23">
      <c r="A26" s="148" t="s">
        <v>97</v>
      </c>
      <c r="B26" s="146"/>
      <c r="C26" s="147">
        <v>-14.2</v>
      </c>
      <c r="D26" s="146"/>
      <c r="E26" s="147">
        <v>-6.8</v>
      </c>
      <c r="F26" s="146"/>
      <c r="G26" s="147">
        <v>2.4</v>
      </c>
      <c r="H26" s="146"/>
      <c r="I26" s="147">
        <v>-4.02623456916287</v>
      </c>
      <c r="J26" s="146"/>
      <c r="K26" s="147">
        <v>-4.53162318022642</v>
      </c>
      <c r="L26" s="146"/>
      <c r="M26" s="147">
        <v>-16.5038014044945</v>
      </c>
      <c r="N26" s="146"/>
      <c r="O26" s="147">
        <v>-14.6981514256845</v>
      </c>
      <c r="P26" s="146"/>
      <c r="Q26" s="147">
        <v>-12.1869734553658</v>
      </c>
      <c r="R26" s="146"/>
      <c r="S26" s="147">
        <v>-13.7401647310723</v>
      </c>
      <c r="T26" s="146"/>
      <c r="U26" s="147">
        <v>-12.5712716271892</v>
      </c>
      <c r="V26" s="146"/>
      <c r="W26" s="147">
        <v>-14.4039877826031</v>
      </c>
    </row>
    <row r="27" ht="24" customHeight="1" spans="1:23">
      <c r="A27" s="148" t="s">
        <v>98</v>
      </c>
      <c r="B27" s="146"/>
      <c r="C27" s="147">
        <v>0.7</v>
      </c>
      <c r="D27" s="146"/>
      <c r="E27" s="147">
        <v>36.8</v>
      </c>
      <c r="F27" s="146"/>
      <c r="G27" s="147">
        <v>52.1</v>
      </c>
      <c r="H27" s="146"/>
      <c r="I27" s="147">
        <v>39.3597187421144</v>
      </c>
      <c r="J27" s="146"/>
      <c r="K27" s="147">
        <v>32.5278905998225</v>
      </c>
      <c r="L27" s="146"/>
      <c r="M27" s="147">
        <v>18.2142334446025</v>
      </c>
      <c r="N27" s="146"/>
      <c r="O27" s="147">
        <v>11.80106261504</v>
      </c>
      <c r="P27" s="146"/>
      <c r="Q27" s="147">
        <v>9.19609554156229</v>
      </c>
      <c r="R27" s="146"/>
      <c r="S27" s="147">
        <v>9.7355491112519</v>
      </c>
      <c r="T27" s="146"/>
      <c r="U27" s="147">
        <v>8.73220525854872</v>
      </c>
      <c r="V27" s="146"/>
      <c r="W27" s="147">
        <v>3.27954684619982</v>
      </c>
    </row>
    <row r="28" ht="24" customHeight="1" spans="1:23">
      <c r="A28" s="152" t="s">
        <v>446</v>
      </c>
      <c r="B28" s="153"/>
      <c r="C28" s="154">
        <v>9.8</v>
      </c>
      <c r="D28" s="153"/>
      <c r="E28" s="154">
        <v>-4.6</v>
      </c>
      <c r="F28" s="153"/>
      <c r="G28" s="154">
        <v>6</v>
      </c>
      <c r="H28" s="153"/>
      <c r="I28" s="154">
        <v>-7.54033387877149</v>
      </c>
      <c r="J28" s="153"/>
      <c r="K28" s="154">
        <v>-13.698879542444</v>
      </c>
      <c r="L28" s="153"/>
      <c r="M28" s="154">
        <v>-17.1801083812604</v>
      </c>
      <c r="N28" s="153"/>
      <c r="O28" s="154">
        <v>-19.6699143980745</v>
      </c>
      <c r="P28" s="153"/>
      <c r="Q28" s="154">
        <v>-21.6319570051273</v>
      </c>
      <c r="R28" s="153"/>
      <c r="S28" s="154">
        <v>-23.5433283985152</v>
      </c>
      <c r="T28" s="153"/>
      <c r="U28" s="154">
        <v>-25.6958193895054</v>
      </c>
      <c r="V28" s="153"/>
      <c r="W28" s="154">
        <v>-27.6466613318847</v>
      </c>
    </row>
    <row r="29" ht="62" customHeight="1" spans="1:23">
      <c r="A29" s="155" t="s">
        <v>447</v>
      </c>
      <c r="B29" s="155"/>
      <c r="C29" s="155"/>
      <c r="D29" s="155"/>
      <c r="E29" s="155"/>
      <c r="F29" s="155"/>
      <c r="G29" s="155"/>
      <c r="H29" s="155"/>
      <c r="I29" s="155"/>
      <c r="J29" s="155"/>
      <c r="K29" s="155"/>
      <c r="L29" s="155"/>
      <c r="M29" s="155"/>
      <c r="N29" s="155"/>
      <c r="O29" s="155"/>
      <c r="P29" s="155"/>
      <c r="Q29" s="155"/>
      <c r="R29" s="155"/>
      <c r="S29" s="155"/>
      <c r="T29" s="155"/>
      <c r="U29" s="155"/>
      <c r="V29" s="155"/>
      <c r="W29" s="155"/>
    </row>
  </sheetData>
  <mergeCells count="14">
    <mergeCell ref="A1:W1"/>
    <mergeCell ref="B2:C2"/>
    <mergeCell ref="D2:E2"/>
    <mergeCell ref="F2:G2"/>
    <mergeCell ref="H2:I2"/>
    <mergeCell ref="J2:K2"/>
    <mergeCell ref="L2:M2"/>
    <mergeCell ref="N2:O2"/>
    <mergeCell ref="P2:Q2"/>
    <mergeCell ref="R2:S2"/>
    <mergeCell ref="T2:U2"/>
    <mergeCell ref="V2:W2"/>
    <mergeCell ref="A29:W29"/>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FP29"/>
  <sheetViews>
    <sheetView zoomScale="80" zoomScaleNormal="80" workbookViewId="0">
      <pane xSplit="1" ySplit="3" topLeftCell="B10" activePane="bottomRight" state="frozen"/>
      <selection/>
      <selection pane="topRight"/>
      <selection pane="bottomLeft"/>
      <selection pane="bottomRight" activeCell="I38" sqref="I38"/>
    </sheetView>
  </sheetViews>
  <sheetFormatPr defaultColWidth="9" defaultRowHeight="14.25"/>
  <cols>
    <col min="1" max="1" width="25.625" style="133" customWidth="1"/>
    <col min="2" max="2" width="11.7166666666667" style="133" customWidth="1"/>
    <col min="3" max="3" width="9" style="133"/>
    <col min="4" max="4" width="10.4666666666667" style="133" customWidth="1"/>
    <col min="5" max="21" width="9" style="133"/>
    <col min="22" max="22" width="11.7166666666667" style="133" customWidth="1"/>
    <col min="23" max="170" width="9" style="133"/>
    <col min="171" max="16384" width="9" style="134"/>
  </cols>
  <sheetData>
    <row r="1" ht="28.5" customHeight="1" spans="1:23">
      <c r="A1" s="135" t="s">
        <v>448</v>
      </c>
      <c r="B1" s="135"/>
      <c r="C1" s="135"/>
      <c r="D1" s="135"/>
      <c r="E1" s="135"/>
      <c r="F1" s="135"/>
      <c r="G1" s="135"/>
      <c r="H1" s="135"/>
      <c r="I1" s="135"/>
      <c r="J1" s="135"/>
      <c r="K1" s="135"/>
      <c r="L1" s="135"/>
      <c r="M1" s="135"/>
      <c r="N1" s="135"/>
      <c r="O1" s="135"/>
      <c r="P1" s="135"/>
      <c r="Q1" s="135"/>
      <c r="R1" s="135"/>
      <c r="S1" s="135"/>
      <c r="T1" s="135"/>
      <c r="U1" s="135"/>
      <c r="V1" s="135"/>
      <c r="W1" s="135"/>
    </row>
    <row r="2" ht="21" customHeight="1" spans="1:23">
      <c r="A2" s="136" t="s">
        <v>1</v>
      </c>
      <c r="B2" s="137" t="s">
        <v>3</v>
      </c>
      <c r="C2" s="138"/>
      <c r="D2" s="137" t="s">
        <v>4</v>
      </c>
      <c r="E2" s="138"/>
      <c r="F2" s="137" t="s">
        <v>5</v>
      </c>
      <c r="G2" s="138"/>
      <c r="H2" s="137" t="s">
        <v>6</v>
      </c>
      <c r="I2" s="138"/>
      <c r="J2" s="137" t="s">
        <v>7</v>
      </c>
      <c r="K2" s="138"/>
      <c r="L2" s="137" t="s">
        <v>8</v>
      </c>
      <c r="M2" s="138"/>
      <c r="N2" s="137" t="s">
        <v>9</v>
      </c>
      <c r="O2" s="138"/>
      <c r="P2" s="137" t="s">
        <v>10</v>
      </c>
      <c r="Q2" s="138"/>
      <c r="R2" s="137" t="s">
        <v>11</v>
      </c>
      <c r="S2" s="138"/>
      <c r="T2" s="137" t="s">
        <v>12</v>
      </c>
      <c r="U2" s="138"/>
      <c r="V2" s="137" t="s">
        <v>13</v>
      </c>
      <c r="W2" s="138"/>
    </row>
    <row r="3" ht="37" customHeight="1" spans="1:23">
      <c r="A3" s="139"/>
      <c r="B3" s="140" t="s">
        <v>14</v>
      </c>
      <c r="C3" s="141" t="s">
        <v>15</v>
      </c>
      <c r="D3" s="140" t="s">
        <v>14</v>
      </c>
      <c r="E3" s="141" t="s">
        <v>15</v>
      </c>
      <c r="F3" s="140" t="s">
        <v>14</v>
      </c>
      <c r="G3" s="141" t="s">
        <v>15</v>
      </c>
      <c r="H3" s="140" t="s">
        <v>14</v>
      </c>
      <c r="I3" s="141" t="s">
        <v>15</v>
      </c>
      <c r="J3" s="140" t="s">
        <v>14</v>
      </c>
      <c r="K3" s="141" t="s">
        <v>15</v>
      </c>
      <c r="L3" s="140" t="s">
        <v>14</v>
      </c>
      <c r="M3" s="141" t="s">
        <v>15</v>
      </c>
      <c r="N3" s="140" t="s">
        <v>14</v>
      </c>
      <c r="O3" s="141" t="s">
        <v>15</v>
      </c>
      <c r="P3" s="140" t="s">
        <v>14</v>
      </c>
      <c r="Q3" s="141" t="s">
        <v>15</v>
      </c>
      <c r="R3" s="140" t="s">
        <v>14</v>
      </c>
      <c r="S3" s="141" t="s">
        <v>15</v>
      </c>
      <c r="T3" s="140" t="s">
        <v>14</v>
      </c>
      <c r="U3" s="141" t="s">
        <v>15</v>
      </c>
      <c r="V3" s="140" t="s">
        <v>14</v>
      </c>
      <c r="W3" s="141" t="s">
        <v>15</v>
      </c>
    </row>
    <row r="4" ht="33" customHeight="1" spans="1:23">
      <c r="A4" s="142" t="s">
        <v>449</v>
      </c>
      <c r="B4" s="143"/>
      <c r="C4" s="144"/>
      <c r="D4" s="143"/>
      <c r="E4" s="144"/>
      <c r="F4" s="143"/>
      <c r="G4" s="144"/>
      <c r="H4" s="143"/>
      <c r="I4" s="144"/>
      <c r="J4" s="143"/>
      <c r="K4" s="144"/>
      <c r="L4" s="143"/>
      <c r="M4" s="144"/>
      <c r="N4" s="143"/>
      <c r="O4" s="144"/>
      <c r="P4" s="143"/>
      <c r="Q4" s="144"/>
      <c r="R4" s="143"/>
      <c r="S4" s="144"/>
      <c r="T4" s="143"/>
      <c r="U4" s="144"/>
      <c r="V4" s="143"/>
      <c r="W4" s="144"/>
    </row>
    <row r="5" ht="24" customHeight="1" spans="1:23">
      <c r="A5" s="145" t="s">
        <v>430</v>
      </c>
      <c r="B5" s="146"/>
      <c r="C5" s="147">
        <v>12.7</v>
      </c>
      <c r="D5" s="146"/>
      <c r="E5" s="147">
        <v>0.6</v>
      </c>
      <c r="F5" s="146"/>
      <c r="G5" s="147">
        <v>9.4</v>
      </c>
      <c r="H5" s="146"/>
      <c r="I5" s="147">
        <v>4.99455343204733</v>
      </c>
      <c r="J5" s="146"/>
      <c r="K5" s="147">
        <v>0.158120249770107</v>
      </c>
      <c r="L5" s="146"/>
      <c r="M5" s="147">
        <v>-4.17073885879624</v>
      </c>
      <c r="N5" s="146"/>
      <c r="O5" s="147">
        <v>-8.67865193636462</v>
      </c>
      <c r="P5" s="146"/>
      <c r="Q5" s="147">
        <v>-10.5979642464387</v>
      </c>
      <c r="R5" s="146"/>
      <c r="S5" s="147">
        <v>-11.3095324600301</v>
      </c>
      <c r="T5" s="146"/>
      <c r="U5" s="147">
        <v>-12.439233940035</v>
      </c>
      <c r="V5" s="146"/>
      <c r="W5" s="147">
        <v>-13.3933316653648</v>
      </c>
    </row>
    <row r="6" ht="24" customHeight="1" spans="1:23">
      <c r="A6" s="148" t="s">
        <v>90</v>
      </c>
      <c r="B6" s="146"/>
      <c r="C6" s="147">
        <v>-30.4</v>
      </c>
      <c r="D6" s="146"/>
      <c r="E6" s="147">
        <v>-25.8</v>
      </c>
      <c r="F6" s="146"/>
      <c r="G6" s="147">
        <v>-30</v>
      </c>
      <c r="H6" s="146"/>
      <c r="I6" s="147">
        <v>32.5213050084016</v>
      </c>
      <c r="J6" s="146"/>
      <c r="K6" s="147">
        <v>18.917952350375</v>
      </c>
      <c r="L6" s="146"/>
      <c r="M6" s="147">
        <v>38.8169842939967</v>
      </c>
      <c r="N6" s="146"/>
      <c r="O6" s="147">
        <v>21.7562480474187</v>
      </c>
      <c r="P6" s="146"/>
      <c r="Q6" s="147">
        <v>32.8019669165929</v>
      </c>
      <c r="R6" s="146"/>
      <c r="S6" s="147">
        <v>38.655252396622</v>
      </c>
      <c r="T6" s="146"/>
      <c r="U6" s="147">
        <v>85.5138154391441</v>
      </c>
      <c r="V6" s="146"/>
      <c r="W6" s="147">
        <v>89.3169057844411</v>
      </c>
    </row>
    <row r="7" ht="24" customHeight="1" spans="1:23">
      <c r="A7" s="148" t="s">
        <v>91</v>
      </c>
      <c r="B7" s="146"/>
      <c r="C7" s="147">
        <v>-58.3</v>
      </c>
      <c r="D7" s="146"/>
      <c r="E7" s="147">
        <v>-63.1</v>
      </c>
      <c r="F7" s="146"/>
      <c r="G7" s="147">
        <v>27</v>
      </c>
      <c r="H7" s="146"/>
      <c r="I7" s="147">
        <v>221.215519275029</v>
      </c>
      <c r="J7" s="146"/>
      <c r="K7" s="147">
        <v>126.394313333333</v>
      </c>
      <c r="L7" s="146"/>
      <c r="M7" s="147">
        <v>63.8326968393492</v>
      </c>
      <c r="N7" s="146"/>
      <c r="O7" s="147">
        <v>46.3852433230315</v>
      </c>
      <c r="P7" s="146"/>
      <c r="Q7" s="147">
        <v>54.4766194948325</v>
      </c>
      <c r="R7" s="146"/>
      <c r="S7" s="147">
        <v>52.8208424643789</v>
      </c>
      <c r="T7" s="146"/>
      <c r="U7" s="147">
        <v>54.2311851286524</v>
      </c>
      <c r="V7" s="146"/>
      <c r="W7" s="147">
        <v>65.5843370914799</v>
      </c>
    </row>
    <row r="8" ht="24" customHeight="1" spans="1:23">
      <c r="A8" s="148" t="s">
        <v>92</v>
      </c>
      <c r="B8" s="146"/>
      <c r="C8" s="147">
        <v>0.7</v>
      </c>
      <c r="D8" s="146"/>
      <c r="E8" s="147">
        <v>-17.2</v>
      </c>
      <c r="F8" s="146"/>
      <c r="G8" s="147">
        <v>7.7</v>
      </c>
      <c r="H8" s="146"/>
      <c r="I8" s="147">
        <v>15.8807536040254</v>
      </c>
      <c r="J8" s="146"/>
      <c r="K8" s="147">
        <v>17.6650898207547</v>
      </c>
      <c r="L8" s="146"/>
      <c r="M8" s="147">
        <v>16.3176315389655</v>
      </c>
      <c r="N8" s="146"/>
      <c r="O8" s="147">
        <v>6.54060205299089</v>
      </c>
      <c r="P8" s="146"/>
      <c r="Q8" s="147">
        <v>3.34212893523633</v>
      </c>
      <c r="R8" s="146"/>
      <c r="S8" s="147">
        <v>3.51073190161361</v>
      </c>
      <c r="T8" s="146"/>
      <c r="U8" s="147">
        <v>2.97398978945426</v>
      </c>
      <c r="V8" s="146"/>
      <c r="W8" s="147">
        <v>7.87170454252065</v>
      </c>
    </row>
    <row r="9" ht="24" customHeight="1" spans="1:23">
      <c r="A9" s="148" t="s">
        <v>93</v>
      </c>
      <c r="B9" s="146"/>
      <c r="C9" s="147">
        <v>-10</v>
      </c>
      <c r="D9" s="146"/>
      <c r="E9" s="147">
        <v>-32.1</v>
      </c>
      <c r="F9" s="146"/>
      <c r="G9" s="147">
        <v>-25.9</v>
      </c>
      <c r="H9" s="146"/>
      <c r="I9" s="147">
        <v>-20.6588147885692</v>
      </c>
      <c r="J9" s="146"/>
      <c r="K9" s="147">
        <v>-7.51174169630566</v>
      </c>
      <c r="L9" s="146"/>
      <c r="M9" s="147">
        <v>2.47588269888273</v>
      </c>
      <c r="N9" s="146"/>
      <c r="O9" s="147">
        <v>3.5052969236568</v>
      </c>
      <c r="P9" s="146"/>
      <c r="Q9" s="147">
        <v>4.44643030134009</v>
      </c>
      <c r="R9" s="146"/>
      <c r="S9" s="147">
        <v>-3.83177497690646</v>
      </c>
      <c r="T9" s="146"/>
      <c r="U9" s="147">
        <v>-4.55047904674036</v>
      </c>
      <c r="V9" s="146"/>
      <c r="W9" s="147">
        <v>-2.09377904438207</v>
      </c>
    </row>
    <row r="10" ht="24" customHeight="1" spans="1:23">
      <c r="A10" s="148" t="s">
        <v>94</v>
      </c>
      <c r="B10" s="146"/>
      <c r="C10" s="147">
        <v>16.1</v>
      </c>
      <c r="D10" s="146"/>
      <c r="E10" s="147">
        <v>102.1</v>
      </c>
      <c r="F10" s="146"/>
      <c r="G10" s="147">
        <v>282.1</v>
      </c>
      <c r="H10" s="146"/>
      <c r="I10" s="147">
        <v>225.444716826953</v>
      </c>
      <c r="J10" s="146"/>
      <c r="K10" s="147">
        <v>170.229662049362</v>
      </c>
      <c r="L10" s="146"/>
      <c r="M10" s="147">
        <v>111.866898703793</v>
      </c>
      <c r="N10" s="146"/>
      <c r="O10" s="147">
        <v>96.2606434289692</v>
      </c>
      <c r="P10" s="146"/>
      <c r="Q10" s="147">
        <v>80.7754442649434</v>
      </c>
      <c r="R10" s="146"/>
      <c r="S10" s="147">
        <v>66.2825027567318</v>
      </c>
      <c r="T10" s="146"/>
      <c r="U10" s="147">
        <v>53.367707719505</v>
      </c>
      <c r="V10" s="146"/>
      <c r="W10" s="147">
        <v>32.1900310455832</v>
      </c>
    </row>
    <row r="11" ht="24" customHeight="1" spans="1:23">
      <c r="A11" s="148" t="s">
        <v>95</v>
      </c>
      <c r="B11" s="146"/>
      <c r="C11" s="147">
        <v>-36.7</v>
      </c>
      <c r="D11" s="146"/>
      <c r="E11" s="147">
        <v>60.1</v>
      </c>
      <c r="F11" s="146"/>
      <c r="G11" s="147">
        <v>114.1</v>
      </c>
      <c r="H11" s="146"/>
      <c r="I11" s="147">
        <v>89.3382796650594</v>
      </c>
      <c r="J11" s="146"/>
      <c r="K11" s="147">
        <v>89.9564463442179</v>
      </c>
      <c r="L11" s="146"/>
      <c r="M11" s="147">
        <v>65.4464193805391</v>
      </c>
      <c r="N11" s="146"/>
      <c r="O11" s="147">
        <v>61.4043440577225</v>
      </c>
      <c r="P11" s="146"/>
      <c r="Q11" s="147">
        <v>46.636012268344</v>
      </c>
      <c r="R11" s="146"/>
      <c r="S11" s="147">
        <v>36.934431840461</v>
      </c>
      <c r="T11" s="146"/>
      <c r="U11" s="147">
        <v>16.6610070967697</v>
      </c>
      <c r="V11" s="146"/>
      <c r="W11" s="147">
        <v>31.0996805498781</v>
      </c>
    </row>
    <row r="12" ht="24" customHeight="1" spans="1:23">
      <c r="A12" s="148" t="s">
        <v>96</v>
      </c>
      <c r="B12" s="146"/>
      <c r="C12" s="147">
        <v>39.9</v>
      </c>
      <c r="D12" s="146"/>
      <c r="E12" s="147">
        <v>-15.8</v>
      </c>
      <c r="F12" s="146"/>
      <c r="G12" s="147">
        <v>-40.6</v>
      </c>
      <c r="H12" s="146"/>
      <c r="I12" s="147">
        <v>-37.5641728037971</v>
      </c>
      <c r="J12" s="146"/>
      <c r="K12" s="147">
        <v>-40.9601957192641</v>
      </c>
      <c r="L12" s="146"/>
      <c r="M12" s="147">
        <v>-42.014054272517</v>
      </c>
      <c r="N12" s="146"/>
      <c r="O12" s="147">
        <v>-42.0421812241776</v>
      </c>
      <c r="P12" s="146"/>
      <c r="Q12" s="147">
        <v>-43.2901922966754</v>
      </c>
      <c r="R12" s="146"/>
      <c r="S12" s="147">
        <v>-38.9368460503438</v>
      </c>
      <c r="T12" s="146"/>
      <c r="U12" s="147">
        <v>-35.7539319536695</v>
      </c>
      <c r="V12" s="146"/>
      <c r="W12" s="147">
        <v>-35.2283903639731</v>
      </c>
    </row>
    <row r="13" ht="24" customHeight="1" spans="1:23">
      <c r="A13" s="148" t="s">
        <v>97</v>
      </c>
      <c r="B13" s="146"/>
      <c r="C13" s="147">
        <v>22.9</v>
      </c>
      <c r="D13" s="146"/>
      <c r="E13" s="147">
        <v>-32.2</v>
      </c>
      <c r="F13" s="146"/>
      <c r="G13" s="147">
        <v>0.6</v>
      </c>
      <c r="H13" s="146"/>
      <c r="I13" s="147">
        <v>-16.9991342645359</v>
      </c>
      <c r="J13" s="146"/>
      <c r="K13" s="147">
        <v>-16.9795656826497</v>
      </c>
      <c r="L13" s="146"/>
      <c r="M13" s="147">
        <v>-24.0047228123757</v>
      </c>
      <c r="N13" s="146"/>
      <c r="O13" s="147">
        <v>-23.7790523584454</v>
      </c>
      <c r="P13" s="146"/>
      <c r="Q13" s="147">
        <v>-16.6203057415672</v>
      </c>
      <c r="R13" s="146"/>
      <c r="S13" s="147">
        <v>-18.7516098708704</v>
      </c>
      <c r="T13" s="146"/>
      <c r="U13" s="147">
        <v>-16.9852775799728</v>
      </c>
      <c r="V13" s="146"/>
      <c r="W13" s="147">
        <v>-22.3435306236647</v>
      </c>
    </row>
    <row r="14" ht="24" customHeight="1" spans="1:23">
      <c r="A14" s="148" t="s">
        <v>98</v>
      </c>
      <c r="B14" s="146"/>
      <c r="C14" s="147">
        <v>17.5</v>
      </c>
      <c r="D14" s="146"/>
      <c r="E14" s="147">
        <v>71.3</v>
      </c>
      <c r="F14" s="146"/>
      <c r="G14" s="147">
        <v>59.7</v>
      </c>
      <c r="H14" s="146"/>
      <c r="I14" s="147">
        <v>34.7927295423524</v>
      </c>
      <c r="J14" s="146"/>
      <c r="K14" s="147">
        <v>25.8626407061259</v>
      </c>
      <c r="L14" s="146"/>
      <c r="M14" s="147">
        <v>18.7610834825946</v>
      </c>
      <c r="N14" s="146"/>
      <c r="O14" s="147">
        <v>10.0980553252017</v>
      </c>
      <c r="P14" s="146"/>
      <c r="Q14" s="147">
        <v>7.52529295465357</v>
      </c>
      <c r="R14" s="146"/>
      <c r="S14" s="147">
        <v>10.8082349377654</v>
      </c>
      <c r="T14" s="146"/>
      <c r="U14" s="147">
        <v>10.2271040223656</v>
      </c>
      <c r="V14" s="146"/>
      <c r="W14" s="147">
        <v>5.75454848490583</v>
      </c>
    </row>
    <row r="15" ht="24" customHeight="1" spans="1:23">
      <c r="A15" s="148" t="s">
        <v>99</v>
      </c>
      <c r="B15" s="146"/>
      <c r="C15" s="147">
        <v>25.7</v>
      </c>
      <c r="D15" s="146"/>
      <c r="E15" s="147">
        <v>4.5</v>
      </c>
      <c r="F15" s="146"/>
      <c r="G15" s="147">
        <v>-1.9</v>
      </c>
      <c r="H15" s="146"/>
      <c r="I15" s="147">
        <v>-9.26068368035898</v>
      </c>
      <c r="J15" s="146"/>
      <c r="K15" s="147">
        <v>-15.6140674610057</v>
      </c>
      <c r="L15" s="146"/>
      <c r="M15" s="147">
        <v>-19.2194652391015</v>
      </c>
      <c r="N15" s="146"/>
      <c r="O15" s="147">
        <v>-21.9748871982612</v>
      </c>
      <c r="P15" s="146"/>
      <c r="Q15" s="147">
        <v>-24.2804663345905</v>
      </c>
      <c r="R15" s="146"/>
      <c r="S15" s="147">
        <v>-26.5215524955987</v>
      </c>
      <c r="T15" s="146"/>
      <c r="U15" s="147">
        <v>-29.0282482350477</v>
      </c>
      <c r="V15" s="146"/>
      <c r="W15" s="147">
        <v>-31.7383621317452</v>
      </c>
    </row>
    <row r="16" ht="22.9" customHeight="1" spans="1:23">
      <c r="A16" s="148"/>
      <c r="B16" s="146"/>
      <c r="C16" s="147"/>
      <c r="D16" s="146"/>
      <c r="E16" s="147"/>
      <c r="F16" s="146"/>
      <c r="G16" s="147"/>
      <c r="H16" s="146"/>
      <c r="I16" s="147"/>
      <c r="J16" s="146"/>
      <c r="K16" s="147"/>
      <c r="L16" s="146"/>
      <c r="M16" s="147"/>
      <c r="N16" s="146"/>
      <c r="O16" s="147"/>
      <c r="P16" s="146"/>
      <c r="Q16" s="147"/>
      <c r="R16" s="146"/>
      <c r="S16" s="147"/>
      <c r="T16" s="146"/>
      <c r="U16" s="147"/>
      <c r="V16" s="146"/>
      <c r="W16" s="147"/>
    </row>
    <row r="17" ht="33" customHeight="1" spans="1:172">
      <c r="A17" s="149" t="s">
        <v>450</v>
      </c>
      <c r="B17" s="146"/>
      <c r="C17" s="147"/>
      <c r="D17" s="146"/>
      <c r="E17" s="147"/>
      <c r="F17" s="146"/>
      <c r="G17" s="147"/>
      <c r="H17" s="146"/>
      <c r="I17" s="147"/>
      <c r="J17" s="146"/>
      <c r="K17" s="147"/>
      <c r="L17" s="146"/>
      <c r="M17" s="147"/>
      <c r="N17" s="146"/>
      <c r="O17" s="147"/>
      <c r="P17" s="146"/>
      <c r="Q17" s="147"/>
      <c r="R17" s="146"/>
      <c r="S17" s="147"/>
      <c r="T17" s="146"/>
      <c r="U17" s="147"/>
      <c r="V17" s="146"/>
      <c r="W17" s="147"/>
    </row>
    <row r="18" ht="24" customHeight="1" spans="1:172">
      <c r="A18" s="148" t="s">
        <v>430</v>
      </c>
      <c r="B18" s="146"/>
      <c r="C18" s="147">
        <v>-37.5949672946857</v>
      </c>
      <c r="D18" s="146"/>
      <c r="E18" s="147">
        <v>-25.2362860292221</v>
      </c>
      <c r="F18" s="146"/>
      <c r="G18" s="147">
        <v>-35.6</v>
      </c>
      <c r="H18" s="146"/>
      <c r="I18" s="147">
        <v>-31.9401687688047</v>
      </c>
      <c r="J18" s="146"/>
      <c r="K18" s="147">
        <v>-29.9544649554454</v>
      </c>
      <c r="L18" s="146"/>
      <c r="M18" s="147">
        <v>-28.6816839279028</v>
      </c>
      <c r="N18" s="146"/>
      <c r="O18" s="147">
        <v>-27.0370452578075</v>
      </c>
      <c r="P18" s="146"/>
      <c r="Q18" s="147">
        <v>-26.835248128804</v>
      </c>
      <c r="R18" s="146"/>
      <c r="S18" s="147">
        <v>-25.1808346918648</v>
      </c>
      <c r="T18" s="146"/>
      <c r="U18" s="147">
        <v>-24.8127137688638</v>
      </c>
      <c r="V18" s="146"/>
      <c r="W18" s="147">
        <v>-24.145685483849</v>
      </c>
    </row>
    <row r="19" ht="24" customHeight="1" spans="1:172">
      <c r="A19" s="148" t="s">
        <v>90</v>
      </c>
      <c r="B19" s="150"/>
      <c r="C19" s="151">
        <v>-34.8366445252622</v>
      </c>
      <c r="D19" s="150"/>
      <c r="E19" s="151">
        <v>-42.5832355092805</v>
      </c>
      <c r="F19" s="150"/>
      <c r="G19" s="151">
        <v>-39.6</v>
      </c>
      <c r="H19" s="150"/>
      <c r="I19" s="151">
        <v>-34.6123425954834</v>
      </c>
      <c r="J19" s="150"/>
      <c r="K19" s="151">
        <v>-32.4036797760136</v>
      </c>
      <c r="L19" s="150"/>
      <c r="M19" s="151">
        <v>-31.7528272588773</v>
      </c>
      <c r="N19" s="150"/>
      <c r="O19" s="151">
        <v>-31.1411185582414</v>
      </c>
      <c r="P19" s="150"/>
      <c r="Q19" s="151">
        <v>-31.0714327653628</v>
      </c>
      <c r="R19" s="150"/>
      <c r="S19" s="151">
        <v>-30.2822372178507</v>
      </c>
      <c r="T19" s="150"/>
      <c r="U19" s="151">
        <v>-29.4969400639523</v>
      </c>
      <c r="V19" s="150"/>
      <c r="W19" s="151">
        <v>-28.2612227844575</v>
      </c>
    </row>
    <row r="20" ht="24" customHeight="1" spans="1:172">
      <c r="A20" s="148" t="s">
        <v>91</v>
      </c>
      <c r="B20" s="146"/>
      <c r="C20" s="147">
        <v>-30.8500605979115</v>
      </c>
      <c r="D20" s="146"/>
      <c r="E20" s="147">
        <v>-34.0642447794968</v>
      </c>
      <c r="F20" s="146"/>
      <c r="G20" s="147">
        <v>-33</v>
      </c>
      <c r="H20" s="146"/>
      <c r="I20" s="147">
        <v>-24.6699254703777</v>
      </c>
      <c r="J20" s="146"/>
      <c r="K20" s="147">
        <v>-26.300654043176</v>
      </c>
      <c r="L20" s="146"/>
      <c r="M20" s="147">
        <v>-26.074925290972</v>
      </c>
      <c r="N20" s="146"/>
      <c r="O20" s="147">
        <v>-20.6202285425648</v>
      </c>
      <c r="P20" s="146"/>
      <c r="Q20" s="147">
        <v>-22.5133368606562</v>
      </c>
      <c r="R20" s="146"/>
      <c r="S20" s="147">
        <v>-19.3759296431614</v>
      </c>
      <c r="T20" s="146"/>
      <c r="U20" s="147">
        <v>-18.3609419982066</v>
      </c>
      <c r="V20" s="146"/>
      <c r="W20" s="147">
        <v>-20.142688503895</v>
      </c>
    </row>
    <row r="21" ht="24" customHeight="1" spans="1:172">
      <c r="A21" s="148" t="s">
        <v>92</v>
      </c>
      <c r="B21" s="146"/>
      <c r="C21" s="147">
        <v>-49.3993122481163</v>
      </c>
      <c r="D21" s="146"/>
      <c r="E21" s="147">
        <v>-28.4896335583414</v>
      </c>
      <c r="F21" s="146"/>
      <c r="G21" s="147">
        <v>-33.2</v>
      </c>
      <c r="H21" s="146"/>
      <c r="I21" s="147">
        <v>-30.9368879903974</v>
      </c>
      <c r="J21" s="146"/>
      <c r="K21" s="147">
        <v>-32.3039081716316</v>
      </c>
      <c r="L21" s="146"/>
      <c r="M21" s="147">
        <v>-33.4858438096837</v>
      </c>
      <c r="N21" s="146"/>
      <c r="O21" s="147">
        <v>-30.9388977059587</v>
      </c>
      <c r="P21" s="146"/>
      <c r="Q21" s="147">
        <v>-28.1360657576389</v>
      </c>
      <c r="R21" s="146"/>
      <c r="S21" s="147">
        <v>-23.0996408536404</v>
      </c>
      <c r="T21" s="146"/>
      <c r="U21" s="147">
        <v>-23.9382753887771</v>
      </c>
      <c r="V21" s="146"/>
      <c r="W21" s="147">
        <v>-25.346413990616</v>
      </c>
    </row>
    <row r="22" ht="24" customHeight="1" spans="1:172">
      <c r="A22" s="148" t="s">
        <v>93</v>
      </c>
      <c r="B22" s="146"/>
      <c r="C22" s="147">
        <v>-30.0301510084119</v>
      </c>
      <c r="D22" s="146"/>
      <c r="E22" s="147">
        <v>45.730719830234</v>
      </c>
      <c r="F22" s="146"/>
      <c r="G22" s="147">
        <v>-14.6</v>
      </c>
      <c r="H22" s="146"/>
      <c r="I22" s="147">
        <v>-26.6327736056029</v>
      </c>
      <c r="J22" s="146"/>
      <c r="K22" s="147">
        <v>-27.4242871787743</v>
      </c>
      <c r="L22" s="146"/>
      <c r="M22" s="147">
        <v>-28.008806405083</v>
      </c>
      <c r="N22" s="146"/>
      <c r="O22" s="147">
        <v>-30.0195189556036</v>
      </c>
      <c r="P22" s="146"/>
      <c r="Q22" s="147">
        <v>-33.2735646068476</v>
      </c>
      <c r="R22" s="146"/>
      <c r="S22" s="147">
        <v>-30.2448911837427</v>
      </c>
      <c r="T22" s="146"/>
      <c r="U22" s="147">
        <v>-29.1546583825101</v>
      </c>
      <c r="V22" s="146"/>
      <c r="W22" s="147">
        <v>-29.0249504576023</v>
      </c>
    </row>
    <row r="23" ht="24" customHeight="1" spans="1:172">
      <c r="A23" s="148" t="s">
        <v>94</v>
      </c>
      <c r="B23" s="146"/>
      <c r="C23" s="147">
        <v>-51.5072700270979</v>
      </c>
      <c r="D23" s="146"/>
      <c r="E23" s="147">
        <v>28.2992995589816</v>
      </c>
      <c r="F23" s="146"/>
      <c r="G23" s="147">
        <v>-61.6</v>
      </c>
      <c r="H23" s="146"/>
      <c r="I23" s="147">
        <v>-61.7632977308595</v>
      </c>
      <c r="J23" s="146"/>
      <c r="K23" s="147">
        <v>-58.4428533052301</v>
      </c>
      <c r="L23" s="146"/>
      <c r="M23" s="147">
        <v>-55.9107603778298</v>
      </c>
      <c r="N23" s="146"/>
      <c r="O23" s="147">
        <v>-53.0569970500205</v>
      </c>
      <c r="P23" s="146"/>
      <c r="Q23" s="147">
        <v>-49.6800644805777</v>
      </c>
      <c r="R23" s="146"/>
      <c r="S23" s="147">
        <v>-47.9129985269139</v>
      </c>
      <c r="T23" s="146"/>
      <c r="U23" s="147">
        <v>-47.2281664973449</v>
      </c>
      <c r="V23" s="146"/>
      <c r="W23" s="147">
        <v>-46.80794992111</v>
      </c>
    </row>
    <row r="24" ht="24" customHeight="1" spans="1:172">
      <c r="A24" s="148" t="s">
        <v>95</v>
      </c>
      <c r="B24" s="146"/>
      <c r="C24" s="147">
        <v>-54.8313526308003</v>
      </c>
      <c r="D24" s="146"/>
      <c r="E24" s="147">
        <v>-40.598645919943</v>
      </c>
      <c r="F24" s="146"/>
      <c r="G24" s="147">
        <v>-58.6</v>
      </c>
      <c r="H24" s="146"/>
      <c r="I24" s="147">
        <v>-41.6395112016293</v>
      </c>
      <c r="J24" s="146"/>
      <c r="K24" s="147">
        <v>-25.347917151501</v>
      </c>
      <c r="L24" s="146"/>
      <c r="M24" s="147">
        <v>-20.940658968828</v>
      </c>
      <c r="N24" s="146"/>
      <c r="O24" s="147">
        <v>-20.6712159304042</v>
      </c>
      <c r="P24" s="146"/>
      <c r="Q24" s="147">
        <v>-12.066370827706</v>
      </c>
      <c r="R24" s="146"/>
      <c r="S24" s="147">
        <v>-9.31957072589059</v>
      </c>
      <c r="T24" s="146"/>
      <c r="U24" s="147">
        <v>-6.42471486533977</v>
      </c>
      <c r="V24" s="146"/>
      <c r="W24" s="147">
        <v>5.96731967139117</v>
      </c>
    </row>
    <row r="25" ht="24" customHeight="1" spans="1:172">
      <c r="A25" s="148" t="s">
        <v>96</v>
      </c>
      <c r="B25" s="146"/>
      <c r="C25" s="147">
        <v>-15.3464146009721</v>
      </c>
      <c r="D25" s="146"/>
      <c r="E25" s="147">
        <v>130.810520665593</v>
      </c>
      <c r="F25" s="146"/>
      <c r="G25" s="147">
        <v>150.6</v>
      </c>
      <c r="H25" s="146"/>
      <c r="I25" s="147">
        <v>116.263919050039</v>
      </c>
      <c r="J25" s="146"/>
      <c r="K25" s="147">
        <v>114.258407079646</v>
      </c>
      <c r="L25" s="146"/>
      <c r="M25" s="147">
        <v>123.276253977875</v>
      </c>
      <c r="N25" s="146"/>
      <c r="O25" s="147">
        <v>105.165877951488</v>
      </c>
      <c r="P25" s="146"/>
      <c r="Q25" s="147">
        <v>110.154454353222</v>
      </c>
      <c r="R25" s="146"/>
      <c r="S25" s="147">
        <v>88.9675294117647</v>
      </c>
      <c r="T25" s="146"/>
      <c r="U25" s="147">
        <v>88.4814159292035</v>
      </c>
      <c r="V25" s="146"/>
      <c r="W25" s="147">
        <v>87.6835990362082</v>
      </c>
    </row>
    <row r="26" ht="24" customHeight="1" spans="1:172">
      <c r="A26" s="148" t="s">
        <v>97</v>
      </c>
      <c r="B26" s="146"/>
      <c r="C26" s="147">
        <v>-44.0993740704016</v>
      </c>
      <c r="D26" s="146"/>
      <c r="E26" s="147">
        <v>-44.3964083804456</v>
      </c>
      <c r="F26" s="146"/>
      <c r="G26" s="147">
        <v>-55.4</v>
      </c>
      <c r="H26" s="146"/>
      <c r="I26" s="147">
        <v>-42.3425202403453</v>
      </c>
      <c r="J26" s="146"/>
      <c r="K26" s="147">
        <v>-35.493643107602</v>
      </c>
      <c r="L26" s="146"/>
      <c r="M26" s="147">
        <v>-27.3596489462348</v>
      </c>
      <c r="N26" s="146"/>
      <c r="O26" s="147">
        <v>-27.9766373107274</v>
      </c>
      <c r="P26" s="146"/>
      <c r="Q26" s="147">
        <v>-27.2223366282262</v>
      </c>
      <c r="R26" s="146"/>
      <c r="S26" s="147">
        <v>-24.3759082835459</v>
      </c>
      <c r="T26" s="146"/>
      <c r="U26" s="147">
        <v>-23.1019338932121</v>
      </c>
      <c r="V26" s="146"/>
      <c r="W26" s="147">
        <v>-20.0668201054273</v>
      </c>
    </row>
    <row r="27" ht="24" customHeight="1" spans="1:172">
      <c r="A27" s="148" t="s">
        <v>98</v>
      </c>
      <c r="B27" s="146"/>
      <c r="C27" s="147">
        <v>-31.9546840354767</v>
      </c>
      <c r="D27" s="146"/>
      <c r="E27" s="147">
        <v>-24.2403012522988</v>
      </c>
      <c r="F27" s="146"/>
      <c r="G27" s="147">
        <v>-9</v>
      </c>
      <c r="H27" s="146"/>
      <c r="I27" s="147">
        <v>-1.67066685491082</v>
      </c>
      <c r="J27" s="146"/>
      <c r="K27" s="147">
        <v>3.8888679742499</v>
      </c>
      <c r="L27" s="146"/>
      <c r="M27" s="147">
        <v>-7.81562086586599</v>
      </c>
      <c r="N27" s="146"/>
      <c r="O27" s="147">
        <v>-6.93419567670804</v>
      </c>
      <c r="P27" s="146"/>
      <c r="Q27" s="147">
        <v>-5.67586642398128</v>
      </c>
      <c r="R27" s="146"/>
      <c r="S27" s="147">
        <v>-2.6083602526397</v>
      </c>
      <c r="T27" s="146"/>
      <c r="U27" s="147">
        <v>-8.46662838706149</v>
      </c>
      <c r="V27" s="146"/>
      <c r="W27" s="147">
        <v>-11.391855416031</v>
      </c>
    </row>
    <row r="28" ht="24" customHeight="1" spans="1:172">
      <c r="A28" s="152" t="s">
        <v>99</v>
      </c>
      <c r="B28" s="153"/>
      <c r="C28" s="154">
        <v>-32.8750735480901</v>
      </c>
      <c r="D28" s="153"/>
      <c r="E28" s="154">
        <v>-49.298842110211</v>
      </c>
      <c r="F28" s="153"/>
      <c r="G28" s="154">
        <v>-41.6</v>
      </c>
      <c r="H28" s="153"/>
      <c r="I28" s="154">
        <v>-39.1583894610862</v>
      </c>
      <c r="J28" s="153"/>
      <c r="K28" s="154">
        <v>-41.4044094377439</v>
      </c>
      <c r="L28" s="153"/>
      <c r="M28" s="154">
        <v>-40.7342617102083</v>
      </c>
      <c r="N28" s="153"/>
      <c r="O28" s="154">
        <v>-39.4487269091262</v>
      </c>
      <c r="P28" s="153"/>
      <c r="Q28" s="154">
        <v>-39.994689038716</v>
      </c>
      <c r="R28" s="153"/>
      <c r="S28" s="154">
        <v>-41.1319605312728</v>
      </c>
      <c r="T28" s="153"/>
      <c r="U28" s="154">
        <v>-39.4061871328375</v>
      </c>
      <c r="V28" s="153"/>
      <c r="W28" s="154">
        <v>-36.7838253393255</v>
      </c>
    </row>
    <row r="29" ht="45" customHeight="1" spans="1:172">
      <c r="A29" s="155" t="s">
        <v>451</v>
      </c>
      <c r="B29" s="155"/>
      <c r="C29" s="155"/>
      <c r="D29" s="155"/>
      <c r="E29" s="155"/>
      <c r="F29" s="155"/>
      <c r="G29" s="155"/>
      <c r="H29" s="155"/>
      <c r="I29" s="155"/>
      <c r="J29" s="155"/>
      <c r="K29" s="155"/>
      <c r="L29" s="155"/>
      <c r="M29" s="155"/>
      <c r="N29" s="155"/>
      <c r="O29" s="155"/>
      <c r="P29" s="155"/>
      <c r="Q29" s="155"/>
      <c r="R29" s="155"/>
      <c r="S29" s="155"/>
      <c r="T29" s="155"/>
      <c r="U29" s="155"/>
      <c r="V29" s="155"/>
      <c r="W29" s="155"/>
      <c r="FO29" s="133"/>
      <c r="FP29" s="133"/>
    </row>
  </sheetData>
  <mergeCells count="14">
    <mergeCell ref="A1:W1"/>
    <mergeCell ref="B2:C2"/>
    <mergeCell ref="D2:E2"/>
    <mergeCell ref="F2:G2"/>
    <mergeCell ref="H2:I2"/>
    <mergeCell ref="J2:K2"/>
    <mergeCell ref="L2:M2"/>
    <mergeCell ref="N2:O2"/>
    <mergeCell ref="P2:Q2"/>
    <mergeCell ref="R2:S2"/>
    <mergeCell ref="T2:U2"/>
    <mergeCell ref="V2:W2"/>
    <mergeCell ref="A29:W29"/>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FP29"/>
  <sheetViews>
    <sheetView zoomScale="80" zoomScaleNormal="80" workbookViewId="0">
      <pane xSplit="1" ySplit="3" topLeftCell="M4" activePane="bottomRight" state="frozen"/>
      <selection/>
      <selection pane="topRight"/>
      <selection pane="bottomLeft"/>
      <selection pane="bottomRight" activeCell="D7" sqref="D7"/>
    </sheetView>
  </sheetViews>
  <sheetFormatPr defaultColWidth="9" defaultRowHeight="14.25"/>
  <cols>
    <col min="1" max="1" width="25.625" style="133" customWidth="1"/>
    <col min="2" max="2" width="12.9666666666667" style="133" customWidth="1"/>
    <col min="3" max="3" width="9" style="133"/>
    <col min="4" max="4" width="11.8666666666667" style="133" customWidth="1"/>
    <col min="5" max="5" width="9" style="133"/>
    <col min="6" max="6" width="11.875" style="133" customWidth="1"/>
    <col min="7" max="7" width="9" style="133"/>
    <col min="8" max="8" width="11.5583333333333" style="133" customWidth="1"/>
    <col min="9" max="21" width="9" style="133"/>
    <col min="22" max="22" width="11.25" style="133" customWidth="1"/>
    <col min="23" max="170" width="9" style="133"/>
    <col min="171" max="16384" width="9" style="134"/>
  </cols>
  <sheetData>
    <row r="1" ht="28.5" customHeight="1" spans="1:25">
      <c r="A1" s="135" t="s">
        <v>452</v>
      </c>
      <c r="B1" s="135"/>
      <c r="C1" s="135"/>
      <c r="D1" s="135"/>
      <c r="E1" s="135"/>
      <c r="F1" s="135"/>
      <c r="G1" s="135"/>
      <c r="H1" s="135"/>
      <c r="I1" s="135"/>
      <c r="J1" s="135"/>
      <c r="K1" s="135"/>
      <c r="L1" s="135"/>
      <c r="M1" s="135"/>
      <c r="N1" s="135"/>
      <c r="O1" s="135"/>
      <c r="P1" s="135"/>
      <c r="Q1" s="135"/>
      <c r="R1" s="135"/>
      <c r="S1" s="135"/>
      <c r="T1" s="135"/>
      <c r="U1" s="135"/>
      <c r="V1" s="135"/>
      <c r="W1" s="135"/>
    </row>
    <row r="2" ht="21" customHeight="1" spans="1:25">
      <c r="A2" s="136" t="s">
        <v>1</v>
      </c>
      <c r="B2" s="137" t="s">
        <v>3</v>
      </c>
      <c r="C2" s="138"/>
      <c r="D2" s="137" t="s">
        <v>4</v>
      </c>
      <c r="E2" s="138"/>
      <c r="F2" s="137" t="s">
        <v>5</v>
      </c>
      <c r="G2" s="138"/>
      <c r="H2" s="137" t="s">
        <v>6</v>
      </c>
      <c r="I2" s="138"/>
      <c r="J2" s="137" t="s">
        <v>7</v>
      </c>
      <c r="K2" s="138"/>
      <c r="L2" s="137" t="s">
        <v>8</v>
      </c>
      <c r="M2" s="138"/>
      <c r="N2" s="137" t="s">
        <v>9</v>
      </c>
      <c r="O2" s="138"/>
      <c r="P2" s="137" t="s">
        <v>10</v>
      </c>
      <c r="Q2" s="138"/>
      <c r="R2" s="137" t="s">
        <v>11</v>
      </c>
      <c r="S2" s="138"/>
      <c r="T2" s="137" t="s">
        <v>12</v>
      </c>
      <c r="U2" s="138"/>
      <c r="V2" s="137" t="s">
        <v>13</v>
      </c>
      <c r="W2" s="138"/>
    </row>
    <row r="3" ht="37" customHeight="1" spans="1:25">
      <c r="A3" s="139"/>
      <c r="B3" s="140" t="s">
        <v>14</v>
      </c>
      <c r="C3" s="141" t="s">
        <v>15</v>
      </c>
      <c r="D3" s="140" t="s">
        <v>14</v>
      </c>
      <c r="E3" s="141" t="s">
        <v>15</v>
      </c>
      <c r="F3" s="140" t="s">
        <v>14</v>
      </c>
      <c r="G3" s="141" t="s">
        <v>15</v>
      </c>
      <c r="H3" s="140" t="s">
        <v>14</v>
      </c>
      <c r="I3" s="141" t="s">
        <v>15</v>
      </c>
      <c r="J3" s="140" t="s">
        <v>14</v>
      </c>
      <c r="K3" s="141" t="s">
        <v>15</v>
      </c>
      <c r="L3" s="140" t="s">
        <v>14</v>
      </c>
      <c r="M3" s="141" t="s">
        <v>15</v>
      </c>
      <c r="N3" s="140" t="s">
        <v>14</v>
      </c>
      <c r="O3" s="141" t="s">
        <v>15</v>
      </c>
      <c r="P3" s="140" t="s">
        <v>14</v>
      </c>
      <c r="Q3" s="141" t="s">
        <v>15</v>
      </c>
      <c r="R3" s="140" t="s">
        <v>14</v>
      </c>
      <c r="S3" s="141" t="s">
        <v>15</v>
      </c>
      <c r="T3" s="140" t="s">
        <v>14</v>
      </c>
      <c r="U3" s="141" t="s">
        <v>15</v>
      </c>
      <c r="V3" s="140" t="s">
        <v>14</v>
      </c>
      <c r="W3" s="141" t="s">
        <v>15</v>
      </c>
    </row>
    <row r="4" ht="33" customHeight="1" spans="1:25">
      <c r="A4" s="142" t="s">
        <v>453</v>
      </c>
      <c r="B4" s="143"/>
      <c r="C4" s="144"/>
      <c r="D4" s="143"/>
      <c r="E4" s="144"/>
      <c r="F4" s="143"/>
      <c r="G4" s="144"/>
      <c r="H4" s="143"/>
      <c r="I4" s="144"/>
      <c r="J4" s="143"/>
      <c r="K4" s="144"/>
      <c r="L4" s="156"/>
      <c r="M4" s="157"/>
      <c r="N4" s="156"/>
      <c r="O4" s="157"/>
      <c r="P4" s="156"/>
      <c r="Q4" s="157"/>
      <c r="R4" s="156"/>
      <c r="S4" s="157"/>
      <c r="T4" s="156"/>
      <c r="U4" s="157"/>
      <c r="V4" s="156"/>
      <c r="W4" s="157"/>
      <c r="X4" s="158"/>
    </row>
    <row r="5" ht="24" customHeight="1" spans="1:25">
      <c r="A5" s="145" t="s">
        <v>430</v>
      </c>
      <c r="B5" s="146"/>
      <c r="C5" s="147">
        <v>17.2</v>
      </c>
      <c r="D5" s="146"/>
      <c r="E5" s="147">
        <v>20.8</v>
      </c>
      <c r="F5" s="146"/>
      <c r="G5" s="147">
        <v>46.3</v>
      </c>
      <c r="H5" s="146"/>
      <c r="I5" s="147">
        <v>47.2131280638799</v>
      </c>
      <c r="J5" s="146"/>
      <c r="K5" s="147">
        <v>43.7114332758354</v>
      </c>
      <c r="L5" s="146"/>
      <c r="M5" s="147">
        <v>36.9730278848162</v>
      </c>
      <c r="N5" s="146"/>
      <c r="O5" s="147">
        <v>25.5658588759792</v>
      </c>
      <c r="P5" s="146"/>
      <c r="Q5" s="147">
        <v>30.7481071406638</v>
      </c>
      <c r="R5" s="146"/>
      <c r="S5" s="147">
        <v>33.32827123251</v>
      </c>
      <c r="T5" s="146"/>
      <c r="U5" s="147">
        <v>30.9931396062246</v>
      </c>
      <c r="V5" s="146"/>
      <c r="W5" s="147">
        <v>20.1319875355153</v>
      </c>
      <c r="X5" s="159"/>
    </row>
    <row r="6" ht="24" customHeight="1" spans="1:25">
      <c r="A6" s="148" t="s">
        <v>90</v>
      </c>
      <c r="B6" s="146"/>
      <c r="C6" s="147">
        <v>-40.8</v>
      </c>
      <c r="D6" s="146"/>
      <c r="E6" s="147">
        <v>-54.1</v>
      </c>
      <c r="F6" s="146"/>
      <c r="G6" s="147">
        <v>-60.7</v>
      </c>
      <c r="H6" s="146"/>
      <c r="I6" s="147">
        <v>-54.1013302687088</v>
      </c>
      <c r="J6" s="146"/>
      <c r="K6" s="147">
        <v>-56.5413130166964</v>
      </c>
      <c r="L6" s="146"/>
      <c r="M6" s="147">
        <v>-44.6372758809567</v>
      </c>
      <c r="N6" s="146"/>
      <c r="O6" s="147">
        <v>-51.4040727988195</v>
      </c>
      <c r="P6" s="146"/>
      <c r="Q6" s="147">
        <v>-43.3599698500038</v>
      </c>
      <c r="R6" s="146"/>
      <c r="S6" s="147">
        <v>-30.1385634552949</v>
      </c>
      <c r="T6" s="146"/>
      <c r="U6" s="147">
        <v>-24.0875587510818</v>
      </c>
      <c r="V6" s="146"/>
      <c r="W6" s="147">
        <v>-9.10025299396612</v>
      </c>
      <c r="X6" s="159"/>
    </row>
    <row r="7" ht="24" customHeight="1" spans="1:25">
      <c r="A7" s="148" t="s">
        <v>91</v>
      </c>
      <c r="B7" s="146"/>
      <c r="C7" s="147">
        <v>-62.7</v>
      </c>
      <c r="D7" s="146"/>
      <c r="E7" s="147">
        <v>-71.9</v>
      </c>
      <c r="F7" s="146"/>
      <c r="G7" s="147">
        <v>-59.5</v>
      </c>
      <c r="H7" s="146"/>
      <c r="I7" s="147">
        <v>-39.8365635227611</v>
      </c>
      <c r="J7" s="146"/>
      <c r="K7" s="147">
        <v>-43.7508051489147</v>
      </c>
      <c r="L7" s="146"/>
      <c r="M7" s="147">
        <v>-63.5378103628144</v>
      </c>
      <c r="N7" s="146"/>
      <c r="O7" s="147">
        <v>-57.4357360902256</v>
      </c>
      <c r="P7" s="146"/>
      <c r="Q7" s="147">
        <v>-39.3511534338598</v>
      </c>
      <c r="R7" s="146"/>
      <c r="S7" s="147">
        <v>-35.030062217968</v>
      </c>
      <c r="T7" s="146"/>
      <c r="U7" s="147">
        <v>-20.7166946832219</v>
      </c>
      <c r="V7" s="146"/>
      <c r="W7" s="147">
        <v>6.72377215657312</v>
      </c>
      <c r="X7" s="159"/>
    </row>
    <row r="8" ht="24" customHeight="1" spans="1:25">
      <c r="A8" s="148" t="s">
        <v>92</v>
      </c>
      <c r="B8" s="146"/>
      <c r="C8" s="147">
        <v>22.7</v>
      </c>
      <c r="D8" s="146"/>
      <c r="E8" s="147">
        <v>6.6</v>
      </c>
      <c r="F8" s="146"/>
      <c r="G8" s="147">
        <v>39.6</v>
      </c>
      <c r="H8" s="146"/>
      <c r="I8" s="147">
        <v>53.7717887415779</v>
      </c>
      <c r="J8" s="146"/>
      <c r="K8" s="147">
        <v>49.2074623816981</v>
      </c>
      <c r="L8" s="146"/>
      <c r="M8" s="147">
        <v>57.2022061850012</v>
      </c>
      <c r="N8" s="146"/>
      <c r="O8" s="147">
        <v>36.4160534989617</v>
      </c>
      <c r="P8" s="146"/>
      <c r="Q8" s="147">
        <v>40.438777423589</v>
      </c>
      <c r="R8" s="146"/>
      <c r="S8" s="147">
        <v>43.938757305854</v>
      </c>
      <c r="T8" s="146"/>
      <c r="U8" s="147">
        <v>41.2638334250682</v>
      </c>
      <c r="V8" s="146"/>
      <c r="W8" s="147">
        <v>19.2594115786144</v>
      </c>
      <c r="X8" s="159"/>
    </row>
    <row r="9" ht="24" customHeight="1" spans="1:25">
      <c r="A9" s="148" t="s">
        <v>93</v>
      </c>
      <c r="B9" s="146"/>
      <c r="C9" s="147">
        <v>-34.3</v>
      </c>
      <c r="D9" s="146"/>
      <c r="E9" s="147">
        <v>-84</v>
      </c>
      <c r="F9" s="146"/>
      <c r="G9" s="147">
        <v>-20.9</v>
      </c>
      <c r="H9" s="146"/>
      <c r="I9" s="147">
        <v>-20.0884147928844</v>
      </c>
      <c r="J9" s="146"/>
      <c r="K9" s="147">
        <v>-37.9892780150498</v>
      </c>
      <c r="L9" s="146"/>
      <c r="M9" s="147">
        <v>-33.2157519379845</v>
      </c>
      <c r="N9" s="146"/>
      <c r="O9" s="147">
        <v>-28.4318584690839</v>
      </c>
      <c r="P9" s="146"/>
      <c r="Q9" s="147">
        <v>-31.0966272617612</v>
      </c>
      <c r="R9" s="146"/>
      <c r="S9" s="147">
        <v>-19.6458770287141</v>
      </c>
      <c r="T9" s="146"/>
      <c r="U9" s="147">
        <v>-15.603362093759</v>
      </c>
      <c r="V9" s="146"/>
      <c r="W9" s="147">
        <v>-32.3383019806908</v>
      </c>
      <c r="X9" s="159"/>
    </row>
    <row r="10" ht="24" customHeight="1" spans="1:25">
      <c r="A10" s="148" t="s">
        <v>94</v>
      </c>
      <c r="B10" s="146"/>
      <c r="C10" s="147">
        <v>30.8</v>
      </c>
      <c r="D10" s="146"/>
      <c r="E10" s="147">
        <v>1303.1</v>
      </c>
      <c r="F10" s="146"/>
      <c r="G10" s="147">
        <v>1187.2</v>
      </c>
      <c r="H10" s="146"/>
      <c r="I10" s="147">
        <v>1023.1135282121</v>
      </c>
      <c r="J10" s="146"/>
      <c r="K10" s="147">
        <v>388.594815825375</v>
      </c>
      <c r="L10" s="146"/>
      <c r="M10" s="147">
        <v>95.5689638917696</v>
      </c>
      <c r="N10" s="146"/>
      <c r="O10" s="147">
        <v>71.5437167876656</v>
      </c>
      <c r="P10" s="146"/>
      <c r="Q10" s="147">
        <v>39.138490041686</v>
      </c>
      <c r="R10" s="146"/>
      <c r="S10" s="147">
        <v>22.5286922023332</v>
      </c>
      <c r="T10" s="146"/>
      <c r="U10" s="147">
        <v>-2.54862508383636</v>
      </c>
      <c r="V10" s="146"/>
      <c r="W10" s="147">
        <v>-14.4087997932163</v>
      </c>
      <c r="X10" s="159"/>
    </row>
    <row r="11" ht="24" customHeight="1" spans="1:25">
      <c r="A11" s="148" t="s">
        <v>95</v>
      </c>
      <c r="B11" s="146"/>
      <c r="C11" s="147">
        <v>83.6</v>
      </c>
      <c r="D11" s="146"/>
      <c r="E11" s="160" t="s">
        <v>18</v>
      </c>
      <c r="F11" s="146"/>
      <c r="G11" s="147">
        <v>-51.4</v>
      </c>
      <c r="H11" s="146"/>
      <c r="I11" s="147">
        <v>131.464174454829</v>
      </c>
      <c r="J11" s="146"/>
      <c r="K11" s="147">
        <v>301.26582278481</v>
      </c>
      <c r="L11" s="146"/>
      <c r="M11" s="147">
        <v>171.162377994676</v>
      </c>
      <c r="N11" s="146"/>
      <c r="O11" s="147">
        <v>121.956440765649</v>
      </c>
      <c r="P11" s="146"/>
      <c r="Q11" s="147">
        <v>151.86656076251</v>
      </c>
      <c r="R11" s="146"/>
      <c r="S11" s="147">
        <v>193.595505617978</v>
      </c>
      <c r="T11" s="146"/>
      <c r="U11" s="147">
        <v>132.912554509984</v>
      </c>
      <c r="V11" s="146"/>
      <c r="W11" s="147">
        <v>75.4552294958615</v>
      </c>
      <c r="X11" s="161"/>
    </row>
    <row r="12" ht="24" customHeight="1" spans="1:25">
      <c r="A12" s="148" t="s">
        <v>96</v>
      </c>
      <c r="B12" s="146"/>
      <c r="C12" s="147">
        <v>74.8</v>
      </c>
      <c r="D12" s="146"/>
      <c r="E12" s="147">
        <v>319.8</v>
      </c>
      <c r="F12" s="146"/>
      <c r="G12" s="147">
        <v>206.9</v>
      </c>
      <c r="H12" s="146"/>
      <c r="I12" s="147">
        <v>-12.7154471544715</v>
      </c>
      <c r="J12" s="146"/>
      <c r="K12" s="147">
        <v>-52.7836208105455</v>
      </c>
      <c r="L12" s="146"/>
      <c r="M12" s="147">
        <v>-37.7536836252433</v>
      </c>
      <c r="N12" s="146"/>
      <c r="O12" s="147">
        <v>-32.3140730237504</v>
      </c>
      <c r="P12" s="146"/>
      <c r="Q12" s="147">
        <v>-42.7635596513629</v>
      </c>
      <c r="R12" s="146"/>
      <c r="S12" s="147">
        <v>-46.1541863859525</v>
      </c>
      <c r="T12" s="146"/>
      <c r="U12" s="147">
        <v>-24.3432939541348</v>
      </c>
      <c r="V12" s="146"/>
      <c r="W12" s="147">
        <v>-22.7392701400046</v>
      </c>
      <c r="X12" s="159"/>
    </row>
    <row r="13" ht="24" customHeight="1" spans="1:25">
      <c r="A13" s="148" t="s">
        <v>97</v>
      </c>
      <c r="B13" s="146"/>
      <c r="C13" s="147">
        <v>110.2</v>
      </c>
      <c r="D13" s="146"/>
      <c r="E13" s="147">
        <v>-67.9</v>
      </c>
      <c r="F13" s="146"/>
      <c r="G13" s="147">
        <v>-53.8</v>
      </c>
      <c r="H13" s="146"/>
      <c r="I13" s="147">
        <v>-70.9415062261637</v>
      </c>
      <c r="J13" s="146"/>
      <c r="K13" s="147">
        <v>-73.9287596957602</v>
      </c>
      <c r="L13" s="146"/>
      <c r="M13" s="147">
        <v>-73.525641025641</v>
      </c>
      <c r="N13" s="146"/>
      <c r="O13" s="147">
        <v>-59.698359262093</v>
      </c>
      <c r="P13" s="146"/>
      <c r="Q13" s="147">
        <v>-57.1141604925389</v>
      </c>
      <c r="R13" s="146"/>
      <c r="S13" s="147">
        <v>-56.0279883950557</v>
      </c>
      <c r="T13" s="146"/>
      <c r="U13" s="147">
        <v>-50.4418562494335</v>
      </c>
      <c r="V13" s="146"/>
      <c r="W13" s="147">
        <v>-49.1829213817749</v>
      </c>
      <c r="X13" s="159"/>
    </row>
    <row r="14" ht="24" customHeight="1" spans="1:25">
      <c r="A14" s="148" t="s">
        <v>98</v>
      </c>
      <c r="B14" s="146"/>
      <c r="C14" s="147">
        <v>131.5</v>
      </c>
      <c r="D14" s="146"/>
      <c r="E14" s="147">
        <v>340.8</v>
      </c>
      <c r="F14" s="146"/>
      <c r="G14" s="147">
        <v>10.3</v>
      </c>
      <c r="H14" s="146"/>
      <c r="I14" s="147">
        <v>-10.5887219081759</v>
      </c>
      <c r="J14" s="146"/>
      <c r="K14" s="147">
        <v>-4.22941767068274</v>
      </c>
      <c r="L14" s="146"/>
      <c r="M14" s="147">
        <v>-58.6649952992792</v>
      </c>
      <c r="N14" s="146"/>
      <c r="O14" s="147">
        <v>-61.0663877686149</v>
      </c>
      <c r="P14" s="146"/>
      <c r="Q14" s="147">
        <v>-61.2293339957495</v>
      </c>
      <c r="R14" s="146"/>
      <c r="S14" s="147">
        <v>-60.0559681975102</v>
      </c>
      <c r="T14" s="146"/>
      <c r="U14" s="147">
        <v>-57.4921504442515</v>
      </c>
      <c r="V14" s="146"/>
      <c r="W14" s="147">
        <v>-57.9316691590935</v>
      </c>
      <c r="X14" s="159"/>
    </row>
    <row r="15" ht="24" customHeight="1" spans="1:25">
      <c r="A15" s="148" t="s">
        <v>99</v>
      </c>
      <c r="B15" s="146"/>
      <c r="C15" s="147">
        <v>31.3</v>
      </c>
      <c r="D15" s="146"/>
      <c r="E15" s="147">
        <v>85</v>
      </c>
      <c r="F15" s="146"/>
      <c r="G15" s="147">
        <v>192</v>
      </c>
      <c r="H15" s="146"/>
      <c r="I15" s="147">
        <v>161.490400977534</v>
      </c>
      <c r="J15" s="146"/>
      <c r="K15" s="147">
        <v>159.225249854334</v>
      </c>
      <c r="L15" s="146"/>
      <c r="M15" s="147">
        <v>160.217033054703</v>
      </c>
      <c r="N15" s="146"/>
      <c r="O15" s="147">
        <v>117.766471781761</v>
      </c>
      <c r="P15" s="146"/>
      <c r="Q15" s="147">
        <v>125.499433399338</v>
      </c>
      <c r="R15" s="146"/>
      <c r="S15" s="147">
        <v>119.562589414094</v>
      </c>
      <c r="T15" s="146"/>
      <c r="U15" s="147">
        <v>108.963842501015</v>
      </c>
      <c r="V15" s="146"/>
      <c r="W15" s="147">
        <v>86.382893028552</v>
      </c>
      <c r="X15" s="159"/>
    </row>
    <row r="16" ht="22.9" customHeight="1" spans="1:25">
      <c r="A16" s="148"/>
      <c r="B16" s="146"/>
      <c r="C16" s="147"/>
      <c r="D16" s="146"/>
      <c r="E16" s="147"/>
      <c r="F16" s="146"/>
      <c r="G16" s="147"/>
      <c r="H16" s="146"/>
      <c r="I16" s="147"/>
      <c r="J16" s="146"/>
      <c r="K16" s="147"/>
      <c r="L16" s="146"/>
      <c r="M16" s="147"/>
      <c r="N16" s="146"/>
      <c r="O16" s="147"/>
      <c r="P16" s="146"/>
      <c r="Q16" s="147"/>
      <c r="R16" s="146"/>
      <c r="S16" s="147"/>
      <c r="T16" s="146"/>
      <c r="U16" s="147"/>
      <c r="V16" s="146"/>
      <c r="W16" s="147"/>
      <c r="X16" s="159"/>
      <c r="Y16" s="162"/>
    </row>
    <row r="17" ht="33" customHeight="1" spans="1:172">
      <c r="A17" s="149" t="s">
        <v>454</v>
      </c>
      <c r="B17" s="146"/>
      <c r="C17" s="147"/>
      <c r="D17" s="146"/>
      <c r="E17" s="147"/>
      <c r="F17" s="146"/>
      <c r="G17" s="147"/>
      <c r="H17" s="146"/>
      <c r="I17" s="147"/>
      <c r="J17" s="146"/>
      <c r="K17" s="147"/>
      <c r="L17" s="146"/>
      <c r="M17" s="147"/>
      <c r="N17" s="146"/>
      <c r="O17" s="147"/>
      <c r="P17" s="146"/>
      <c r="Q17" s="147"/>
      <c r="R17" s="146"/>
      <c r="S17" s="147"/>
      <c r="T17" s="146"/>
      <c r="U17" s="147"/>
      <c r="V17" s="146"/>
      <c r="W17" s="147"/>
      <c r="X17" s="159"/>
      <c r="Y17" s="162"/>
    </row>
    <row r="18" ht="24" customHeight="1" spans="1:172">
      <c r="A18" s="148" t="s">
        <v>430</v>
      </c>
      <c r="B18" s="146"/>
      <c r="C18" s="147">
        <v>18.4</v>
      </c>
      <c r="D18" s="146"/>
      <c r="E18" s="147">
        <v>4.8</v>
      </c>
      <c r="F18" s="146"/>
      <c r="G18" s="147">
        <v>0</v>
      </c>
      <c r="H18" s="146"/>
      <c r="I18" s="147">
        <v>-10.0081252517804</v>
      </c>
      <c r="J18" s="146"/>
      <c r="K18" s="147">
        <v>-17.1900429890618</v>
      </c>
      <c r="L18" s="146"/>
      <c r="M18" s="147">
        <v>-19.2062525006365</v>
      </c>
      <c r="N18" s="146"/>
      <c r="O18" s="147">
        <v>-20.7967992794216</v>
      </c>
      <c r="P18" s="146"/>
      <c r="Q18" s="147">
        <v>-21.2304806090089</v>
      </c>
      <c r="R18" s="146"/>
      <c r="S18" s="147">
        <v>-22.646574684044</v>
      </c>
      <c r="T18" s="146"/>
      <c r="U18" s="147">
        <v>-23.7368760653967</v>
      </c>
      <c r="V18" s="146"/>
      <c r="W18" s="147">
        <v>-25.8462773472135</v>
      </c>
      <c r="X18" s="159"/>
      <c r="Y18" s="162"/>
    </row>
    <row r="19" ht="24" customHeight="1" spans="1:172">
      <c r="A19" s="148" t="s">
        <v>90</v>
      </c>
      <c r="B19" s="150"/>
      <c r="C19" s="151">
        <v>-18</v>
      </c>
      <c r="D19" s="150"/>
      <c r="E19" s="151">
        <v>202.6</v>
      </c>
      <c r="F19" s="150"/>
      <c r="G19" s="151">
        <v>-51.2</v>
      </c>
      <c r="H19" s="150"/>
      <c r="I19" s="151">
        <v>-21.4480761274307</v>
      </c>
      <c r="J19" s="150"/>
      <c r="K19" s="151">
        <v>-28.601997146933</v>
      </c>
      <c r="L19" s="150"/>
      <c r="M19" s="151">
        <v>-14.5220588235294</v>
      </c>
      <c r="N19" s="150"/>
      <c r="O19" s="151">
        <v>-15.268829149078</v>
      </c>
      <c r="P19" s="150"/>
      <c r="Q19" s="151">
        <v>0.680918448139352</v>
      </c>
      <c r="R19" s="150"/>
      <c r="S19" s="151">
        <v>2.88897852173035</v>
      </c>
      <c r="T19" s="150"/>
      <c r="U19" s="151">
        <v>12.7415399705738</v>
      </c>
      <c r="V19" s="150"/>
      <c r="W19" s="151">
        <v>20.2451358532613</v>
      </c>
      <c r="X19" s="163"/>
      <c r="Y19" s="162"/>
    </row>
    <row r="20" ht="24" customHeight="1" spans="1:172">
      <c r="A20" s="148" t="s">
        <v>91</v>
      </c>
      <c r="B20" s="146"/>
      <c r="C20" s="147">
        <v>-60.9</v>
      </c>
      <c r="D20" s="146"/>
      <c r="E20" s="147">
        <v>-17.7</v>
      </c>
      <c r="F20" s="146"/>
      <c r="G20" s="147">
        <v>28.7</v>
      </c>
      <c r="H20" s="146"/>
      <c r="I20" s="147">
        <v>20.3663203936577</v>
      </c>
      <c r="J20" s="146"/>
      <c r="K20" s="147">
        <v>-16.3001912045889</v>
      </c>
      <c r="L20" s="146"/>
      <c r="M20" s="147">
        <v>-14.0542844962342</v>
      </c>
      <c r="N20" s="146"/>
      <c r="O20" s="147">
        <v>3.02930883639544</v>
      </c>
      <c r="P20" s="146"/>
      <c r="Q20" s="147">
        <v>34.0857083420013</v>
      </c>
      <c r="R20" s="146"/>
      <c r="S20" s="147">
        <v>36.8233899644409</v>
      </c>
      <c r="T20" s="146"/>
      <c r="U20" s="147">
        <v>34.672473557906</v>
      </c>
      <c r="V20" s="146"/>
      <c r="W20" s="147">
        <v>30.4006346687822</v>
      </c>
      <c r="X20" s="159"/>
      <c r="Y20" s="162"/>
    </row>
    <row r="21" ht="24" customHeight="1" spans="1:172">
      <c r="A21" s="148" t="s">
        <v>92</v>
      </c>
      <c r="B21" s="146"/>
      <c r="C21" s="147">
        <v>-42.4</v>
      </c>
      <c r="D21" s="146"/>
      <c r="E21" s="147">
        <v>-14.4</v>
      </c>
      <c r="F21" s="146"/>
      <c r="G21" s="147">
        <v>158.9</v>
      </c>
      <c r="H21" s="146"/>
      <c r="I21" s="147">
        <v>146.136326663413</v>
      </c>
      <c r="J21" s="146"/>
      <c r="K21" s="147">
        <v>-10.0178987904757</v>
      </c>
      <c r="L21" s="146"/>
      <c r="M21" s="147">
        <v>-10.6063752465995</v>
      </c>
      <c r="N21" s="146"/>
      <c r="O21" s="147">
        <v>25.0944569324215</v>
      </c>
      <c r="P21" s="146"/>
      <c r="Q21" s="147">
        <v>27.0767499242457</v>
      </c>
      <c r="R21" s="146"/>
      <c r="S21" s="147">
        <v>42.2105744831316</v>
      </c>
      <c r="T21" s="146"/>
      <c r="U21" s="147">
        <v>56.2118713932399</v>
      </c>
      <c r="V21" s="146"/>
      <c r="W21" s="147">
        <v>85.8418671112169</v>
      </c>
      <c r="X21" s="159"/>
      <c r="Y21" s="162"/>
    </row>
    <row r="22" ht="24" customHeight="1" spans="1:172">
      <c r="A22" s="148" t="s">
        <v>93</v>
      </c>
      <c r="B22" s="146"/>
      <c r="C22" s="147">
        <v>-27.8</v>
      </c>
      <c r="D22" s="146"/>
      <c r="E22" s="147">
        <v>11.7</v>
      </c>
      <c r="F22" s="146"/>
      <c r="G22" s="147">
        <v>147.1</v>
      </c>
      <c r="H22" s="146"/>
      <c r="I22" s="147">
        <v>119.051724137931</v>
      </c>
      <c r="J22" s="146"/>
      <c r="K22" s="147">
        <v>123.235905588847</v>
      </c>
      <c r="L22" s="146"/>
      <c r="M22" s="147">
        <v>141.084617007808</v>
      </c>
      <c r="N22" s="146"/>
      <c r="O22" s="147">
        <v>47.9649122807018</v>
      </c>
      <c r="P22" s="146"/>
      <c r="Q22" s="147">
        <v>38.9377250582504</v>
      </c>
      <c r="R22" s="146"/>
      <c r="S22" s="147">
        <v>1.42652842331069</v>
      </c>
      <c r="T22" s="146"/>
      <c r="U22" s="147">
        <v>-0.97433611411833</v>
      </c>
      <c r="V22" s="146"/>
      <c r="W22" s="147">
        <v>-7.85854616895875</v>
      </c>
      <c r="X22" s="159"/>
      <c r="Y22" s="162"/>
    </row>
    <row r="23" ht="24" customHeight="1" spans="1:172">
      <c r="A23" s="148" t="s">
        <v>94</v>
      </c>
      <c r="B23" s="146"/>
      <c r="C23" s="147">
        <v>6.7</v>
      </c>
      <c r="D23" s="146"/>
      <c r="E23" s="147">
        <v>40.2</v>
      </c>
      <c r="F23" s="146"/>
      <c r="G23" s="147">
        <v>406.9</v>
      </c>
      <c r="H23" s="146"/>
      <c r="I23" s="147">
        <v>378.318817629982</v>
      </c>
      <c r="J23" s="146"/>
      <c r="K23" s="147">
        <v>337.573277292335</v>
      </c>
      <c r="L23" s="146"/>
      <c r="M23" s="147">
        <v>292.622010413909</v>
      </c>
      <c r="N23" s="146"/>
      <c r="O23" s="147">
        <v>261.823790534948</v>
      </c>
      <c r="P23" s="146"/>
      <c r="Q23" s="147">
        <v>228.916606804676</v>
      </c>
      <c r="R23" s="146"/>
      <c r="S23" s="147">
        <v>179.206667369976</v>
      </c>
      <c r="T23" s="146"/>
      <c r="U23" s="147">
        <v>185.94280651671</v>
      </c>
      <c r="V23" s="146"/>
      <c r="W23" s="147">
        <v>105.323879715148</v>
      </c>
      <c r="X23" s="159"/>
      <c r="Y23" s="162"/>
    </row>
    <row r="24" ht="24" customHeight="1" spans="1:172">
      <c r="A24" s="148" t="s">
        <v>95</v>
      </c>
      <c r="B24" s="146"/>
      <c r="C24" s="147">
        <v>-58.9</v>
      </c>
      <c r="D24" s="146"/>
      <c r="E24" s="147">
        <v>-92.5</v>
      </c>
      <c r="F24" s="146"/>
      <c r="G24" s="147">
        <v>-95.9</v>
      </c>
      <c r="H24" s="146"/>
      <c r="I24" s="147">
        <v>-96.8524939983996</v>
      </c>
      <c r="J24" s="146"/>
      <c r="K24" s="147">
        <v>-90.2126569305662</v>
      </c>
      <c r="L24" s="146"/>
      <c r="M24" s="147">
        <v>-74.4926948051948</v>
      </c>
      <c r="N24" s="146"/>
      <c r="O24" s="147">
        <v>-73.6779086010776</v>
      </c>
      <c r="P24" s="146"/>
      <c r="Q24" s="147">
        <v>-45.610119047619</v>
      </c>
      <c r="R24" s="146"/>
      <c r="S24" s="147">
        <v>-41.5288558893014</v>
      </c>
      <c r="T24" s="146"/>
      <c r="U24" s="147">
        <v>-26.3908959537572</v>
      </c>
      <c r="V24" s="146"/>
      <c r="W24" s="147">
        <v>-37.3370952572887</v>
      </c>
      <c r="X24" s="159"/>
      <c r="Y24" s="162"/>
    </row>
    <row r="25" ht="24" customHeight="1" spans="1:172">
      <c r="A25" s="148" t="s">
        <v>96</v>
      </c>
      <c r="B25" s="146"/>
      <c r="C25" s="147">
        <v>-19.1</v>
      </c>
      <c r="D25" s="146"/>
      <c r="E25" s="147">
        <v>29.5</v>
      </c>
      <c r="F25" s="146"/>
      <c r="G25" s="147">
        <v>-32.3</v>
      </c>
      <c r="H25" s="146"/>
      <c r="I25" s="147">
        <v>-23.9543076028592</v>
      </c>
      <c r="J25" s="146"/>
      <c r="K25" s="147">
        <v>-43.594367760283</v>
      </c>
      <c r="L25" s="146"/>
      <c r="M25" s="147">
        <v>-36.7450380593299</v>
      </c>
      <c r="N25" s="146"/>
      <c r="O25" s="147">
        <v>-34.5893098145068</v>
      </c>
      <c r="P25" s="146"/>
      <c r="Q25" s="147">
        <v>-37.6511455239712</v>
      </c>
      <c r="R25" s="146"/>
      <c r="S25" s="147">
        <v>-14.8960056010912</v>
      </c>
      <c r="T25" s="146"/>
      <c r="U25" s="147">
        <v>-10.8752336082543</v>
      </c>
      <c r="V25" s="146"/>
      <c r="W25" s="147">
        <v>0.270334655659937</v>
      </c>
      <c r="X25" s="159"/>
      <c r="Y25" s="162"/>
    </row>
    <row r="26" ht="24" customHeight="1" spans="1:172">
      <c r="A26" s="148" t="s">
        <v>97</v>
      </c>
      <c r="B26" s="146"/>
      <c r="C26" s="147">
        <v>30.7</v>
      </c>
      <c r="D26" s="146"/>
      <c r="E26" s="147">
        <v>-33.3</v>
      </c>
      <c r="F26" s="146"/>
      <c r="G26" s="147">
        <v>-42.4</v>
      </c>
      <c r="H26" s="146"/>
      <c r="I26" s="147">
        <v>-56.5799521458026</v>
      </c>
      <c r="J26" s="146"/>
      <c r="K26" s="147">
        <v>-53.4174492795182</v>
      </c>
      <c r="L26" s="146"/>
      <c r="M26" s="147">
        <v>-51.3401485098159</v>
      </c>
      <c r="N26" s="146"/>
      <c r="O26" s="147">
        <v>-47.1266518535844</v>
      </c>
      <c r="P26" s="146"/>
      <c r="Q26" s="147">
        <v>-25.3198653198653</v>
      </c>
      <c r="R26" s="146"/>
      <c r="S26" s="147">
        <v>-22.9426181589243</v>
      </c>
      <c r="T26" s="146"/>
      <c r="U26" s="147">
        <v>-16.2812621906289</v>
      </c>
      <c r="V26" s="146"/>
      <c r="W26" s="147">
        <v>-22.4764174695357</v>
      </c>
      <c r="X26" s="159"/>
      <c r="Y26" s="162"/>
    </row>
    <row r="27" ht="24" customHeight="1" spans="1:172">
      <c r="A27" s="148" t="s">
        <v>98</v>
      </c>
      <c r="B27" s="146"/>
      <c r="C27" s="147">
        <v>-35.3</v>
      </c>
      <c r="D27" s="146"/>
      <c r="E27" s="147">
        <v>45.8</v>
      </c>
      <c r="F27" s="146"/>
      <c r="G27" s="147">
        <v>36</v>
      </c>
      <c r="H27" s="146"/>
      <c r="I27" s="147">
        <v>-30.2285573851069</v>
      </c>
      <c r="J27" s="146"/>
      <c r="K27" s="147">
        <v>-32.0195705354716</v>
      </c>
      <c r="L27" s="146"/>
      <c r="M27" s="147">
        <v>-33.3300671206702</v>
      </c>
      <c r="N27" s="146"/>
      <c r="O27" s="147">
        <v>-22.0478325859492</v>
      </c>
      <c r="P27" s="146"/>
      <c r="Q27" s="147">
        <v>-20.8794149125936</v>
      </c>
      <c r="R27" s="146"/>
      <c r="S27" s="147">
        <v>-39.4769330734243</v>
      </c>
      <c r="T27" s="146"/>
      <c r="U27" s="147">
        <v>-35.6235565819861</v>
      </c>
      <c r="V27" s="146"/>
      <c r="W27" s="147">
        <v>-22.7117953493787</v>
      </c>
      <c r="X27" s="159"/>
      <c r="Y27" s="162"/>
    </row>
    <row r="28" ht="24" customHeight="1" spans="1:172">
      <c r="A28" s="152" t="s">
        <v>99</v>
      </c>
      <c r="B28" s="153"/>
      <c r="C28" s="154">
        <v>28.9</v>
      </c>
      <c r="D28" s="153"/>
      <c r="E28" s="154">
        <v>6.7</v>
      </c>
      <c r="F28" s="153"/>
      <c r="G28" s="154">
        <v>-3.4</v>
      </c>
      <c r="H28" s="153"/>
      <c r="I28" s="154">
        <v>-11.6532576438237</v>
      </c>
      <c r="J28" s="153"/>
      <c r="K28" s="154">
        <v>-17.2998866685254</v>
      </c>
      <c r="L28" s="153"/>
      <c r="M28" s="154">
        <v>-20.3557902174121</v>
      </c>
      <c r="N28" s="153"/>
      <c r="O28" s="154">
        <v>-22.8902105770776</v>
      </c>
      <c r="P28" s="153"/>
      <c r="Q28" s="154">
        <v>-24.6797354272733</v>
      </c>
      <c r="R28" s="153"/>
      <c r="S28" s="154">
        <v>-26.7046482749153</v>
      </c>
      <c r="T28" s="153"/>
      <c r="U28" s="154">
        <v>-28.6520043892029</v>
      </c>
      <c r="V28" s="153"/>
      <c r="W28" s="154">
        <v>-31.3301450819571</v>
      </c>
      <c r="X28" s="159"/>
      <c r="Y28" s="162"/>
    </row>
    <row r="29" ht="45" customHeight="1" spans="1:172">
      <c r="A29" s="155" t="s">
        <v>451</v>
      </c>
      <c r="B29" s="155"/>
      <c r="C29" s="155"/>
      <c r="D29" s="155"/>
      <c r="E29" s="155"/>
      <c r="F29" s="155"/>
      <c r="G29" s="155"/>
      <c r="H29" s="155"/>
      <c r="I29" s="155"/>
      <c r="J29" s="155"/>
      <c r="K29" s="155"/>
      <c r="L29" s="155"/>
      <c r="M29" s="155"/>
      <c r="N29" s="155"/>
      <c r="O29" s="155"/>
      <c r="P29" s="155"/>
      <c r="Q29" s="155"/>
      <c r="R29" s="155"/>
      <c r="S29" s="155"/>
      <c r="T29" s="155"/>
      <c r="U29" s="155"/>
      <c r="V29" s="155"/>
      <c r="W29" s="155"/>
      <c r="FO29" s="133"/>
      <c r="FP29" s="133"/>
    </row>
  </sheetData>
  <mergeCells count="14">
    <mergeCell ref="A1:W1"/>
    <mergeCell ref="B2:C2"/>
    <mergeCell ref="D2:E2"/>
    <mergeCell ref="F2:G2"/>
    <mergeCell ref="H2:I2"/>
    <mergeCell ref="J2:K2"/>
    <mergeCell ref="L2:M2"/>
    <mergeCell ref="N2:O2"/>
    <mergeCell ref="P2:Q2"/>
    <mergeCell ref="R2:S2"/>
    <mergeCell ref="T2:U2"/>
    <mergeCell ref="V2:W2"/>
    <mergeCell ref="A29:W29"/>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W29"/>
  <sheetViews>
    <sheetView tabSelected="1" zoomScale="80" zoomScaleNormal="80" workbookViewId="0">
      <pane xSplit="1" ySplit="3" topLeftCell="P4" activePane="bottomRight" state="frozen"/>
      <selection/>
      <selection pane="topRight"/>
      <selection pane="bottomLeft"/>
      <selection pane="bottomRight" activeCell="A29" sqref="A29:W29"/>
    </sheetView>
  </sheetViews>
  <sheetFormatPr defaultColWidth="9" defaultRowHeight="14.25"/>
  <cols>
    <col min="1" max="1" width="30" style="133" customWidth="1"/>
    <col min="2" max="2" width="11.4083333333333" style="133" customWidth="1"/>
    <col min="3" max="7" width="9" style="133"/>
    <col min="8" max="8" width="10.9333333333333" style="133" customWidth="1"/>
    <col min="9" max="21" width="9" style="133"/>
    <col min="22" max="22" width="11.4083333333333" style="133" customWidth="1"/>
    <col min="23" max="172" width="9" style="133"/>
    <col min="173" max="16384" width="9" style="134"/>
  </cols>
  <sheetData>
    <row r="1" ht="28.5" customHeight="1" spans="1:23">
      <c r="A1" s="135" t="s">
        <v>455</v>
      </c>
      <c r="B1" s="135"/>
      <c r="C1" s="135"/>
      <c r="D1" s="135"/>
      <c r="E1" s="135"/>
      <c r="F1" s="135"/>
      <c r="G1" s="135"/>
      <c r="H1" s="135"/>
      <c r="I1" s="135"/>
      <c r="J1" s="135"/>
      <c r="K1" s="135"/>
      <c r="L1" s="135"/>
      <c r="M1" s="135"/>
      <c r="N1" s="135"/>
      <c r="O1" s="135"/>
      <c r="P1" s="135"/>
      <c r="Q1" s="135"/>
      <c r="R1" s="135"/>
      <c r="S1" s="135"/>
      <c r="T1" s="135"/>
      <c r="U1" s="135"/>
      <c r="V1" s="135"/>
      <c r="W1" s="135"/>
    </row>
    <row r="2" ht="21" customHeight="1" spans="1:23">
      <c r="A2" s="136" t="s">
        <v>1</v>
      </c>
      <c r="B2" s="137" t="s">
        <v>3</v>
      </c>
      <c r="C2" s="138"/>
      <c r="D2" s="137" t="s">
        <v>4</v>
      </c>
      <c r="E2" s="138"/>
      <c r="F2" s="137" t="s">
        <v>5</v>
      </c>
      <c r="G2" s="138"/>
      <c r="H2" s="137" t="s">
        <v>6</v>
      </c>
      <c r="I2" s="138"/>
      <c r="J2" s="137" t="s">
        <v>7</v>
      </c>
      <c r="K2" s="138"/>
      <c r="L2" s="137" t="s">
        <v>8</v>
      </c>
      <c r="M2" s="138"/>
      <c r="N2" s="137" t="s">
        <v>9</v>
      </c>
      <c r="O2" s="138"/>
      <c r="P2" s="137" t="s">
        <v>10</v>
      </c>
      <c r="Q2" s="138"/>
      <c r="R2" s="137" t="s">
        <v>11</v>
      </c>
      <c r="S2" s="138"/>
      <c r="T2" s="137" t="s">
        <v>12</v>
      </c>
      <c r="U2" s="138"/>
      <c r="V2" s="137" t="s">
        <v>13</v>
      </c>
      <c r="W2" s="138"/>
    </row>
    <row r="3" ht="21" customHeight="1" spans="1:23">
      <c r="A3" s="139"/>
      <c r="B3" s="140" t="s">
        <v>14</v>
      </c>
      <c r="C3" s="141" t="s">
        <v>15</v>
      </c>
      <c r="D3" s="140" t="s">
        <v>14</v>
      </c>
      <c r="E3" s="141" t="s">
        <v>15</v>
      </c>
      <c r="F3" s="140" t="s">
        <v>14</v>
      </c>
      <c r="G3" s="141" t="s">
        <v>15</v>
      </c>
      <c r="H3" s="140" t="s">
        <v>14</v>
      </c>
      <c r="I3" s="141" t="s">
        <v>15</v>
      </c>
      <c r="J3" s="140" t="s">
        <v>14</v>
      </c>
      <c r="K3" s="141" t="s">
        <v>15</v>
      </c>
      <c r="L3" s="140" t="s">
        <v>14</v>
      </c>
      <c r="M3" s="141" t="s">
        <v>15</v>
      </c>
      <c r="N3" s="140" t="s">
        <v>14</v>
      </c>
      <c r="O3" s="141" t="s">
        <v>15</v>
      </c>
      <c r="P3" s="140" t="s">
        <v>14</v>
      </c>
      <c r="Q3" s="141" t="s">
        <v>15</v>
      </c>
      <c r="R3" s="140" t="s">
        <v>14</v>
      </c>
      <c r="S3" s="141" t="s">
        <v>15</v>
      </c>
      <c r="T3" s="140" t="s">
        <v>14</v>
      </c>
      <c r="U3" s="141" t="s">
        <v>15</v>
      </c>
      <c r="V3" s="140" t="s">
        <v>14</v>
      </c>
      <c r="W3" s="141" t="s">
        <v>15</v>
      </c>
    </row>
    <row r="4" ht="33" customHeight="1" spans="1:23">
      <c r="A4" s="142" t="s">
        <v>330</v>
      </c>
      <c r="B4" s="143"/>
      <c r="C4" s="144"/>
      <c r="D4" s="143"/>
      <c r="E4" s="144"/>
      <c r="F4" s="143"/>
      <c r="G4" s="144"/>
      <c r="H4" s="143"/>
      <c r="I4" s="144"/>
      <c r="J4" s="143"/>
      <c r="K4" s="144"/>
      <c r="L4" s="143"/>
      <c r="M4" s="144"/>
      <c r="N4" s="143"/>
      <c r="O4" s="144"/>
      <c r="P4" s="143"/>
      <c r="Q4" s="144"/>
      <c r="R4" s="143"/>
      <c r="S4" s="144"/>
      <c r="T4" s="143"/>
      <c r="U4" s="144"/>
      <c r="V4" s="143"/>
      <c r="W4" s="144"/>
    </row>
    <row r="5" ht="24" customHeight="1" spans="1:23">
      <c r="A5" s="145" t="s">
        <v>430</v>
      </c>
      <c r="B5" s="146">
        <v>164.9645</v>
      </c>
      <c r="C5" s="147">
        <v>6.01232063996381</v>
      </c>
      <c r="D5" s="146">
        <v>34.5244</v>
      </c>
      <c r="E5" s="147">
        <v>6.3830967340361</v>
      </c>
      <c r="F5" s="146">
        <v>50.1758</v>
      </c>
      <c r="G5" s="147">
        <v>6.37745745499569</v>
      </c>
      <c r="H5" s="146">
        <v>61.5541</v>
      </c>
      <c r="I5" s="147">
        <v>4.65981449837197</v>
      </c>
      <c r="J5" s="146">
        <v>72.1845</v>
      </c>
      <c r="K5" s="147">
        <v>5.92158358890079</v>
      </c>
      <c r="L5" s="146">
        <v>86.844</v>
      </c>
      <c r="M5" s="147">
        <v>6.63883346124328</v>
      </c>
      <c r="N5" s="146">
        <v>98.8388</v>
      </c>
      <c r="O5" s="147">
        <v>8.06058200797891</v>
      </c>
      <c r="P5" s="146">
        <v>110.2546</v>
      </c>
      <c r="Q5" s="147">
        <v>6.71001348216299</v>
      </c>
      <c r="R5" s="146">
        <v>158.1991</v>
      </c>
      <c r="S5" s="147">
        <v>7.25322108339896</v>
      </c>
      <c r="T5" s="146">
        <v>176.763</v>
      </c>
      <c r="U5" s="147">
        <v>6.06882864477634</v>
      </c>
      <c r="V5" s="146">
        <v>191.2846</v>
      </c>
      <c r="W5" s="147">
        <v>6.41368283954555</v>
      </c>
    </row>
    <row r="6" ht="24" customHeight="1" spans="1:23">
      <c r="A6" s="148" t="s">
        <v>90</v>
      </c>
      <c r="B6" s="146">
        <v>5.5002</v>
      </c>
      <c r="C6" s="147">
        <v>39.8225589139995</v>
      </c>
      <c r="D6" s="146">
        <v>0.7637</v>
      </c>
      <c r="E6" s="147">
        <v>-11.7823726464133</v>
      </c>
      <c r="F6" s="146">
        <v>0.9695</v>
      </c>
      <c r="G6" s="147">
        <v>-10.6533960003686</v>
      </c>
      <c r="H6" s="146">
        <v>1.3224</v>
      </c>
      <c r="I6" s="147">
        <v>-7.87878787878788</v>
      </c>
      <c r="J6" s="146">
        <v>1.5692</v>
      </c>
      <c r="K6" s="147">
        <v>-7.31793751107436</v>
      </c>
      <c r="L6" s="146">
        <v>1.8206</v>
      </c>
      <c r="M6" s="147">
        <v>-53.5430860700707</v>
      </c>
      <c r="N6" s="146">
        <v>2.1762</v>
      </c>
      <c r="O6" s="147">
        <v>-48.6842105263158</v>
      </c>
      <c r="P6" s="146">
        <v>2.4284</v>
      </c>
      <c r="Q6" s="147">
        <v>-45.6782390837509</v>
      </c>
      <c r="R6" s="146">
        <v>6.1211</v>
      </c>
      <c r="S6" s="147">
        <v>-26.0282521296893</v>
      </c>
      <c r="T6" s="146">
        <v>6.9227</v>
      </c>
      <c r="U6" s="147">
        <v>-23.6189356455853</v>
      </c>
      <c r="V6" s="146">
        <v>7.3156</v>
      </c>
      <c r="W6" s="147">
        <v>-24.3096133702439</v>
      </c>
    </row>
    <row r="7" ht="24" customHeight="1" spans="1:23">
      <c r="A7" s="148" t="s">
        <v>91</v>
      </c>
      <c r="B7" s="146">
        <v>9.027</v>
      </c>
      <c r="C7" s="147">
        <v>33.4960070984916</v>
      </c>
      <c r="D7" s="146">
        <v>0.9773</v>
      </c>
      <c r="E7" s="147">
        <v>2.98208640674394</v>
      </c>
      <c r="F7" s="146">
        <v>1.5875</v>
      </c>
      <c r="G7" s="147">
        <v>7.97850632566998</v>
      </c>
      <c r="H7" s="146">
        <v>2.1756</v>
      </c>
      <c r="I7" s="147">
        <v>5.1573299821161</v>
      </c>
      <c r="J7" s="146">
        <v>2.6734</v>
      </c>
      <c r="K7" s="147">
        <v>5.99476647371342</v>
      </c>
      <c r="L7" s="146">
        <v>3.2167</v>
      </c>
      <c r="M7" s="147">
        <v>-34.7842835130971</v>
      </c>
      <c r="N7" s="146">
        <v>3.9941</v>
      </c>
      <c r="O7" s="147">
        <v>-33.1475437275086</v>
      </c>
      <c r="P7" s="146">
        <v>4.3666</v>
      </c>
      <c r="Q7" s="147">
        <v>-45.7760558308187</v>
      </c>
      <c r="R7" s="146">
        <v>9.1026</v>
      </c>
      <c r="S7" s="147">
        <v>-18.5728302011017</v>
      </c>
      <c r="T7" s="146">
        <v>9.9757</v>
      </c>
      <c r="U7" s="147">
        <v>-14.1205963529426</v>
      </c>
      <c r="V7" s="146">
        <v>10.8614</v>
      </c>
      <c r="W7" s="147">
        <v>-12.3643032068917</v>
      </c>
    </row>
    <row r="8" ht="24" customHeight="1" spans="1:23">
      <c r="A8" s="148" t="s">
        <v>92</v>
      </c>
      <c r="B8" s="146">
        <v>4.7842</v>
      </c>
      <c r="C8" s="147">
        <v>-6.31523292928897</v>
      </c>
      <c r="D8" s="146">
        <v>0.9252</v>
      </c>
      <c r="E8" s="147">
        <v>-6.19486971509683</v>
      </c>
      <c r="F8" s="146">
        <v>1.1657</v>
      </c>
      <c r="G8" s="147">
        <v>-17.2088068181818</v>
      </c>
      <c r="H8" s="146">
        <v>1.8878</v>
      </c>
      <c r="I8" s="147">
        <v>10.037304733038</v>
      </c>
      <c r="J8" s="146">
        <v>2.4383</v>
      </c>
      <c r="K8" s="147">
        <v>13.2092116259634</v>
      </c>
      <c r="L8" s="146">
        <v>2.7001</v>
      </c>
      <c r="M8" s="147">
        <v>12.9276453366792</v>
      </c>
      <c r="N8" s="146">
        <v>3.5096</v>
      </c>
      <c r="O8" s="147">
        <v>32.487731219328</v>
      </c>
      <c r="P8" s="146">
        <v>3.7902</v>
      </c>
      <c r="Q8" s="147">
        <v>30.7912626384623</v>
      </c>
      <c r="R8" s="146">
        <v>4.8846</v>
      </c>
      <c r="S8" s="147">
        <v>31.4520524292552</v>
      </c>
      <c r="T8" s="146">
        <v>5.4264</v>
      </c>
      <c r="U8" s="147">
        <v>22.5061695573523</v>
      </c>
      <c r="V8" s="146">
        <v>5.8116</v>
      </c>
      <c r="W8" s="147">
        <v>19.6951690530525</v>
      </c>
    </row>
    <row r="9" ht="24" customHeight="1" spans="1:23">
      <c r="A9" s="148" t="s">
        <v>93</v>
      </c>
      <c r="B9" s="146">
        <v>5.0484</v>
      </c>
      <c r="C9" s="147">
        <v>-16.7493939743738</v>
      </c>
      <c r="D9" s="146">
        <v>1.634</v>
      </c>
      <c r="E9" s="147">
        <v>49.6062992125984</v>
      </c>
      <c r="F9" s="146">
        <v>1.9004</v>
      </c>
      <c r="G9" s="147">
        <v>20.415663414016</v>
      </c>
      <c r="H9" s="146">
        <v>2.1515</v>
      </c>
      <c r="I9" s="147">
        <v>10.8849147039118</v>
      </c>
      <c r="J9" s="146">
        <v>2.4341</v>
      </c>
      <c r="K9" s="147">
        <v>0.131638487802871</v>
      </c>
      <c r="L9" s="146">
        <v>3.103</v>
      </c>
      <c r="M9" s="147">
        <v>12.1998842927394</v>
      </c>
      <c r="N9" s="146">
        <v>3.6592</v>
      </c>
      <c r="O9" s="147">
        <v>16.7283399259921</v>
      </c>
      <c r="P9" s="146">
        <v>3.9836</v>
      </c>
      <c r="Q9" s="147">
        <v>16.0316905510894</v>
      </c>
      <c r="R9" s="146">
        <v>5.0418</v>
      </c>
      <c r="S9" s="147">
        <v>9.99881313510362</v>
      </c>
      <c r="T9" s="146">
        <v>5.3983</v>
      </c>
      <c r="U9" s="147">
        <v>7.29681124761091</v>
      </c>
      <c r="V9" s="146">
        <v>5.6855</v>
      </c>
      <c r="W9" s="147">
        <v>3.50574156024506</v>
      </c>
    </row>
    <row r="10" ht="24" customHeight="1" spans="1:23">
      <c r="A10" s="148" t="s">
        <v>94</v>
      </c>
      <c r="B10" s="146">
        <v>9.3758</v>
      </c>
      <c r="C10" s="147">
        <v>-2.29776059522941</v>
      </c>
      <c r="D10" s="146">
        <v>1.9006</v>
      </c>
      <c r="E10" s="147">
        <v>12.4815055927088</v>
      </c>
      <c r="F10" s="146">
        <v>2.7747</v>
      </c>
      <c r="G10" s="147">
        <v>1.04883644706654</v>
      </c>
      <c r="H10" s="146">
        <v>3.4105</v>
      </c>
      <c r="I10" s="147">
        <v>-4.10515956699002</v>
      </c>
      <c r="J10" s="146">
        <v>4.2104</v>
      </c>
      <c r="K10" s="147">
        <v>0.527660387269298</v>
      </c>
      <c r="L10" s="146">
        <v>5.0587</v>
      </c>
      <c r="M10" s="147">
        <v>9.17193603383905</v>
      </c>
      <c r="N10" s="146">
        <v>5.6457</v>
      </c>
      <c r="O10" s="147">
        <v>1.81605049594229</v>
      </c>
      <c r="P10" s="146">
        <v>6.2597</v>
      </c>
      <c r="Q10" s="147">
        <v>0.944993630162391</v>
      </c>
      <c r="R10" s="146">
        <v>8.5789</v>
      </c>
      <c r="S10" s="147">
        <v>-2.34159779614325</v>
      </c>
      <c r="T10" s="146">
        <v>9.3662</v>
      </c>
      <c r="U10" s="147">
        <v>-3.85515553657656</v>
      </c>
      <c r="V10" s="146">
        <v>9.9632</v>
      </c>
      <c r="W10" s="147">
        <v>-4.79302957157246</v>
      </c>
    </row>
    <row r="11" ht="24" customHeight="1" spans="1:23">
      <c r="A11" s="148" t="s">
        <v>95</v>
      </c>
      <c r="B11" s="146">
        <v>8.5249</v>
      </c>
      <c r="C11" s="147">
        <v>-2.77812624736272</v>
      </c>
      <c r="D11" s="146">
        <v>1.0184</v>
      </c>
      <c r="E11" s="147">
        <v>-4.59059396664793</v>
      </c>
      <c r="F11" s="146">
        <v>1.8643</v>
      </c>
      <c r="G11" s="147">
        <v>16.25717136443</v>
      </c>
      <c r="H11" s="146">
        <v>2.5513</v>
      </c>
      <c r="I11" s="147">
        <v>10.278798357467</v>
      </c>
      <c r="J11" s="146">
        <v>3.1596</v>
      </c>
      <c r="K11" s="147">
        <v>8.00205093146471</v>
      </c>
      <c r="L11" s="146">
        <v>3.481</v>
      </c>
      <c r="M11" s="147">
        <v>5.82155342757258</v>
      </c>
      <c r="N11" s="146">
        <v>4.2171</v>
      </c>
      <c r="O11" s="147">
        <v>9.00560911934241</v>
      </c>
      <c r="P11" s="146">
        <v>4.5278</v>
      </c>
      <c r="Q11" s="147">
        <v>8.32834892456396</v>
      </c>
      <c r="R11" s="146">
        <v>6.5835</v>
      </c>
      <c r="S11" s="147">
        <v>0.153954282271825</v>
      </c>
      <c r="T11" s="146">
        <v>7.4133</v>
      </c>
      <c r="U11" s="147">
        <v>-5.02952894605363</v>
      </c>
      <c r="V11" s="146">
        <v>7.9008</v>
      </c>
      <c r="W11" s="147">
        <v>-4.09345935066921</v>
      </c>
    </row>
    <row r="12" ht="24" customHeight="1" spans="1:23">
      <c r="A12" s="148" t="s">
        <v>96</v>
      </c>
      <c r="B12" s="146">
        <v>11.7631</v>
      </c>
      <c r="C12" s="147">
        <v>0.660625197888053</v>
      </c>
      <c r="D12" s="146">
        <v>1.5811</v>
      </c>
      <c r="E12" s="147">
        <v>28.8905192793674</v>
      </c>
      <c r="F12" s="146">
        <v>2.3863</v>
      </c>
      <c r="G12" s="147">
        <v>39.2077937230195</v>
      </c>
      <c r="H12" s="146">
        <v>3.4013</v>
      </c>
      <c r="I12" s="147">
        <v>35.3320335813472</v>
      </c>
      <c r="J12" s="146">
        <v>3.8715</v>
      </c>
      <c r="K12" s="147">
        <v>26.7723239136841</v>
      </c>
      <c r="L12" s="146">
        <v>4.3786</v>
      </c>
      <c r="M12" s="147">
        <v>19.5130605671862</v>
      </c>
      <c r="N12" s="146">
        <v>5.1299</v>
      </c>
      <c r="O12" s="147">
        <v>9.75865462792589</v>
      </c>
      <c r="P12" s="146">
        <v>6.3261</v>
      </c>
      <c r="Q12" s="147">
        <v>19.3806495442622</v>
      </c>
      <c r="R12" s="146">
        <v>8.2678</v>
      </c>
      <c r="S12" s="147">
        <v>14.8771446197625</v>
      </c>
      <c r="T12" s="146">
        <v>10.5661</v>
      </c>
      <c r="U12" s="147">
        <v>30.3050782242371</v>
      </c>
      <c r="V12" s="146">
        <v>11.2035</v>
      </c>
      <c r="W12" s="147">
        <v>22.0528541640793</v>
      </c>
    </row>
    <row r="13" ht="24" customHeight="1" spans="1:23">
      <c r="A13" s="148" t="s">
        <v>97</v>
      </c>
      <c r="B13" s="146">
        <v>11.3164</v>
      </c>
      <c r="C13" s="147">
        <v>4.81836201626498</v>
      </c>
      <c r="D13" s="146">
        <v>1.4875</v>
      </c>
      <c r="E13" s="147">
        <v>4.1156295933366</v>
      </c>
      <c r="F13" s="146">
        <v>5.0861</v>
      </c>
      <c r="G13" s="147">
        <v>123.260611913437</v>
      </c>
      <c r="H13" s="146">
        <v>5.8756</v>
      </c>
      <c r="I13" s="147">
        <v>115.042272078469</v>
      </c>
      <c r="J13" s="146">
        <v>6.3426</v>
      </c>
      <c r="K13" s="147">
        <v>102.904763428133</v>
      </c>
      <c r="L13" s="146">
        <v>6.8392</v>
      </c>
      <c r="M13" s="147">
        <v>93.2304910436797</v>
      </c>
      <c r="N13" s="146">
        <v>7.4825</v>
      </c>
      <c r="O13" s="147">
        <v>80.7978543468806</v>
      </c>
      <c r="P13" s="146">
        <v>7.8354</v>
      </c>
      <c r="Q13" s="147">
        <v>72.7647564659449</v>
      </c>
      <c r="R13" s="146">
        <v>10.545</v>
      </c>
      <c r="S13" s="147">
        <v>48.5541852975733</v>
      </c>
      <c r="T13" s="146">
        <v>11.2841</v>
      </c>
      <c r="U13" s="147">
        <v>19.0391293890279</v>
      </c>
      <c r="V13" s="146">
        <v>11.85</v>
      </c>
      <c r="W13" s="147">
        <v>-4.57584971783441</v>
      </c>
    </row>
    <row r="14" ht="24" customHeight="1" spans="1:23">
      <c r="A14" s="148" t="s">
        <v>98</v>
      </c>
      <c r="B14" s="146">
        <v>17.9205</v>
      </c>
      <c r="C14" s="147">
        <v>0.750548153145556</v>
      </c>
      <c r="D14" s="146">
        <v>2.0798</v>
      </c>
      <c r="E14" s="147">
        <v>-29.9659898306226</v>
      </c>
      <c r="F14" s="146">
        <v>4.1636</v>
      </c>
      <c r="G14" s="147">
        <v>1.46954889966612</v>
      </c>
      <c r="H14" s="146">
        <v>4.9757</v>
      </c>
      <c r="I14" s="147">
        <v>-12.2110871943258</v>
      </c>
      <c r="J14" s="146">
        <v>5.893</v>
      </c>
      <c r="K14" s="147">
        <v>-12.1732391427464</v>
      </c>
      <c r="L14" s="146">
        <v>8.6047</v>
      </c>
      <c r="M14" s="147">
        <v>17.0484533558234</v>
      </c>
      <c r="N14" s="146">
        <v>9.6187</v>
      </c>
      <c r="O14" s="147">
        <v>18.0570727216938</v>
      </c>
      <c r="P14" s="146">
        <v>10.3191</v>
      </c>
      <c r="Q14" s="147">
        <v>13.0550534100246</v>
      </c>
      <c r="R14" s="146">
        <v>16.2523</v>
      </c>
      <c r="S14" s="147">
        <v>24.0150780993659</v>
      </c>
      <c r="T14" s="146">
        <v>17.3587</v>
      </c>
      <c r="U14" s="147">
        <v>13.4657912081716</v>
      </c>
      <c r="V14" s="146">
        <v>21.3186</v>
      </c>
      <c r="W14" s="147">
        <v>29.9954901042057</v>
      </c>
    </row>
    <row r="15" ht="24" customHeight="1" spans="1:23">
      <c r="A15" s="148" t="s">
        <v>99</v>
      </c>
      <c r="B15" s="146">
        <v>17.3238</v>
      </c>
      <c r="C15" s="147">
        <v>2.97626477878631</v>
      </c>
      <c r="D15" s="146">
        <v>5.8329</v>
      </c>
      <c r="E15" s="147">
        <v>72.3721150152191</v>
      </c>
      <c r="F15" s="146">
        <v>7.3506</v>
      </c>
      <c r="G15" s="147">
        <v>33.6594235839622</v>
      </c>
      <c r="H15" s="146">
        <v>8.7689</v>
      </c>
      <c r="I15" s="147">
        <v>22.0309499290267</v>
      </c>
      <c r="J15" s="146">
        <v>10.189</v>
      </c>
      <c r="K15" s="147">
        <v>23.0986698239722</v>
      </c>
      <c r="L15" s="146">
        <v>11.0453</v>
      </c>
      <c r="M15" s="147">
        <v>16.0842468128935</v>
      </c>
      <c r="N15" s="146">
        <v>12.9661</v>
      </c>
      <c r="O15" s="147">
        <v>24.5889825215478</v>
      </c>
      <c r="P15" s="146">
        <v>15.876</v>
      </c>
      <c r="Q15" s="147">
        <v>37.9717903482319</v>
      </c>
      <c r="R15" s="146">
        <v>19.5702</v>
      </c>
      <c r="S15" s="147">
        <v>8.46648493803669</v>
      </c>
      <c r="T15" s="146">
        <v>22.7688</v>
      </c>
      <c r="U15" s="147">
        <v>6.46669567592942</v>
      </c>
      <c r="V15" s="146">
        <v>24.1824</v>
      </c>
      <c r="W15" s="147">
        <v>8.17625045314771</v>
      </c>
    </row>
    <row r="16" ht="22.9" customHeight="1" spans="1:23">
      <c r="A16" s="148"/>
      <c r="B16" s="146"/>
      <c r="C16" s="147"/>
      <c r="D16" s="146"/>
      <c r="E16" s="147"/>
      <c r="F16" s="146"/>
      <c r="G16" s="147"/>
      <c r="H16" s="146"/>
      <c r="I16" s="147"/>
      <c r="J16" s="146"/>
      <c r="K16" s="147"/>
      <c r="L16" s="146"/>
      <c r="M16" s="147"/>
      <c r="N16" s="146"/>
      <c r="O16" s="147"/>
      <c r="P16" s="146"/>
      <c r="Q16" s="147"/>
      <c r="R16" s="146"/>
      <c r="S16" s="147"/>
      <c r="T16" s="146"/>
      <c r="U16" s="147"/>
      <c r="V16" s="146"/>
      <c r="W16" s="147"/>
    </row>
    <row r="17" ht="33" customHeight="1" spans="1:23">
      <c r="A17" s="149" t="s">
        <v>340</v>
      </c>
      <c r="B17" s="146"/>
      <c r="C17" s="147"/>
      <c r="D17" s="146"/>
      <c r="E17" s="147"/>
      <c r="F17" s="146"/>
      <c r="G17" s="147"/>
      <c r="H17" s="146"/>
      <c r="I17" s="147"/>
      <c r="J17" s="146"/>
      <c r="K17" s="147"/>
      <c r="L17" s="146"/>
      <c r="M17" s="147"/>
      <c r="N17" s="146"/>
      <c r="O17" s="147"/>
      <c r="P17" s="146"/>
      <c r="Q17" s="147"/>
      <c r="R17" s="146"/>
      <c r="S17" s="147"/>
      <c r="T17" s="146"/>
      <c r="U17" s="147"/>
      <c r="V17" s="146"/>
      <c r="W17" s="147"/>
    </row>
    <row r="18" ht="24" customHeight="1" spans="1:23">
      <c r="A18" s="148" t="s">
        <v>430</v>
      </c>
      <c r="B18" s="146">
        <v>533.0464</v>
      </c>
      <c r="C18" s="147">
        <v>-1.89219313886734</v>
      </c>
      <c r="D18" s="146">
        <v>108.9436</v>
      </c>
      <c r="E18" s="147">
        <v>26.4278071639283</v>
      </c>
      <c r="F18" s="146">
        <v>160.2533</v>
      </c>
      <c r="G18" s="147">
        <v>31.8778108322738</v>
      </c>
      <c r="H18" s="146">
        <v>202.3112</v>
      </c>
      <c r="I18" s="147">
        <v>23.7876306107477</v>
      </c>
      <c r="J18" s="146">
        <v>244.5811</v>
      </c>
      <c r="K18" s="147">
        <v>17.0885403302095</v>
      </c>
      <c r="L18" s="146">
        <v>296.8274</v>
      </c>
      <c r="M18" s="147">
        <v>17.9623644183955</v>
      </c>
      <c r="N18" s="146">
        <v>333.8119</v>
      </c>
      <c r="O18" s="147">
        <v>15.5553486233895</v>
      </c>
      <c r="P18" s="146">
        <v>367.3675</v>
      </c>
      <c r="Q18" s="147">
        <v>10.2110545406982</v>
      </c>
      <c r="R18" s="146">
        <v>412.3226</v>
      </c>
      <c r="S18" s="147">
        <v>10.5978771092378</v>
      </c>
      <c r="T18" s="146">
        <v>449.6999</v>
      </c>
      <c r="U18" s="147">
        <v>9.45361047308455</v>
      </c>
      <c r="V18" s="146">
        <v>495.5309</v>
      </c>
      <c r="W18" s="147">
        <v>8.80917268904169</v>
      </c>
    </row>
    <row r="19" ht="24" customHeight="1" spans="1:23">
      <c r="A19" s="148" t="s">
        <v>90</v>
      </c>
      <c r="B19" s="150">
        <v>14.7994</v>
      </c>
      <c r="C19" s="151">
        <v>6.47433360912264</v>
      </c>
      <c r="D19" s="150">
        <v>2.7141</v>
      </c>
      <c r="E19" s="151">
        <v>1.22328721142728</v>
      </c>
      <c r="F19" s="150">
        <v>3.8981</v>
      </c>
      <c r="G19" s="151">
        <v>7.07889242940336</v>
      </c>
      <c r="H19" s="150">
        <v>5.0104</v>
      </c>
      <c r="I19" s="151">
        <v>4.34420425673705</v>
      </c>
      <c r="J19" s="150">
        <v>6.042</v>
      </c>
      <c r="K19" s="151">
        <v>1.70689829310171</v>
      </c>
      <c r="L19" s="150">
        <v>7.5017</v>
      </c>
      <c r="M19" s="151">
        <v>5.21613509495358</v>
      </c>
      <c r="N19" s="150">
        <v>8.6419</v>
      </c>
      <c r="O19" s="151">
        <v>-1.63115239266038</v>
      </c>
      <c r="P19" s="150">
        <v>9.6973</v>
      </c>
      <c r="Q19" s="151">
        <v>-4.12192758695695</v>
      </c>
      <c r="R19" s="150">
        <v>10.8361</v>
      </c>
      <c r="S19" s="151">
        <v>-3.85004436557231</v>
      </c>
      <c r="T19" s="150">
        <v>11.8829</v>
      </c>
      <c r="U19" s="151">
        <v>-3.69016550226127</v>
      </c>
      <c r="V19" s="150">
        <v>13.2609</v>
      </c>
      <c r="W19" s="151">
        <v>-1.2760286771439</v>
      </c>
    </row>
    <row r="20" ht="24" customHeight="1" spans="1:23">
      <c r="A20" s="148" t="s">
        <v>91</v>
      </c>
      <c r="B20" s="146">
        <v>21.9413</v>
      </c>
      <c r="C20" s="147">
        <v>13.6442740974776</v>
      </c>
      <c r="D20" s="146">
        <v>4.1585</v>
      </c>
      <c r="E20" s="147">
        <v>6.85836159934217</v>
      </c>
      <c r="F20" s="146">
        <v>5.8971</v>
      </c>
      <c r="G20" s="147">
        <v>14.9913226605308</v>
      </c>
      <c r="H20" s="146">
        <v>7.3457</v>
      </c>
      <c r="I20" s="147">
        <v>6.96634776404117</v>
      </c>
      <c r="J20" s="146">
        <v>9.1739</v>
      </c>
      <c r="K20" s="147">
        <v>2.94797558129096</v>
      </c>
      <c r="L20" s="146">
        <v>11.522</v>
      </c>
      <c r="M20" s="147">
        <v>-3.85834918727679</v>
      </c>
      <c r="N20" s="146">
        <v>13.0388</v>
      </c>
      <c r="O20" s="147">
        <v>-3.81599427563974</v>
      </c>
      <c r="P20" s="146">
        <v>14.4424</v>
      </c>
      <c r="Q20" s="147">
        <v>-5.28642161524084</v>
      </c>
      <c r="R20" s="146">
        <v>16.2841</v>
      </c>
      <c r="S20" s="147">
        <v>-1.83027182792069</v>
      </c>
      <c r="T20" s="146">
        <v>17.8053</v>
      </c>
      <c r="U20" s="147">
        <v>-3.32191278757242</v>
      </c>
      <c r="V20" s="146">
        <v>19.3575</v>
      </c>
      <c r="W20" s="147">
        <v>-3.28890176760359</v>
      </c>
    </row>
    <row r="21" ht="24" customHeight="1" spans="1:23">
      <c r="A21" s="148" t="s">
        <v>92</v>
      </c>
      <c r="B21" s="146">
        <v>24.2009</v>
      </c>
      <c r="C21" s="147">
        <v>6.64619018450867</v>
      </c>
      <c r="D21" s="146">
        <v>4.5144</v>
      </c>
      <c r="E21" s="147">
        <v>14.8760751183266</v>
      </c>
      <c r="F21" s="146">
        <v>6.663</v>
      </c>
      <c r="G21" s="147">
        <v>26.6392975253735</v>
      </c>
      <c r="H21" s="146">
        <v>8.4234</v>
      </c>
      <c r="I21" s="147">
        <v>13.7943612120557</v>
      </c>
      <c r="J21" s="146">
        <v>10.4892</v>
      </c>
      <c r="K21" s="147">
        <v>10.2478400706313</v>
      </c>
      <c r="L21" s="146">
        <v>12.944</v>
      </c>
      <c r="M21" s="147">
        <v>14.2604934457342</v>
      </c>
      <c r="N21" s="146">
        <v>14.4966</v>
      </c>
      <c r="O21" s="147">
        <v>11.5741025798904</v>
      </c>
      <c r="P21" s="146">
        <v>15.8926</v>
      </c>
      <c r="Q21" s="147">
        <v>-4.37780532123561</v>
      </c>
      <c r="R21" s="146">
        <v>17.9251</v>
      </c>
      <c r="S21" s="147">
        <v>-1.86362267663081</v>
      </c>
      <c r="T21" s="146">
        <v>19.2229</v>
      </c>
      <c r="U21" s="147">
        <v>-4.26175131732293</v>
      </c>
      <c r="V21" s="146">
        <v>20.8742</v>
      </c>
      <c r="W21" s="147">
        <v>-3.49377482096542</v>
      </c>
    </row>
    <row r="22" ht="24" customHeight="1" spans="1:23">
      <c r="A22" s="148" t="s">
        <v>93</v>
      </c>
      <c r="B22" s="146">
        <v>16.4435</v>
      </c>
      <c r="C22" s="147">
        <v>-0.275941536782098</v>
      </c>
      <c r="D22" s="146">
        <v>4.2233</v>
      </c>
      <c r="E22" s="147">
        <v>63.276115363798</v>
      </c>
      <c r="F22" s="146">
        <v>6.1545</v>
      </c>
      <c r="G22" s="147">
        <v>64.5192333395707</v>
      </c>
      <c r="H22" s="146">
        <v>7.4881</v>
      </c>
      <c r="I22" s="147">
        <v>50.5781334834805</v>
      </c>
      <c r="J22" s="146">
        <v>8.7904</v>
      </c>
      <c r="K22" s="147">
        <v>28.6067504498837</v>
      </c>
      <c r="L22" s="146">
        <v>10.7815</v>
      </c>
      <c r="M22" s="147">
        <v>34.5215666213333</v>
      </c>
      <c r="N22" s="146">
        <v>12.2628</v>
      </c>
      <c r="O22" s="147">
        <v>33.8266107909901</v>
      </c>
      <c r="P22" s="146">
        <v>13.2472</v>
      </c>
      <c r="Q22" s="147">
        <v>26.3708169573015</v>
      </c>
      <c r="R22" s="146">
        <v>14.4931</v>
      </c>
      <c r="S22" s="147">
        <v>23.561106611535</v>
      </c>
      <c r="T22" s="146">
        <v>15.4486</v>
      </c>
      <c r="U22" s="147">
        <v>18.8747047100195</v>
      </c>
      <c r="V22" s="146">
        <v>16.7325</v>
      </c>
      <c r="W22" s="147">
        <v>18.5121965039522</v>
      </c>
    </row>
    <row r="23" ht="24" customHeight="1" spans="1:23">
      <c r="A23" s="148" t="s">
        <v>94</v>
      </c>
      <c r="B23" s="146">
        <v>54.8999</v>
      </c>
      <c r="C23" s="147">
        <v>6.88379627015756</v>
      </c>
      <c r="D23" s="146">
        <v>11.3147</v>
      </c>
      <c r="E23" s="147">
        <v>43.978571246787</v>
      </c>
      <c r="F23" s="146">
        <v>18.4571</v>
      </c>
      <c r="G23" s="147">
        <v>66.8393173518458</v>
      </c>
      <c r="H23" s="146">
        <v>23.2001</v>
      </c>
      <c r="I23" s="147">
        <v>43.7366409139628</v>
      </c>
      <c r="J23" s="146">
        <v>28.6784</v>
      </c>
      <c r="K23" s="147">
        <v>31.6857915593331</v>
      </c>
      <c r="L23" s="146">
        <v>33.9332</v>
      </c>
      <c r="M23" s="147">
        <v>32.418109873643</v>
      </c>
      <c r="N23" s="146">
        <v>37.1511</v>
      </c>
      <c r="O23" s="147">
        <v>22.7814884707795</v>
      </c>
      <c r="P23" s="146">
        <v>40.1099</v>
      </c>
      <c r="Q23" s="147">
        <v>14.016276709751</v>
      </c>
      <c r="R23" s="146">
        <v>44.5545</v>
      </c>
      <c r="S23" s="147">
        <v>15.887916100941</v>
      </c>
      <c r="T23" s="146">
        <v>48.055</v>
      </c>
      <c r="U23" s="147">
        <v>11.7532150415107</v>
      </c>
      <c r="V23" s="146">
        <v>52.6011</v>
      </c>
      <c r="W23" s="147">
        <v>11.7956859669593</v>
      </c>
    </row>
    <row r="24" ht="24" customHeight="1" spans="1:23">
      <c r="A24" s="148" t="s">
        <v>95</v>
      </c>
      <c r="B24" s="146">
        <v>46.0266</v>
      </c>
      <c r="C24" s="147">
        <v>-10.3787619166303</v>
      </c>
      <c r="D24" s="146">
        <v>8.3915</v>
      </c>
      <c r="E24" s="147">
        <v>12.5454325988117</v>
      </c>
      <c r="F24" s="146">
        <v>13.2614</v>
      </c>
      <c r="G24" s="147">
        <v>25.8161532404201</v>
      </c>
      <c r="H24" s="146">
        <v>16.3407</v>
      </c>
      <c r="I24" s="147">
        <v>16.960726070245</v>
      </c>
      <c r="J24" s="146">
        <v>19.8517</v>
      </c>
      <c r="K24" s="147">
        <v>9.90560553633217</v>
      </c>
      <c r="L24" s="146">
        <v>24.5142</v>
      </c>
      <c r="M24" s="147">
        <v>14.3834338080218</v>
      </c>
      <c r="N24" s="146">
        <v>27.3936</v>
      </c>
      <c r="O24" s="147">
        <v>12.9777414844784</v>
      </c>
      <c r="P24" s="146">
        <v>30.5083</v>
      </c>
      <c r="Q24" s="147">
        <v>6.61981330882326</v>
      </c>
      <c r="R24" s="146">
        <v>33.7737</v>
      </c>
      <c r="S24" s="147">
        <v>6.452314461682</v>
      </c>
      <c r="T24" s="146">
        <v>38.0064</v>
      </c>
      <c r="U24" s="147">
        <v>10.125812041099</v>
      </c>
      <c r="V24" s="146">
        <v>41.6617</v>
      </c>
      <c r="W24" s="147">
        <v>8.14366998577525</v>
      </c>
    </row>
    <row r="25" ht="24" customHeight="1" spans="1:23">
      <c r="A25" s="148" t="s">
        <v>96</v>
      </c>
      <c r="B25" s="146">
        <v>79.1375</v>
      </c>
      <c r="C25" s="147">
        <v>2.23611423315324</v>
      </c>
      <c r="D25" s="146">
        <v>16.7991</v>
      </c>
      <c r="E25" s="147">
        <v>69.6707403292597</v>
      </c>
      <c r="F25" s="146">
        <v>24.9264</v>
      </c>
      <c r="G25" s="147">
        <v>62.2263296279905</v>
      </c>
      <c r="H25" s="146">
        <v>30.3957</v>
      </c>
      <c r="I25" s="147">
        <v>53.8243927125506</v>
      </c>
      <c r="J25" s="146">
        <v>37.5129</v>
      </c>
      <c r="K25" s="147">
        <v>33.3351105234536</v>
      </c>
      <c r="L25" s="146">
        <v>45.5061</v>
      </c>
      <c r="M25" s="147">
        <v>26.1843097672974</v>
      </c>
      <c r="N25" s="146">
        <v>51.0589</v>
      </c>
      <c r="O25" s="147">
        <v>22.6893724589345</v>
      </c>
      <c r="P25" s="146">
        <v>56.2567</v>
      </c>
      <c r="Q25" s="147">
        <v>15.8622834405661</v>
      </c>
      <c r="R25" s="146">
        <v>62.333</v>
      </c>
      <c r="S25" s="147">
        <v>14.4640483028625</v>
      </c>
      <c r="T25" s="146">
        <v>68.0019</v>
      </c>
      <c r="U25" s="147">
        <v>14.148667771192</v>
      </c>
      <c r="V25" s="146">
        <v>75.4077</v>
      </c>
      <c r="W25" s="147">
        <v>12.9185721601783</v>
      </c>
    </row>
    <row r="26" ht="24" customHeight="1" spans="1:23">
      <c r="A26" s="148" t="s">
        <v>97</v>
      </c>
      <c r="B26" s="146">
        <v>54.7941</v>
      </c>
      <c r="C26" s="147">
        <v>7.26064402466478</v>
      </c>
      <c r="D26" s="146">
        <v>10.0128</v>
      </c>
      <c r="E26" s="147">
        <v>19.4331790638866</v>
      </c>
      <c r="F26" s="146">
        <v>17.0472</v>
      </c>
      <c r="G26" s="147">
        <v>46.481293715307</v>
      </c>
      <c r="H26" s="146">
        <v>22.5363</v>
      </c>
      <c r="I26" s="147">
        <v>40.4804797317093</v>
      </c>
      <c r="J26" s="146">
        <v>26.515</v>
      </c>
      <c r="K26" s="147">
        <v>24.9799673821846</v>
      </c>
      <c r="L26" s="146">
        <v>32.54</v>
      </c>
      <c r="M26" s="147">
        <v>27.9933289279084</v>
      </c>
      <c r="N26" s="146">
        <v>36.1559</v>
      </c>
      <c r="O26" s="147">
        <v>24.5689892781346</v>
      </c>
      <c r="P26" s="146">
        <v>39.0973</v>
      </c>
      <c r="Q26" s="147">
        <v>14.8700938121583</v>
      </c>
      <c r="R26" s="146">
        <v>43.7095</v>
      </c>
      <c r="S26" s="147">
        <v>16.0687019860164</v>
      </c>
      <c r="T26" s="146">
        <v>47.7</v>
      </c>
      <c r="U26" s="147">
        <v>12.8206341134592</v>
      </c>
      <c r="V26" s="146">
        <v>52.0388</v>
      </c>
      <c r="W26" s="147">
        <v>10.6669303679696</v>
      </c>
    </row>
    <row r="27" ht="24" customHeight="1" spans="1:23">
      <c r="A27" s="148" t="s">
        <v>98</v>
      </c>
      <c r="B27" s="146">
        <v>91.8524</v>
      </c>
      <c r="C27" s="147">
        <v>0.336887179935341</v>
      </c>
      <c r="D27" s="146">
        <v>19.0959</v>
      </c>
      <c r="E27" s="147">
        <v>1.37549902318865</v>
      </c>
      <c r="F27" s="146">
        <v>27.521</v>
      </c>
      <c r="G27" s="147">
        <v>15.9648073082141</v>
      </c>
      <c r="H27" s="146">
        <v>34.5295</v>
      </c>
      <c r="I27" s="147">
        <v>14.6896558596202</v>
      </c>
      <c r="J27" s="146">
        <v>42.0128</v>
      </c>
      <c r="K27" s="147">
        <v>10.1717894052274</v>
      </c>
      <c r="L27" s="146">
        <v>51.7705</v>
      </c>
      <c r="M27" s="147">
        <v>16.1182299598738</v>
      </c>
      <c r="N27" s="146">
        <v>57.1356</v>
      </c>
      <c r="O27" s="147">
        <v>15.2001742047874</v>
      </c>
      <c r="P27" s="146">
        <v>61.5212</v>
      </c>
      <c r="Q27" s="147">
        <v>7.59818667711381</v>
      </c>
      <c r="R27" s="146">
        <v>68.1039</v>
      </c>
      <c r="S27" s="147">
        <v>5.81399865448347</v>
      </c>
      <c r="T27" s="146">
        <v>74.6324</v>
      </c>
      <c r="U27" s="147">
        <v>5.17041907577578</v>
      </c>
      <c r="V27" s="146">
        <v>82.698</v>
      </c>
      <c r="W27" s="147">
        <v>2.97065701101451</v>
      </c>
    </row>
    <row r="28" ht="24" customHeight="1" spans="1:23">
      <c r="A28" s="152" t="s">
        <v>446</v>
      </c>
      <c r="B28" s="153">
        <v>26.3902</v>
      </c>
      <c r="C28" s="154">
        <v>3.06135599442325</v>
      </c>
      <c r="D28" s="153">
        <v>7.9172</v>
      </c>
      <c r="E28" s="154">
        <v>108.440618171287</v>
      </c>
      <c r="F28" s="153">
        <v>9.5786</v>
      </c>
      <c r="G28" s="154">
        <v>88.1514074132275</v>
      </c>
      <c r="H28" s="153">
        <v>11.4496</v>
      </c>
      <c r="I28" s="154">
        <v>52.1824658408209</v>
      </c>
      <c r="J28" s="153">
        <v>13.4964</v>
      </c>
      <c r="K28" s="154">
        <v>50.6294642857143</v>
      </c>
      <c r="L28" s="153">
        <v>15.5151</v>
      </c>
      <c r="M28" s="154">
        <v>44.058495821727</v>
      </c>
      <c r="N28" s="153">
        <v>17.1042</v>
      </c>
      <c r="O28" s="154">
        <v>35.7971958016419</v>
      </c>
      <c r="P28" s="153">
        <v>19.8596</v>
      </c>
      <c r="Q28" s="154">
        <v>39.4918909047488</v>
      </c>
      <c r="R28" s="153">
        <v>21.8341</v>
      </c>
      <c r="S28" s="154">
        <v>34.136691752419</v>
      </c>
      <c r="T28" s="153">
        <v>23.8376</v>
      </c>
      <c r="U28" s="154">
        <v>20.8993300163819</v>
      </c>
      <c r="V28" s="153">
        <v>25.3491</v>
      </c>
      <c r="W28" s="154">
        <v>12.9437711637854</v>
      </c>
    </row>
    <row r="29" ht="56" customHeight="1" spans="1:23">
      <c r="A29" s="155" t="s">
        <v>456</v>
      </c>
      <c r="B29" s="155"/>
      <c r="C29" s="155"/>
      <c r="D29" s="155"/>
      <c r="E29" s="155"/>
      <c r="F29" s="155"/>
      <c r="G29" s="155"/>
      <c r="H29" s="155"/>
      <c r="I29" s="155"/>
      <c r="J29" s="155"/>
      <c r="K29" s="155"/>
      <c r="L29" s="155"/>
      <c r="M29" s="155"/>
      <c r="N29" s="155"/>
      <c r="O29" s="155"/>
      <c r="P29" s="155"/>
      <c r="Q29" s="155"/>
      <c r="R29" s="155"/>
      <c r="S29" s="155"/>
      <c r="T29" s="155"/>
      <c r="U29" s="155"/>
      <c r="V29" s="155"/>
      <c r="W29" s="155"/>
    </row>
  </sheetData>
  <mergeCells count="14">
    <mergeCell ref="A1:W1"/>
    <mergeCell ref="B2:C2"/>
    <mergeCell ref="D2:E2"/>
    <mergeCell ref="F2:G2"/>
    <mergeCell ref="H2:I2"/>
    <mergeCell ref="J2:K2"/>
    <mergeCell ref="L2:M2"/>
    <mergeCell ref="N2:O2"/>
    <mergeCell ref="P2:Q2"/>
    <mergeCell ref="R2:S2"/>
    <mergeCell ref="T2:U2"/>
    <mergeCell ref="V2:W2"/>
    <mergeCell ref="A29:W29"/>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O27"/>
  <sheetViews>
    <sheetView workbookViewId="0">
      <selection activeCell="X19" sqref="X19"/>
    </sheetView>
  </sheetViews>
  <sheetFormatPr defaultColWidth="9" defaultRowHeight="14.25"/>
  <cols>
    <col min="1" max="1" width="16.375" customWidth="1"/>
    <col min="2" max="2" width="13" customWidth="1"/>
    <col min="3" max="3" width="9.375" customWidth="1"/>
    <col min="4" max="4" width="8.625" customWidth="1"/>
    <col min="5" max="5" width="14.625" customWidth="1"/>
    <col min="6" max="6" width="10.5" customWidth="1"/>
    <col min="7" max="7" width="8.625" customWidth="1"/>
  </cols>
  <sheetData>
    <row r="1" ht="24" spans="1:15">
      <c r="A1" t="s">
        <v>457</v>
      </c>
      <c r="G1" s="103"/>
    </row>
    <row r="2" ht="29.1" customHeight="1" spans="1:15">
      <c r="A2" t="s">
        <v>458</v>
      </c>
    </row>
    <row r="3" s="100" customFormat="1" ht="30" customHeight="1" spans="1:15">
      <c r="A3" t="s">
        <v>459</v>
      </c>
      <c r="B3" t="s">
        <v>460</v>
      </c>
      <c r="C3"/>
      <c r="D3"/>
      <c r="E3" t="s">
        <v>461</v>
      </c>
      <c r="F3"/>
      <c r="G3"/>
    </row>
    <row r="4" s="101" customFormat="1" ht="36" customHeight="1" spans="1:15">
      <c r="A4"/>
      <c r="B4" s="104" t="s">
        <v>462</v>
      </c>
      <c r="C4" s="105" t="s">
        <v>463</v>
      </c>
      <c r="D4" s="106" t="s">
        <v>464</v>
      </c>
      <c r="E4" s="104" t="s">
        <v>462</v>
      </c>
      <c r="F4" s="107" t="s">
        <v>463</v>
      </c>
      <c r="G4" s="107" t="s">
        <v>464</v>
      </c>
      <c r="H4" s="108"/>
      <c r="O4" s="109"/>
    </row>
    <row r="5" s="101" customFormat="1" ht="25.5" customHeight="1" spans="1:15">
      <c r="A5" s="110" t="s">
        <v>465</v>
      </c>
      <c r="B5" s="111" t="s">
        <v>18</v>
      </c>
      <c r="C5" s="111" t="s">
        <v>18</v>
      </c>
      <c r="D5" s="111" t="s">
        <v>18</v>
      </c>
      <c r="E5" s="112" t="s">
        <v>18</v>
      </c>
      <c r="F5" s="113" t="s">
        <v>18</v>
      </c>
      <c r="G5" s="111" t="s">
        <v>18</v>
      </c>
      <c r="I5" s="114"/>
      <c r="J5" s="114"/>
      <c r="K5" s="115"/>
      <c r="O5" s="109"/>
    </row>
    <row r="6" s="101" customFormat="1" ht="23.1" customHeight="1" spans="1:15">
      <c r="A6" s="110" t="s">
        <v>466</v>
      </c>
      <c r="B6" s="116">
        <v>7406.64</v>
      </c>
      <c r="C6" s="11">
        <v>3.4</v>
      </c>
      <c r="D6" s="111" t="s">
        <v>18</v>
      </c>
      <c r="E6" s="116">
        <v>0</v>
      </c>
      <c r="F6" s="117">
        <v>0</v>
      </c>
      <c r="G6" s="111" t="s">
        <v>18</v>
      </c>
      <c r="I6" s="114"/>
      <c r="J6" s="118"/>
      <c r="O6" s="119"/>
    </row>
    <row r="7" ht="23.1" customHeight="1" spans="1:15">
      <c r="A7" s="101" t="s">
        <v>467</v>
      </c>
      <c r="B7" s="116" t="e">
        <v>#REF!</v>
      </c>
      <c r="C7" s="11" t="e">
        <v>#REF!</v>
      </c>
      <c r="D7" s="120" t="e">
        <f t="shared" ref="D7:D27" si="0">RANK(C7,$C$7:$C$27,0)</f>
        <v>#REF!</v>
      </c>
      <c r="E7" s="116" t="e">
        <v>#REF!</v>
      </c>
      <c r="F7" s="117" t="e">
        <v>#REF!</v>
      </c>
      <c r="G7" s="111" t="e">
        <f t="shared" ref="G7:G27" si="1">RANK(F7,$F$7:$F$27,0)</f>
        <v>#REF!</v>
      </c>
      <c r="I7" s="121"/>
      <c r="J7" s="122"/>
      <c r="K7" s="123"/>
      <c r="L7" s="124"/>
      <c r="O7" s="125"/>
    </row>
    <row r="8" ht="23.1" customHeight="1" spans="1:15">
      <c r="A8" s="101" t="s">
        <v>468</v>
      </c>
      <c r="B8" s="116" t="e">
        <v>#REF!</v>
      </c>
      <c r="C8" s="11" t="e">
        <v>#REF!</v>
      </c>
      <c r="D8" s="120" t="e">
        <f t="shared" si="0"/>
        <v>#REF!</v>
      </c>
      <c r="E8" s="116" t="e">
        <v>#REF!</v>
      </c>
      <c r="F8" s="117" t="e">
        <v>#REF!</v>
      </c>
      <c r="G8" s="111" t="e">
        <f t="shared" si="1"/>
        <v>#REF!</v>
      </c>
      <c r="I8" s="121"/>
      <c r="J8" s="122"/>
      <c r="K8" s="123"/>
      <c r="L8" s="124"/>
      <c r="O8" s="125"/>
    </row>
    <row r="9" ht="23.1" customHeight="1" spans="1:15">
      <c r="A9" s="101" t="s">
        <v>469</v>
      </c>
      <c r="B9" s="116" t="e">
        <v>#REF!</v>
      </c>
      <c r="C9" s="11" t="e">
        <v>#REF!</v>
      </c>
      <c r="D9" s="120" t="e">
        <f t="shared" si="0"/>
        <v>#REF!</v>
      </c>
      <c r="E9" s="116" t="e">
        <v>#REF!</v>
      </c>
      <c r="F9" s="117" t="e">
        <v>#REF!</v>
      </c>
      <c r="G9" s="111" t="e">
        <f t="shared" si="1"/>
        <v>#REF!</v>
      </c>
      <c r="I9" s="121"/>
      <c r="J9" s="122"/>
      <c r="K9" s="123"/>
      <c r="L9" s="124"/>
      <c r="O9" s="125"/>
    </row>
    <row r="10" ht="23.1" customHeight="1" spans="1:15">
      <c r="A10" s="101" t="s">
        <v>470</v>
      </c>
      <c r="B10" s="116" t="e">
        <v>#REF!</v>
      </c>
      <c r="C10" s="11" t="e">
        <v>#REF!</v>
      </c>
      <c r="D10" s="120" t="e">
        <f t="shared" si="0"/>
        <v>#REF!</v>
      </c>
      <c r="E10" s="116" t="e">
        <v>#REF!</v>
      </c>
      <c r="F10" s="117" t="e">
        <v>#REF!</v>
      </c>
      <c r="G10" s="111" t="e">
        <f t="shared" si="1"/>
        <v>#REF!</v>
      </c>
      <c r="I10" s="121"/>
      <c r="J10" s="122"/>
      <c r="K10" s="123"/>
      <c r="L10" s="124"/>
      <c r="O10" s="125"/>
    </row>
    <row r="11" ht="23.1" customHeight="1" spans="1:15">
      <c r="A11" s="101" t="s">
        <v>471</v>
      </c>
      <c r="B11" s="116" t="e">
        <v>#REF!</v>
      </c>
      <c r="C11" s="11" t="e">
        <v>#REF!</v>
      </c>
      <c r="D11" s="120" t="e">
        <f t="shared" si="0"/>
        <v>#REF!</v>
      </c>
      <c r="E11" s="116" t="e">
        <v>#REF!</v>
      </c>
      <c r="F11" s="117" t="e">
        <v>#REF!</v>
      </c>
      <c r="G11" s="111" t="e">
        <f t="shared" si="1"/>
        <v>#REF!</v>
      </c>
      <c r="I11" s="121"/>
      <c r="J11" s="122"/>
      <c r="K11" s="123"/>
      <c r="L11" s="124"/>
      <c r="O11" s="125"/>
    </row>
    <row r="12" ht="23.1" customHeight="1" spans="1:15">
      <c r="A12" s="101" t="s">
        <v>472</v>
      </c>
      <c r="B12" s="116" t="e">
        <v>#REF!</v>
      </c>
      <c r="C12" s="11" t="e">
        <v>#REF!</v>
      </c>
      <c r="D12" s="120" t="e">
        <f t="shared" si="0"/>
        <v>#REF!</v>
      </c>
      <c r="E12" s="116" t="e">
        <v>#REF!</v>
      </c>
      <c r="F12" s="117" t="e">
        <v>#REF!</v>
      </c>
      <c r="G12" s="111" t="e">
        <f t="shared" si="1"/>
        <v>#REF!</v>
      </c>
      <c r="I12" s="121"/>
      <c r="J12" s="122"/>
      <c r="K12" s="123"/>
      <c r="L12" s="124"/>
      <c r="O12" s="125"/>
    </row>
    <row r="13" ht="23.1" customHeight="1" spans="1:15">
      <c r="A13" s="101" t="s">
        <v>473</v>
      </c>
      <c r="B13" s="116" t="e">
        <v>#REF!</v>
      </c>
      <c r="C13" s="11" t="e">
        <v>#REF!</v>
      </c>
      <c r="D13" s="120" t="e">
        <f t="shared" si="0"/>
        <v>#REF!</v>
      </c>
      <c r="E13" s="116" t="e">
        <v>#REF!</v>
      </c>
      <c r="F13" s="117" t="e">
        <v>#REF!</v>
      </c>
      <c r="G13" s="111" t="e">
        <f t="shared" si="1"/>
        <v>#REF!</v>
      </c>
      <c r="I13" s="121"/>
      <c r="J13" s="122"/>
      <c r="K13" s="123"/>
      <c r="L13" s="124"/>
      <c r="O13" s="125"/>
    </row>
    <row r="14" ht="23.1" customHeight="1" spans="1:15">
      <c r="A14" s="101" t="s">
        <v>474</v>
      </c>
      <c r="B14" s="116" t="e">
        <v>#REF!</v>
      </c>
      <c r="C14" s="11" t="e">
        <v>#REF!</v>
      </c>
      <c r="D14" s="120" t="e">
        <f t="shared" si="0"/>
        <v>#REF!</v>
      </c>
      <c r="E14" s="116" t="e">
        <v>#REF!</v>
      </c>
      <c r="F14" s="117" t="e">
        <v>#REF!</v>
      </c>
      <c r="G14" s="111" t="e">
        <f t="shared" si="1"/>
        <v>#REF!</v>
      </c>
      <c r="I14" s="121"/>
      <c r="J14" s="122"/>
      <c r="K14" s="123"/>
      <c r="L14" s="124"/>
      <c r="O14" s="125"/>
    </row>
    <row r="15" ht="23.1" customHeight="1" spans="1:15">
      <c r="A15" s="101" t="s">
        <v>475</v>
      </c>
      <c r="B15" s="116" t="e">
        <v>#REF!</v>
      </c>
      <c r="C15" s="11">
        <v>-15.6</v>
      </c>
      <c r="D15" s="120" t="e">
        <f t="shared" si="0"/>
        <v>#REF!</v>
      </c>
      <c r="E15" s="116" t="e">
        <v>#REF!</v>
      </c>
      <c r="F15" s="117" t="e">
        <v>#REF!</v>
      </c>
      <c r="G15" s="111" t="e">
        <f t="shared" si="1"/>
        <v>#REF!</v>
      </c>
      <c r="I15" s="121"/>
      <c r="J15" s="122"/>
      <c r="K15" s="123"/>
      <c r="L15" s="124"/>
      <c r="O15" s="125"/>
    </row>
    <row r="16" ht="23.1" customHeight="1" spans="1:15">
      <c r="A16" s="101" t="s">
        <v>476</v>
      </c>
      <c r="B16" s="116" t="e">
        <v>#REF!</v>
      </c>
      <c r="C16" s="11" t="e">
        <v>#REF!</v>
      </c>
      <c r="D16" s="120" t="e">
        <f t="shared" si="0"/>
        <v>#REF!</v>
      </c>
      <c r="E16" s="116" t="e">
        <v>#REF!</v>
      </c>
      <c r="F16" s="117" t="e">
        <v>#REF!</v>
      </c>
      <c r="G16" s="111" t="e">
        <f t="shared" si="1"/>
        <v>#REF!</v>
      </c>
      <c r="I16" s="121"/>
      <c r="J16" s="122"/>
      <c r="K16" s="123"/>
      <c r="L16" s="124"/>
      <c r="O16" s="125"/>
    </row>
    <row r="17" ht="23.1" customHeight="1" spans="1:15">
      <c r="A17" s="101" t="s">
        <v>477</v>
      </c>
      <c r="B17" s="116" t="e">
        <v>#REF!</v>
      </c>
      <c r="C17" s="11" t="e">
        <v>#REF!</v>
      </c>
      <c r="D17" s="120" t="e">
        <f t="shared" si="0"/>
        <v>#REF!</v>
      </c>
      <c r="E17" s="116" t="e">
        <v>#REF!</v>
      </c>
      <c r="F17" s="117" t="e">
        <v>#REF!</v>
      </c>
      <c r="G17" s="111" t="e">
        <f t="shared" si="1"/>
        <v>#REF!</v>
      </c>
      <c r="I17" s="121"/>
      <c r="J17" s="122"/>
      <c r="K17" s="123"/>
      <c r="L17" s="124"/>
      <c r="O17" s="125"/>
    </row>
    <row r="18" ht="23.1" customHeight="1" spans="1:15">
      <c r="A18" s="101" t="s">
        <v>478</v>
      </c>
      <c r="B18" s="116" t="e">
        <v>#REF!</v>
      </c>
      <c r="C18" s="11" t="e">
        <v>#REF!</v>
      </c>
      <c r="D18" s="120" t="e">
        <f t="shared" si="0"/>
        <v>#REF!</v>
      </c>
      <c r="E18" s="116" t="e">
        <v>#REF!</v>
      </c>
      <c r="F18" s="117" t="e">
        <v>#REF!</v>
      </c>
      <c r="G18" s="111" t="e">
        <f t="shared" si="1"/>
        <v>#REF!</v>
      </c>
      <c r="I18" s="121"/>
      <c r="J18" s="122"/>
      <c r="K18" s="123"/>
      <c r="L18" s="124"/>
      <c r="O18" s="125"/>
    </row>
    <row r="19" ht="23.1" customHeight="1" spans="1:15">
      <c r="A19" s="101" t="s">
        <v>479</v>
      </c>
      <c r="B19" s="116" t="e">
        <v>#REF!</v>
      </c>
      <c r="C19" s="11" t="e">
        <v>#REF!</v>
      </c>
      <c r="D19" s="120" t="e">
        <f t="shared" si="0"/>
        <v>#REF!</v>
      </c>
      <c r="E19" s="116" t="e">
        <v>#REF!</v>
      </c>
      <c r="F19" s="117" t="e">
        <v>#REF!</v>
      </c>
      <c r="G19" s="111" t="e">
        <f t="shared" si="1"/>
        <v>#REF!</v>
      </c>
      <c r="I19" s="121"/>
      <c r="J19" s="122"/>
      <c r="K19" s="123"/>
      <c r="L19" s="124"/>
      <c r="O19" s="125"/>
    </row>
    <row r="20" ht="23.1" customHeight="1" spans="1:15">
      <c r="A20" s="101" t="s">
        <v>480</v>
      </c>
      <c r="B20" s="116" t="e">
        <v>#REF!</v>
      </c>
      <c r="C20" s="11" t="e">
        <v>#REF!</v>
      </c>
      <c r="D20" s="120" t="e">
        <f t="shared" si="0"/>
        <v>#REF!</v>
      </c>
      <c r="E20" s="116" t="e">
        <v>#REF!</v>
      </c>
      <c r="F20" s="117" t="e">
        <v>#REF!</v>
      </c>
      <c r="G20" s="111" t="e">
        <f t="shared" si="1"/>
        <v>#REF!</v>
      </c>
      <c r="I20" s="121"/>
      <c r="J20" s="122"/>
      <c r="K20" s="123"/>
      <c r="L20" s="124"/>
      <c r="O20" s="125"/>
    </row>
    <row r="21" ht="23.1" customHeight="1" spans="1:15">
      <c r="A21" s="101" t="s">
        <v>481</v>
      </c>
      <c r="B21" s="116" t="e">
        <v>#REF!</v>
      </c>
      <c r="C21" s="11" t="e">
        <v>#REF!</v>
      </c>
      <c r="D21" s="120" t="e">
        <f t="shared" si="0"/>
        <v>#REF!</v>
      </c>
      <c r="E21" s="116" t="e">
        <v>#REF!</v>
      </c>
      <c r="F21" s="117" t="e">
        <v>#REF!</v>
      </c>
      <c r="G21" s="111" t="e">
        <f t="shared" si="1"/>
        <v>#REF!</v>
      </c>
      <c r="I21" s="121"/>
      <c r="J21" s="122"/>
      <c r="K21" s="123"/>
      <c r="L21" s="124"/>
      <c r="O21" s="125"/>
    </row>
    <row r="22" ht="23.1" customHeight="1" spans="1:15">
      <c r="A22" s="101" t="s">
        <v>482</v>
      </c>
      <c r="B22" s="116" t="e">
        <v>#REF!</v>
      </c>
      <c r="C22" s="11" t="e">
        <v>#REF!</v>
      </c>
      <c r="D22" s="120" t="e">
        <f t="shared" si="0"/>
        <v>#REF!</v>
      </c>
      <c r="E22" s="116" t="e">
        <v>#REF!</v>
      </c>
      <c r="F22" s="117" t="e">
        <v>#REF!</v>
      </c>
      <c r="G22" s="111" t="e">
        <f t="shared" si="1"/>
        <v>#REF!</v>
      </c>
      <c r="I22" s="121"/>
      <c r="J22" s="122"/>
      <c r="K22" s="123"/>
      <c r="L22" s="124"/>
      <c r="O22" s="125"/>
    </row>
    <row r="23" ht="23.1" customHeight="1" spans="1:15">
      <c r="A23" s="101" t="s">
        <v>483</v>
      </c>
      <c r="B23" s="116" t="e">
        <v>#REF!</v>
      </c>
      <c r="C23" s="11" t="e">
        <v>#REF!</v>
      </c>
      <c r="D23" s="120" t="e">
        <f t="shared" si="0"/>
        <v>#REF!</v>
      </c>
      <c r="E23" s="116" t="e">
        <v>#REF!</v>
      </c>
      <c r="F23" s="117" t="e">
        <v>#REF!</v>
      </c>
      <c r="G23" s="111" t="e">
        <f t="shared" si="1"/>
        <v>#REF!</v>
      </c>
      <c r="I23" s="121"/>
      <c r="J23" s="122"/>
      <c r="K23" s="123"/>
      <c r="L23" s="124"/>
      <c r="O23" s="125"/>
    </row>
    <row r="24" ht="23.1" customHeight="1" spans="1:15">
      <c r="A24" s="101" t="s">
        <v>484</v>
      </c>
      <c r="B24" s="116" t="e">
        <v>#REF!</v>
      </c>
      <c r="C24" s="11" t="e">
        <v>#REF!</v>
      </c>
      <c r="D24" s="120" t="e">
        <f t="shared" si="0"/>
        <v>#REF!</v>
      </c>
      <c r="E24" s="116" t="e">
        <v>#REF!</v>
      </c>
      <c r="F24" s="117" t="e">
        <v>#REF!</v>
      </c>
      <c r="G24" s="111" t="e">
        <f t="shared" si="1"/>
        <v>#REF!</v>
      </c>
      <c r="I24" s="121"/>
      <c r="J24" s="122"/>
      <c r="K24" s="123"/>
      <c r="L24" s="124"/>
      <c r="O24" s="125"/>
    </row>
    <row r="25" ht="23.1" customHeight="1" spans="1:15">
      <c r="A25" s="101" t="s">
        <v>485</v>
      </c>
      <c r="B25" s="116" t="e">
        <v>#REF!</v>
      </c>
      <c r="C25" s="11" t="e">
        <v>#REF!</v>
      </c>
      <c r="D25" s="120" t="e">
        <f t="shared" si="0"/>
        <v>#REF!</v>
      </c>
      <c r="E25" s="116" t="e">
        <v>#REF!</v>
      </c>
      <c r="F25" s="117" t="e">
        <v>#REF!</v>
      </c>
      <c r="G25" s="111" t="e">
        <f t="shared" si="1"/>
        <v>#REF!</v>
      </c>
      <c r="I25" s="121"/>
      <c r="J25" s="122"/>
      <c r="K25" s="123"/>
      <c r="L25" s="124"/>
      <c r="O25" s="125"/>
    </row>
    <row r="26" ht="23.1" customHeight="1" spans="1:15">
      <c r="A26" s="101" t="s">
        <v>486</v>
      </c>
      <c r="B26" s="116" t="e">
        <v>#REF!</v>
      </c>
      <c r="C26" s="11" t="e">
        <v>#REF!</v>
      </c>
      <c r="D26" s="120" t="e">
        <f t="shared" si="0"/>
        <v>#REF!</v>
      </c>
      <c r="E26" s="116" t="e">
        <v>#REF!</v>
      </c>
      <c r="F26" s="117" t="e">
        <v>#REF!</v>
      </c>
      <c r="G26" s="111" t="e">
        <f t="shared" si="1"/>
        <v>#REF!</v>
      </c>
      <c r="I26" s="121"/>
      <c r="J26" s="122"/>
      <c r="K26" s="123"/>
      <c r="L26" s="124"/>
      <c r="O26" s="125"/>
    </row>
    <row r="27" s="102" customFormat="1" ht="23.1" customHeight="1" spans="1:15">
      <c r="A27" s="126" t="s">
        <v>487</v>
      </c>
      <c r="B27" s="127" t="e">
        <v>#REF!</v>
      </c>
      <c r="C27" s="128" t="e">
        <v>#REF!</v>
      </c>
      <c r="D27" s="129" t="e">
        <f t="shared" si="0"/>
        <v>#REF!</v>
      </c>
      <c r="E27" s="127" t="e">
        <v>#REF!</v>
      </c>
      <c r="F27" s="130" t="e">
        <v>#REF!</v>
      </c>
      <c r="G27" s="131" t="e">
        <f t="shared" si="1"/>
        <v>#REF!</v>
      </c>
      <c r="H27" s="132"/>
      <c r="I27" s="121"/>
      <c r="J27" s="122"/>
      <c r="K27" s="123"/>
      <c r="L27" s="132"/>
      <c r="M27" s="132"/>
      <c r="N27" s="132"/>
      <c r="O27" s="119"/>
    </row>
  </sheetData>
  <mergeCells count="5">
    <mergeCell ref="A1:F1"/>
    <mergeCell ref="A2:G2"/>
    <mergeCell ref="B3:D3"/>
    <mergeCell ref="E3:G3"/>
    <mergeCell ref="A3:A4"/>
  </mergeCells>
  <pageMargins left="0.75" right="0.75" top="1" bottom="1" header="0.51" footer="0.51"/>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IV31"/>
  <sheetViews>
    <sheetView topLeftCell="A4" workbookViewId="0">
      <selection activeCell="X19" sqref="X19"/>
    </sheetView>
  </sheetViews>
  <sheetFormatPr defaultColWidth="9" defaultRowHeight="14.25"/>
  <cols>
    <col min="1" max="1" width="14.375" style="44" customWidth="1"/>
    <col min="2" max="2" width="26.875" customWidth="1"/>
    <col min="3" max="3" width="18.875" customWidth="1"/>
    <col min="4" max="4" width="0.5" hidden="1" customWidth="1"/>
    <col min="5" max="6" width="9" hidden="1" customWidth="1"/>
  </cols>
  <sheetData>
    <row r="1" ht="33.75" customHeight="1" spans="1:7">
      <c r="A1" s="3" t="s">
        <v>488</v>
      </c>
      <c r="B1" s="3"/>
      <c r="C1" s="3"/>
      <c r="D1" s="3"/>
      <c r="E1" s="3"/>
      <c r="F1" s="3"/>
      <c r="G1" s="45"/>
    </row>
    <row r="2" ht="20.25" customHeight="1" spans="1:7">
      <c r="A2" s="84"/>
      <c r="B2" s="84"/>
      <c r="C2" t="s">
        <v>489</v>
      </c>
      <c r="G2" s="45"/>
    </row>
    <row r="3" s="43" customFormat="1" ht="31.5" customHeight="1" spans="1:7">
      <c r="A3" t="s">
        <v>490</v>
      </c>
      <c r="B3" t="s">
        <v>83</v>
      </c>
      <c r="C3"/>
      <c r="D3" s="85"/>
      <c r="E3" s="86"/>
      <c r="F3" s="87"/>
      <c r="G3" s="51"/>
    </row>
    <row r="4" s="43" customFormat="1" ht="31.5" customHeight="1" spans="1:7">
      <c r="A4"/>
      <c r="B4" s="7" t="s">
        <v>491</v>
      </c>
      <c r="C4" s="8" t="s">
        <v>492</v>
      </c>
      <c r="D4" s="88"/>
      <c r="E4" s="89"/>
      <c r="F4" s="90"/>
      <c r="G4" s="51"/>
    </row>
    <row r="5" ht="18" customHeight="1" spans="1:7">
      <c r="A5" s="91">
        <v>2016</v>
      </c>
      <c r="B5" s="92"/>
      <c r="C5" s="80"/>
      <c r="D5" s="93"/>
      <c r="E5" s="93"/>
      <c r="F5" s="93"/>
    </row>
    <row r="6" ht="18" customHeight="1" spans="1:7">
      <c r="A6" s="91">
        <v>6</v>
      </c>
      <c r="B6" s="92">
        <f>ROUND(3143799,0)</f>
        <v>3143799</v>
      </c>
      <c r="C6" s="94">
        <f>ROUND(10.5,1)</f>
        <v>10.5</v>
      </c>
      <c r="D6" s="93"/>
      <c r="E6" s="93"/>
      <c r="F6" s="93"/>
    </row>
    <row r="7" ht="18" customHeight="1" spans="1:7">
      <c r="A7" s="91">
        <v>7</v>
      </c>
      <c r="B7" s="92">
        <f>ROUND(3788981,0)</f>
        <v>3788981</v>
      </c>
      <c r="C7" s="95">
        <f>ROUND(10.6,1)</f>
        <v>10.6</v>
      </c>
      <c r="D7" s="93"/>
      <c r="E7" s="93"/>
      <c r="F7" s="93"/>
    </row>
    <row r="8" ht="18" customHeight="1" spans="1:7">
      <c r="A8" s="91">
        <v>8</v>
      </c>
      <c r="B8" s="92">
        <f>ROUND(4431853,0)</f>
        <v>4431853</v>
      </c>
      <c r="C8" s="95">
        <f>ROUND(10.6,1)</f>
        <v>10.6</v>
      </c>
      <c r="D8" s="93"/>
      <c r="E8" s="93"/>
      <c r="F8" s="93"/>
    </row>
    <row r="9" ht="18" customHeight="1" spans="1:7">
      <c r="A9" s="91">
        <v>9</v>
      </c>
      <c r="B9" s="92">
        <f>ROUND(5129609,0)</f>
        <v>5129609</v>
      </c>
      <c r="C9" s="95">
        <f>ROUND(11,1)</f>
        <v>11</v>
      </c>
      <c r="D9" s="93"/>
      <c r="E9" s="93"/>
      <c r="F9" s="93"/>
    </row>
    <row r="10" ht="18" customHeight="1" spans="1:7">
      <c r="A10" s="91">
        <v>10</v>
      </c>
      <c r="B10" s="92">
        <f>ROUND(5824115,0)</f>
        <v>5824115</v>
      </c>
      <c r="C10" s="95">
        <f>ROUND(11.5,1)</f>
        <v>11.5</v>
      </c>
      <c r="D10" s="93"/>
      <c r="E10" s="93"/>
      <c r="F10" s="93"/>
    </row>
    <row r="11" spans="1:7">
      <c r="A11" s="91">
        <v>11</v>
      </c>
      <c r="B11" s="92">
        <f>ROUND(6614788,0)</f>
        <v>6614788</v>
      </c>
      <c r="C11" s="95">
        <f>ROUND(11.7,1)</f>
        <v>11.7</v>
      </c>
    </row>
    <row r="12" spans="1:7">
      <c r="A12" s="96">
        <v>12</v>
      </c>
      <c r="B12" s="41">
        <f>ROUND(7665202,0)</f>
        <v>7665202</v>
      </c>
      <c r="C12" s="21">
        <f>ROUND(11.5,1)</f>
        <v>11.5</v>
      </c>
    </row>
    <row r="13" ht="18" customHeight="1" spans="1:7">
      <c r="A13" s="91">
        <v>2017</v>
      </c>
      <c r="B13" s="92"/>
      <c r="C13" s="94"/>
      <c r="D13" s="93"/>
      <c r="E13" s="93"/>
      <c r="F13" s="93"/>
    </row>
    <row r="14" spans="1:7">
      <c r="A14" s="91">
        <v>2</v>
      </c>
      <c r="B14" s="16">
        <f>ROUND(1142507,0)</f>
        <v>1142507</v>
      </c>
      <c r="C14" s="97">
        <f>ROUND(7.5,1)</f>
        <v>7.5</v>
      </c>
    </row>
    <row r="15" spans="1:7">
      <c r="A15" s="15">
        <v>3</v>
      </c>
      <c r="B15" s="16">
        <f>ROUND(1799926,0)</f>
        <v>1799926</v>
      </c>
      <c r="C15" s="21">
        <f>ROUND(7.7,1)</f>
        <v>7.7</v>
      </c>
    </row>
    <row r="16" spans="1:7">
      <c r="A16" s="15">
        <v>4</v>
      </c>
      <c r="B16" s="16">
        <f>ROUND(2404934,0)</f>
        <v>2404934</v>
      </c>
      <c r="C16" s="21">
        <f>ROUND(8.1,1)</f>
        <v>8.1</v>
      </c>
    </row>
    <row r="17" spans="1:256">
      <c r="A17" s="15">
        <v>5</v>
      </c>
      <c r="B17" s="16">
        <f>ROUND(3144236,0)</f>
        <v>3144236</v>
      </c>
      <c r="C17" s="21">
        <f>ROUND(7.5,1)</f>
        <v>7.5</v>
      </c>
    </row>
    <row r="18" spans="1:256">
      <c r="A18" s="15">
        <v>6</v>
      </c>
      <c r="B18" s="16">
        <f>ROUND(4030867,0)</f>
        <v>4030867</v>
      </c>
      <c r="C18" s="21">
        <f>ROUND(8.5,)</f>
        <v>9</v>
      </c>
    </row>
    <row r="19" spans="1:256">
      <c r="A19" s="15">
        <v>7</v>
      </c>
      <c r="B19" s="92">
        <f>ROUND(4819573,0)</f>
        <v>4819573</v>
      </c>
      <c r="C19" s="94">
        <f>ROUND(8.8,1)</f>
        <v>8.8</v>
      </c>
    </row>
    <row r="20" spans="1:256">
      <c r="A20" s="98">
        <v>8</v>
      </c>
      <c r="B20" s="41">
        <f>ROUND(5627416,0)</f>
        <v>5627416</v>
      </c>
      <c r="C20" s="21">
        <f>ROUND(9.1,1)</f>
        <v>9.1</v>
      </c>
    </row>
    <row r="21" spans="1:256">
      <c r="A21" s="98">
        <v>9</v>
      </c>
      <c r="B21" s="41">
        <f>ROUND(6503597,0)</f>
        <v>6503597</v>
      </c>
      <c r="C21" s="94">
        <f>ROUND(9.6,1)</f>
        <v>9.6</v>
      </c>
    </row>
    <row r="22" spans="1:256">
      <c r="A22" s="98">
        <v>10</v>
      </c>
      <c r="B22" s="41">
        <f>ROUND(7316245,0)</f>
        <v>7316245</v>
      </c>
      <c r="C22" s="21">
        <f>ROUND(9.3,1)</f>
        <v>9.3</v>
      </c>
    </row>
    <row r="23" spans="1:256">
      <c r="A23" s="99">
        <v>11</v>
      </c>
      <c r="B23" s="16">
        <f>ROUND(8208997,0)</f>
        <v>8208997</v>
      </c>
      <c r="C23" s="21">
        <f>ROUND(9.1,1)</f>
        <v>9.1</v>
      </c>
    </row>
    <row r="24" spans="1:256">
      <c r="A24" s="99">
        <v>12</v>
      </c>
      <c r="B24" s="16">
        <f>ROUND(8357945,0)</f>
        <v>8357945</v>
      </c>
      <c r="C24" s="21">
        <f>ROUND(8.5,1)</f>
        <v>8.5</v>
      </c>
    </row>
    <row r="25" spans="1:256">
      <c r="A25" s="15">
        <v>2018</v>
      </c>
      <c r="B25" s="16"/>
      <c r="C25" s="21"/>
    </row>
    <row r="26" spans="1:256">
      <c r="A26" s="15">
        <v>2</v>
      </c>
      <c r="B26" s="16">
        <f>ROUND(1129112,0)</f>
        <v>1129112</v>
      </c>
      <c r="C26" s="21">
        <f>ROUND(0.2,1)</f>
        <v>0.2</v>
      </c>
    </row>
    <row r="27" spans="1:256">
      <c r="A27" s="15">
        <v>3</v>
      </c>
      <c r="B27" s="16">
        <f>ROUND(1788963,0)</f>
        <v>1788963</v>
      </c>
      <c r="C27" s="21">
        <f>ROUND(2.9,1)</f>
        <v>2.9</v>
      </c>
    </row>
    <row r="28" spans="1:256">
      <c r="A28" s="15">
        <v>4</v>
      </c>
      <c r="B28" s="41">
        <f>ROUND(2439875,0)</f>
        <v>2439875</v>
      </c>
      <c r="C28" s="21">
        <f>ROUND(3.8,1)</f>
        <v>3.8</v>
      </c>
    </row>
    <row r="29" spans="1:256">
      <c r="A29" s="15">
        <v>5</v>
      </c>
      <c r="B29" s="41">
        <v>3086749</v>
      </c>
      <c r="C29" s="21">
        <v>4.1</v>
      </c>
    </row>
    <row r="30" spans="1:256">
      <c r="A30" s="22">
        <v>6</v>
      </c>
      <c r="B30" s="42">
        <v>3845140</v>
      </c>
      <c r="C30" s="24">
        <v>4.7</v>
      </c>
    </row>
    <row r="31" spans="1:256">
      <c r="D31" s="98"/>
      <c r="E31" s="98"/>
      <c r="F31" s="98"/>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98"/>
      <c r="AI31" s="98"/>
      <c r="AJ31" s="98"/>
      <c r="AK31" s="98"/>
      <c r="AL31" s="98"/>
      <c r="AM31" s="98"/>
      <c r="AN31" s="98"/>
      <c r="AO31" s="98"/>
      <c r="AP31" s="98"/>
      <c r="AQ31" s="98"/>
      <c r="AR31" s="98"/>
      <c r="AS31" s="98"/>
      <c r="AT31" s="98"/>
      <c r="AU31" s="98"/>
      <c r="AV31" s="98"/>
      <c r="AW31" s="98"/>
      <c r="AX31" s="98"/>
      <c r="AY31" s="98"/>
      <c r="AZ31" s="98"/>
      <c r="BA31" s="98"/>
      <c r="BB31" s="98"/>
      <c r="BC31" s="98"/>
      <c r="BD31" s="98"/>
      <c r="BE31" s="98"/>
      <c r="BF31" s="98"/>
      <c r="BG31" s="98"/>
      <c r="BH31" s="98"/>
      <c r="BI31" s="98"/>
      <c r="BJ31" s="98"/>
      <c r="BK31" s="98"/>
      <c r="BL31" s="98"/>
      <c r="BM31" s="98"/>
      <c r="BN31" s="98"/>
      <c r="BO31" s="98"/>
      <c r="BP31" s="98"/>
      <c r="BQ31" s="98"/>
      <c r="BR31" s="98"/>
      <c r="BS31" s="98"/>
      <c r="BT31" s="98"/>
      <c r="BU31" s="98"/>
      <c r="BV31" s="98"/>
      <c r="BW31" s="98"/>
      <c r="BX31" s="98"/>
      <c r="BY31" s="98"/>
      <c r="BZ31" s="98"/>
      <c r="CA31" s="98"/>
      <c r="CB31" s="98"/>
      <c r="CC31" s="98"/>
      <c r="CD31" s="98"/>
      <c r="CE31" s="98"/>
      <c r="CF31" s="98"/>
      <c r="CG31" s="98"/>
      <c r="CH31" s="98"/>
      <c r="CI31" s="98"/>
      <c r="CJ31" s="98"/>
      <c r="CK31" s="98"/>
      <c r="CL31" s="98"/>
      <c r="CM31" s="98"/>
      <c r="CN31" s="98"/>
      <c r="CO31" s="98"/>
      <c r="CP31" s="98"/>
      <c r="CQ31" s="98"/>
      <c r="CR31" s="98"/>
      <c r="CS31" s="98"/>
      <c r="CT31" s="98"/>
      <c r="CU31" s="98"/>
      <c r="CV31" s="98"/>
      <c r="CW31" s="98"/>
      <c r="CX31" s="98"/>
      <c r="CY31" s="98"/>
      <c r="CZ31" s="98"/>
      <c r="DA31" s="98"/>
      <c r="DB31" s="98"/>
      <c r="DC31" s="98"/>
      <c r="DD31" s="98"/>
      <c r="DE31" s="98"/>
      <c r="DF31" s="98"/>
      <c r="DG31" s="98"/>
      <c r="DH31" s="98"/>
      <c r="DI31" s="98"/>
      <c r="DJ31" s="98"/>
      <c r="DK31" s="98"/>
      <c r="DL31" s="98"/>
      <c r="DM31" s="98"/>
      <c r="DN31" s="98"/>
      <c r="DO31" s="98"/>
      <c r="DP31" s="98"/>
      <c r="DQ31" s="98"/>
      <c r="DR31" s="98"/>
      <c r="DS31" s="98"/>
      <c r="DT31" s="98"/>
      <c r="DU31" s="98"/>
      <c r="DV31" s="98"/>
      <c r="DW31" s="98"/>
      <c r="DX31" s="98"/>
      <c r="DY31" s="98"/>
      <c r="DZ31" s="98"/>
      <c r="EA31" s="98"/>
      <c r="EB31" s="98"/>
      <c r="EC31" s="98"/>
      <c r="ED31" s="98"/>
      <c r="EE31" s="98"/>
      <c r="EF31" s="98"/>
      <c r="EG31" s="98"/>
      <c r="EH31" s="98"/>
      <c r="EI31" s="98"/>
      <c r="EJ31" s="98"/>
      <c r="EK31" s="98"/>
      <c r="EL31" s="98"/>
      <c r="EM31" s="98"/>
      <c r="EN31" s="98"/>
      <c r="EO31" s="98"/>
      <c r="EP31" s="98"/>
      <c r="EQ31" s="98"/>
      <c r="ER31" s="98"/>
      <c r="ES31" s="98"/>
      <c r="ET31" s="98"/>
      <c r="EU31" s="98"/>
      <c r="EV31" s="98"/>
      <c r="EW31" s="98"/>
      <c r="EX31" s="98"/>
      <c r="EY31" s="98"/>
      <c r="EZ31" s="98"/>
      <c r="FA31" s="98"/>
      <c r="FB31" s="98"/>
      <c r="FC31" s="98"/>
      <c r="FD31" s="98"/>
      <c r="FE31" s="98"/>
      <c r="FF31" s="98"/>
      <c r="FG31" s="98"/>
      <c r="FH31" s="98"/>
      <c r="FI31" s="98"/>
      <c r="FJ31" s="98"/>
      <c r="FK31" s="98"/>
      <c r="FL31" s="98"/>
      <c r="FM31" s="98"/>
      <c r="FN31" s="98"/>
      <c r="FO31" s="98"/>
      <c r="FP31" s="98"/>
      <c r="FQ31" s="98"/>
      <c r="FR31" s="98"/>
      <c r="FS31" s="98"/>
      <c r="FT31" s="98"/>
      <c r="FU31" s="98"/>
      <c r="FV31" s="98"/>
      <c r="FW31" s="98"/>
      <c r="FX31" s="98"/>
      <c r="FY31" s="98"/>
      <c r="FZ31" s="98"/>
      <c r="GA31" s="98"/>
      <c r="GB31" s="98"/>
      <c r="GC31" s="98"/>
      <c r="GD31" s="98"/>
      <c r="GE31" s="98"/>
      <c r="GF31" s="98"/>
      <c r="GG31" s="98"/>
      <c r="GH31" s="98"/>
      <c r="GI31" s="98"/>
      <c r="GJ31" s="98"/>
      <c r="GK31" s="98"/>
      <c r="GL31" s="98"/>
      <c r="GM31" s="98"/>
      <c r="GN31" s="98"/>
      <c r="GO31" s="98"/>
      <c r="GP31" s="98"/>
      <c r="GQ31" s="98"/>
      <c r="GR31" s="98"/>
      <c r="GS31" s="98"/>
      <c r="GT31" s="98"/>
      <c r="GU31" s="98"/>
      <c r="GV31" s="98"/>
      <c r="GW31" s="98"/>
      <c r="GX31" s="98"/>
      <c r="GY31" s="98"/>
      <c r="GZ31" s="98"/>
      <c r="HA31" s="98"/>
      <c r="HB31" s="98"/>
      <c r="HC31" s="98"/>
      <c r="HD31" s="98"/>
      <c r="HE31" s="98"/>
      <c r="HF31" s="98"/>
      <c r="HG31" s="98"/>
      <c r="HH31" s="98"/>
      <c r="HI31" s="98"/>
      <c r="HJ31" s="98"/>
      <c r="HK31" s="98"/>
      <c r="HL31" s="98"/>
      <c r="HM31" s="98"/>
      <c r="HN31" s="98"/>
      <c r="HO31" s="98"/>
      <c r="HP31" s="98"/>
      <c r="HQ31" s="98"/>
      <c r="HR31" s="98"/>
      <c r="HS31" s="98"/>
      <c r="HT31" s="98"/>
      <c r="HU31" s="98"/>
      <c r="HV31" s="98"/>
      <c r="HW31" s="98"/>
      <c r="HX31" s="98"/>
      <c r="HY31" s="98"/>
      <c r="HZ31" s="98"/>
      <c r="IA31" s="98"/>
      <c r="IB31" s="98"/>
      <c r="IC31" s="98"/>
      <c r="ID31" s="98"/>
      <c r="IE31" s="98"/>
      <c r="IF31" s="98"/>
      <c r="IG31" s="98"/>
      <c r="IH31" s="98"/>
      <c r="II31" s="98"/>
      <c r="IJ31" s="98"/>
      <c r="IK31" s="98"/>
      <c r="IL31" s="98"/>
      <c r="IM31" s="98"/>
      <c r="IN31" s="98"/>
      <c r="IO31" s="98"/>
      <c r="IP31" s="98"/>
      <c r="IQ31" s="98"/>
      <c r="IR31" s="98"/>
      <c r="IS31" s="98"/>
      <c r="IT31" s="98"/>
      <c r="IU31" s="98"/>
      <c r="IV31" s="98"/>
    </row>
  </sheetData>
  <mergeCells count="4">
    <mergeCell ref="A1:F1"/>
    <mergeCell ref="C2:F2"/>
    <mergeCell ref="B3:C3"/>
    <mergeCell ref="A3:A4"/>
  </mergeCells>
  <pageMargins left="0.75" right="0.75" top="1" bottom="1" header="0.5" footer="0.5"/>
  <pageSetup paperSize="9" orientation="portrait" horizontalDpi="600"/>
  <headerFooter alignWithMargins="0" scaleWithDoc="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G31"/>
  <sheetViews>
    <sheetView topLeftCell="A7" workbookViewId="0">
      <selection activeCell="X19" sqref="X19"/>
    </sheetView>
  </sheetViews>
  <sheetFormatPr defaultColWidth="9" defaultRowHeight="14.25" outlineLevelCol="6"/>
  <cols>
    <col min="1" max="1" width="14.375" style="44" customWidth="1"/>
    <col min="2" max="2" width="26.875" customWidth="1"/>
    <col min="3" max="3" width="18.875" customWidth="1"/>
    <col min="4" max="4" width="0.5" hidden="1" customWidth="1"/>
    <col min="5" max="6" width="9" hidden="1" customWidth="1"/>
  </cols>
  <sheetData>
    <row r="1" ht="33.75" customHeight="1" spans="1:7">
      <c r="A1" s="3" t="s">
        <v>493</v>
      </c>
      <c r="B1" s="3"/>
      <c r="C1" s="3"/>
      <c r="D1" s="3"/>
      <c r="E1" s="3"/>
      <c r="F1" s="3"/>
      <c r="G1" s="45"/>
    </row>
    <row r="2" ht="20.25" customHeight="1" spans="1:7">
      <c r="A2" s="46"/>
      <c r="B2" s="46"/>
      <c r="C2" t="s">
        <v>494</v>
      </c>
      <c r="G2" s="45"/>
    </row>
    <row r="3" s="43" customFormat="1" ht="31.5" customHeight="1" spans="1:7">
      <c r="A3" t="s">
        <v>490</v>
      </c>
      <c r="B3" t="s">
        <v>84</v>
      </c>
      <c r="C3"/>
      <c r="D3" s="48"/>
      <c r="E3" s="49"/>
      <c r="F3" s="50"/>
      <c r="G3" s="51"/>
    </row>
    <row r="4" s="43" customFormat="1" ht="31.5" customHeight="1" spans="1:7">
      <c r="A4"/>
      <c r="B4" s="7" t="s">
        <v>491</v>
      </c>
      <c r="C4" s="8" t="s">
        <v>492</v>
      </c>
      <c r="D4" s="52"/>
      <c r="E4" s="53"/>
      <c r="F4" s="54"/>
      <c r="G4" s="51"/>
    </row>
    <row r="5" ht="18" customHeight="1" spans="1:7">
      <c r="A5" s="9">
        <v>2016</v>
      </c>
      <c r="B5" s="77"/>
      <c r="C5" s="11"/>
      <c r="D5" s="55"/>
      <c r="E5" s="55"/>
      <c r="F5" s="55"/>
    </row>
    <row r="6" ht="18" customHeight="1" spans="1:7">
      <c r="A6" s="9">
        <v>5</v>
      </c>
      <c r="B6" s="77">
        <f>ROUND(3079283,0)</f>
        <v>3079283</v>
      </c>
      <c r="C6" s="11">
        <f>ROUND(7.2,1)</f>
        <v>7.2</v>
      </c>
      <c r="D6" s="55"/>
      <c r="E6" s="55"/>
      <c r="F6" s="55"/>
    </row>
    <row r="7" ht="18" customHeight="1" spans="1:7">
      <c r="A7" s="9">
        <v>6</v>
      </c>
      <c r="B7" s="77">
        <f>ROUND(5096563,0)</f>
        <v>5096563</v>
      </c>
      <c r="C7" s="11">
        <f>ROUND(15.1,1)</f>
        <v>15.1</v>
      </c>
      <c r="D7" s="55"/>
      <c r="E7" s="55"/>
      <c r="F7" s="55"/>
    </row>
    <row r="8" ht="18" customHeight="1" spans="1:7">
      <c r="A8" s="9">
        <v>7</v>
      </c>
      <c r="B8" s="77">
        <f>ROUND(6263505,0)</f>
        <v>6263505</v>
      </c>
      <c r="C8" s="78">
        <f>ROUND(16.3,1)</f>
        <v>16.3</v>
      </c>
      <c r="D8" s="55"/>
      <c r="E8" s="55"/>
      <c r="F8" s="55"/>
    </row>
    <row r="9" ht="18" customHeight="1" spans="1:7">
      <c r="A9" s="9">
        <v>8</v>
      </c>
      <c r="B9" s="77">
        <f>ROUND(7372203,0)</f>
        <v>7372203</v>
      </c>
      <c r="C9" s="11">
        <f>ROUND(24.8,1)</f>
        <v>24.8</v>
      </c>
      <c r="D9" s="55"/>
      <c r="E9" s="55"/>
      <c r="F9" s="55"/>
    </row>
    <row r="10" ht="18" customHeight="1" spans="1:7">
      <c r="A10" s="9">
        <v>9</v>
      </c>
      <c r="B10" s="77">
        <f>ROUND(8717492,0)</f>
        <v>8717492</v>
      </c>
      <c r="C10" s="11">
        <f>ROUND(23.5,1)</f>
        <v>23.5</v>
      </c>
      <c r="D10" s="55"/>
      <c r="E10" s="55"/>
      <c r="F10" s="55"/>
    </row>
    <row r="11" ht="18" customHeight="1" spans="1:7">
      <c r="A11" s="9">
        <v>10</v>
      </c>
      <c r="B11" s="77">
        <f>ROUND(10215452,0)</f>
        <v>10215452</v>
      </c>
      <c r="C11" s="11">
        <f>ROUND(22.6,1)</f>
        <v>22.6</v>
      </c>
      <c r="D11" s="55"/>
      <c r="E11" s="55"/>
      <c r="F11" s="55"/>
    </row>
    <row r="12" spans="1:7">
      <c r="A12" s="9">
        <v>11</v>
      </c>
      <c r="B12" s="77">
        <f>ROUND(12000485,0)</f>
        <v>12000485</v>
      </c>
      <c r="C12" s="11">
        <f>ROUND(23.9,1)</f>
        <v>23.9</v>
      </c>
    </row>
    <row r="13" spans="1:7">
      <c r="A13" s="9">
        <v>12</v>
      </c>
      <c r="B13" s="77">
        <f>ROUND(15315995,0)</f>
        <v>15315995</v>
      </c>
      <c r="C13" s="11">
        <f>ROUND(16.6,1)</f>
        <v>16.6</v>
      </c>
    </row>
    <row r="14" spans="1:7">
      <c r="A14" s="9">
        <v>2017</v>
      </c>
      <c r="B14" s="79"/>
      <c r="C14" s="80"/>
    </row>
    <row r="15" spans="1:7">
      <c r="A15" s="9">
        <v>2</v>
      </c>
      <c r="B15" s="77">
        <f>ROUND(796488,0)</f>
        <v>796488</v>
      </c>
      <c r="C15" s="11">
        <f>ROUND(5.3,1)</f>
        <v>5.3</v>
      </c>
    </row>
    <row r="16" spans="1:7">
      <c r="A16" s="9">
        <v>3</v>
      </c>
      <c r="B16" s="79">
        <f>ROUND(1575746,0)</f>
        <v>1575746</v>
      </c>
      <c r="C16" s="11">
        <f>ROUND(7.9,1)</f>
        <v>7.9</v>
      </c>
    </row>
    <row r="17" spans="1:3">
      <c r="A17" s="66">
        <v>4</v>
      </c>
      <c r="B17" s="41">
        <f>ROUND(2056743,0)</f>
        <v>2056743</v>
      </c>
      <c r="C17" s="11">
        <f>ROUND(-0.7,1)</f>
        <v>-0.7</v>
      </c>
    </row>
    <row r="18" spans="1:3">
      <c r="A18" s="66">
        <v>5</v>
      </c>
      <c r="B18" s="16">
        <f>ROUND(2889968,0)</f>
        <v>2889968</v>
      </c>
      <c r="C18" s="11">
        <f>ROUND(-6.1,1)</f>
        <v>-6.1</v>
      </c>
    </row>
    <row r="19" spans="1:3">
      <c r="A19" s="66">
        <v>6</v>
      </c>
      <c r="B19" s="16">
        <f>ROUND(5604382,0)</f>
        <v>5604382</v>
      </c>
      <c r="C19" s="11">
        <f>ROUND(10,1)</f>
        <v>10</v>
      </c>
    </row>
    <row r="20" spans="1:3">
      <c r="A20" s="66">
        <v>7</v>
      </c>
      <c r="B20" s="79">
        <f>ROUND(6864511,0)</f>
        <v>6864511</v>
      </c>
      <c r="C20" s="11">
        <f>ROUND(9.6,1)</f>
        <v>9.6</v>
      </c>
    </row>
    <row r="21" spans="1:3">
      <c r="A21" s="81">
        <v>8</v>
      </c>
      <c r="B21" s="41">
        <f>ROUND(8096944,0)</f>
        <v>8096944</v>
      </c>
      <c r="C21" s="11">
        <f>ROUND(9.8,1)</f>
        <v>9.8</v>
      </c>
    </row>
    <row r="22" spans="1:3">
      <c r="A22" s="81">
        <v>9</v>
      </c>
      <c r="B22" s="41">
        <f>ROUND(9772404,0)</f>
        <v>9772404</v>
      </c>
      <c r="C22" s="11">
        <f>ROUND(12.1010951314896,1)</f>
        <v>12.1</v>
      </c>
    </row>
    <row r="23" spans="1:3">
      <c r="A23" s="81">
        <v>10</v>
      </c>
      <c r="B23" s="41">
        <f>ROUND(11367531,0)</f>
        <v>11367531</v>
      </c>
      <c r="C23" s="11">
        <f>ROUND(11.3,1)</f>
        <v>11.3</v>
      </c>
    </row>
    <row r="24" spans="1:3">
      <c r="A24" s="81">
        <v>11</v>
      </c>
      <c r="B24" s="41">
        <f>ROUND(13376063,0)</f>
        <v>13376063</v>
      </c>
      <c r="C24" s="11">
        <f>ROUND(11.5,1)</f>
        <v>11.5</v>
      </c>
    </row>
    <row r="25" spans="1:3">
      <c r="A25" s="81">
        <v>12</v>
      </c>
      <c r="B25" s="41">
        <f>ROUND(16415341,0)</f>
        <v>16415341</v>
      </c>
      <c r="C25" s="11">
        <f>ROUND(7.2,1)</f>
        <v>7.2</v>
      </c>
    </row>
    <row r="26" spans="1:3">
      <c r="A26" s="15">
        <v>2018</v>
      </c>
      <c r="B26" s="16"/>
      <c r="C26" s="17"/>
    </row>
    <row r="27" spans="1:3">
      <c r="A27" s="15">
        <v>2</v>
      </c>
      <c r="B27" s="16">
        <f>ROUND(844761,0)</f>
        <v>844761</v>
      </c>
      <c r="C27" s="21">
        <f>ROUND(8.8,1)</f>
        <v>8.8</v>
      </c>
    </row>
    <row r="28" spans="1:3">
      <c r="A28" s="15">
        <v>3</v>
      </c>
      <c r="B28" s="16">
        <f>ROUND(2020022,0)</f>
        <v>2020022</v>
      </c>
      <c r="C28" s="21">
        <f>ROUND(31.6,1)</f>
        <v>31.6</v>
      </c>
    </row>
    <row r="29" spans="1:3">
      <c r="A29" s="15">
        <v>4</v>
      </c>
      <c r="B29" s="41">
        <f>ROUND(2639275,0)</f>
        <v>2639275</v>
      </c>
      <c r="C29" s="21">
        <f>ROUND(31,1)</f>
        <v>31</v>
      </c>
    </row>
    <row r="30" spans="1:3">
      <c r="A30" s="15">
        <v>5</v>
      </c>
      <c r="B30" s="41">
        <v>3391968</v>
      </c>
      <c r="C30" s="21">
        <v>19.6</v>
      </c>
    </row>
    <row r="31" spans="1:3">
      <c r="A31" s="22">
        <v>6</v>
      </c>
      <c r="B31" s="82">
        <v>5515829</v>
      </c>
      <c r="C31" s="83">
        <v>13.6</v>
      </c>
    </row>
  </sheetData>
  <mergeCells count="4">
    <mergeCell ref="A1:F1"/>
    <mergeCell ref="C2:F2"/>
    <mergeCell ref="B3:C3"/>
    <mergeCell ref="A3:A4"/>
  </mergeCells>
  <pageMargins left="0.75" right="0.75" top="1" bottom="1" header="0.5" footer="0.5"/>
  <pageSetup paperSize="9" orientation="portrait" horizont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X29"/>
  <sheetViews>
    <sheetView zoomScale="80" zoomScaleNormal="80" workbookViewId="0">
      <pane xSplit="2" ySplit="3" topLeftCell="P4" activePane="bottomRight" state="frozen"/>
      <selection/>
      <selection pane="topRight"/>
      <selection pane="bottomLeft"/>
      <selection pane="bottomRight" activeCell="W14" sqref="W14"/>
    </sheetView>
  </sheetViews>
  <sheetFormatPr defaultColWidth="9" defaultRowHeight="14.25"/>
  <cols>
    <col min="1" max="1" width="28.6666666666667" style="265" customWidth="1"/>
    <col min="2" max="2" width="9.625" style="265" customWidth="1"/>
    <col min="3" max="3" width="10.375" style="265"/>
    <col min="4" max="22" width="10.7333333333333" style="265" customWidth="1"/>
    <col min="23" max="23" width="10.375" style="265"/>
    <col min="24" max="24" width="9.375" style="265"/>
    <col min="25" max="16384" width="9" style="265"/>
  </cols>
  <sheetData>
    <row r="1" ht="24.95" customHeight="1" spans="1:24">
      <c r="A1" s="135" t="s">
        <v>49</v>
      </c>
      <c r="B1" s="135"/>
      <c r="C1" s="135"/>
      <c r="D1" s="135"/>
      <c r="E1" s="135"/>
      <c r="F1" s="135"/>
      <c r="G1" s="135"/>
      <c r="H1" s="135"/>
      <c r="I1" s="135"/>
      <c r="J1" s="135"/>
      <c r="K1" s="135"/>
      <c r="L1" s="135"/>
      <c r="M1" s="135"/>
      <c r="N1" s="135"/>
      <c r="O1" s="135"/>
      <c r="P1" s="135"/>
      <c r="Q1" s="135"/>
      <c r="R1" s="135"/>
      <c r="S1" s="135"/>
      <c r="T1" s="135"/>
      <c r="U1" s="135"/>
      <c r="V1" s="135"/>
      <c r="W1" s="135"/>
      <c r="X1" s="135"/>
    </row>
    <row r="2" s="294" customFormat="1" ht="21" customHeight="1" spans="1:24">
      <c r="A2" s="136" t="s">
        <v>1</v>
      </c>
      <c r="B2" s="241" t="s">
        <v>2</v>
      </c>
      <c r="C2" s="137" t="s">
        <v>3</v>
      </c>
      <c r="D2" s="138"/>
      <c r="E2" s="137" t="s">
        <v>4</v>
      </c>
      <c r="F2" s="138"/>
      <c r="G2" s="137" t="s">
        <v>5</v>
      </c>
      <c r="H2" s="138"/>
      <c r="I2" s="137" t="s">
        <v>6</v>
      </c>
      <c r="J2" s="138"/>
      <c r="K2" s="137" t="s">
        <v>7</v>
      </c>
      <c r="L2" s="138"/>
      <c r="M2" s="137" t="s">
        <v>8</v>
      </c>
      <c r="N2" s="138"/>
      <c r="O2" s="137" t="s">
        <v>9</v>
      </c>
      <c r="P2" s="138"/>
      <c r="Q2" s="137" t="s">
        <v>10</v>
      </c>
      <c r="R2" s="138"/>
      <c r="S2" s="137" t="s">
        <v>11</v>
      </c>
      <c r="T2" s="138"/>
      <c r="U2" s="137" t="s">
        <v>12</v>
      </c>
      <c r="V2" s="138"/>
      <c r="W2" s="137" t="s">
        <v>13</v>
      </c>
      <c r="X2" s="138"/>
    </row>
    <row r="3" s="294" customFormat="1" ht="21" customHeight="1" spans="1:24">
      <c r="A3" s="139"/>
      <c r="B3" s="242"/>
      <c r="C3" s="140" t="s">
        <v>14</v>
      </c>
      <c r="D3" s="141" t="s">
        <v>15</v>
      </c>
      <c r="E3" s="140" t="s">
        <v>14</v>
      </c>
      <c r="F3" s="141" t="s">
        <v>15</v>
      </c>
      <c r="G3" s="140" t="s">
        <v>14</v>
      </c>
      <c r="H3" s="141" t="s">
        <v>15</v>
      </c>
      <c r="I3" s="140" t="s">
        <v>14</v>
      </c>
      <c r="J3" s="141" t="s">
        <v>15</v>
      </c>
      <c r="K3" s="140" t="s">
        <v>14</v>
      </c>
      <c r="L3" s="141" t="s">
        <v>15</v>
      </c>
      <c r="M3" s="140" t="s">
        <v>14</v>
      </c>
      <c r="N3" s="141" t="s">
        <v>15</v>
      </c>
      <c r="O3" s="140" t="s">
        <v>14</v>
      </c>
      <c r="P3" s="141" t="s">
        <v>15</v>
      </c>
      <c r="Q3" s="140" t="s">
        <v>14</v>
      </c>
      <c r="R3" s="141" t="s">
        <v>15</v>
      </c>
      <c r="S3" s="140" t="s">
        <v>14</v>
      </c>
      <c r="T3" s="141" t="s">
        <v>15</v>
      </c>
      <c r="U3" s="140" t="s">
        <v>14</v>
      </c>
      <c r="V3" s="141" t="s">
        <v>15</v>
      </c>
      <c r="W3" s="140" t="s">
        <v>14</v>
      </c>
      <c r="X3" s="141" t="s">
        <v>15</v>
      </c>
    </row>
    <row r="4" ht="18" customHeight="1" spans="1:24">
      <c r="A4" s="268" t="s">
        <v>50</v>
      </c>
      <c r="B4" s="334" t="s">
        <v>51</v>
      </c>
      <c r="C4" s="146">
        <v>255.4</v>
      </c>
      <c r="D4" s="335">
        <v>-33.4</v>
      </c>
      <c r="E4" s="146">
        <v>47.35</v>
      </c>
      <c r="F4" s="335">
        <v>27.5</v>
      </c>
      <c r="G4" s="146">
        <v>68.63</v>
      </c>
      <c r="H4" s="335">
        <v>13.9</v>
      </c>
      <c r="I4" s="146">
        <v>89.2031</v>
      </c>
      <c r="J4" s="335">
        <v>9.50029338184568</v>
      </c>
      <c r="K4" s="146">
        <v>111.05</v>
      </c>
      <c r="L4" s="335">
        <v>6.5</v>
      </c>
      <c r="M4" s="146">
        <v>129.87</v>
      </c>
      <c r="N4" s="335">
        <v>7.1</v>
      </c>
      <c r="O4" s="146">
        <v>148.25</v>
      </c>
      <c r="P4" s="335">
        <v>6.6</v>
      </c>
      <c r="Q4" s="146">
        <v>167.83</v>
      </c>
      <c r="R4" s="335">
        <v>8.1</v>
      </c>
      <c r="S4" s="146">
        <v>188.33</v>
      </c>
      <c r="T4" s="335">
        <v>8.6</v>
      </c>
      <c r="U4" s="146">
        <v>211.24</v>
      </c>
      <c r="V4" s="335">
        <v>3.7</v>
      </c>
      <c r="W4" s="146">
        <v>226.61</v>
      </c>
      <c r="X4" s="335">
        <v>0.3</v>
      </c>
    </row>
    <row r="5" ht="18" customHeight="1" spans="1:24">
      <c r="A5" s="336" t="s">
        <v>52</v>
      </c>
      <c r="B5" s="337" t="s">
        <v>17</v>
      </c>
      <c r="C5" s="146">
        <v>229.04</v>
      </c>
      <c r="D5" s="338">
        <v>-34.4</v>
      </c>
      <c r="E5" s="146">
        <v>39.28</v>
      </c>
      <c r="F5" s="338">
        <v>19.5</v>
      </c>
      <c r="G5" s="146">
        <v>57.83</v>
      </c>
      <c r="H5" s="338">
        <v>6.1</v>
      </c>
      <c r="I5" s="146">
        <v>74.197</v>
      </c>
      <c r="J5" s="338">
        <v>0.515875918836244</v>
      </c>
      <c r="K5" s="146">
        <v>92.74</v>
      </c>
      <c r="L5" s="338">
        <v>-2</v>
      </c>
      <c r="M5" s="146">
        <v>108.42</v>
      </c>
      <c r="N5" s="338">
        <v>-1.6</v>
      </c>
      <c r="O5" s="146">
        <v>123.38</v>
      </c>
      <c r="P5" s="338">
        <v>-2.3</v>
      </c>
      <c r="Q5" s="146">
        <v>139.79</v>
      </c>
      <c r="R5" s="338">
        <v>-0.7</v>
      </c>
      <c r="S5" s="146">
        <v>156.22</v>
      </c>
      <c r="T5" s="338">
        <v>-0.7</v>
      </c>
      <c r="U5" s="146">
        <v>175.73</v>
      </c>
      <c r="V5" s="338">
        <v>-4.9</v>
      </c>
      <c r="W5" s="146">
        <v>188.93</v>
      </c>
      <c r="X5" s="338">
        <v>-7.9</v>
      </c>
    </row>
    <row r="6" ht="18" customHeight="1" spans="1:24">
      <c r="A6" s="245" t="s">
        <v>53</v>
      </c>
      <c r="B6" s="246" t="s">
        <v>17</v>
      </c>
      <c r="C6" s="146">
        <v>1987.45464</v>
      </c>
      <c r="D6" s="147">
        <v>1.53</v>
      </c>
      <c r="E6" s="146">
        <v>259.8447</v>
      </c>
      <c r="F6" s="147">
        <v>1.01</v>
      </c>
      <c r="G6" s="146">
        <v>381.62659</v>
      </c>
      <c r="H6" s="147">
        <v>1.6495</v>
      </c>
      <c r="I6" s="146">
        <v>504.339</v>
      </c>
      <c r="J6" s="147">
        <v>1.84</v>
      </c>
      <c r="K6" s="146">
        <v>626.5142</v>
      </c>
      <c r="L6" s="147">
        <v>2.06</v>
      </c>
      <c r="M6" s="146">
        <v>763.1877</v>
      </c>
      <c r="N6" s="147">
        <v>4.3</v>
      </c>
      <c r="O6" s="146">
        <v>902.3366</v>
      </c>
      <c r="P6" s="147">
        <v>4.08</v>
      </c>
      <c r="Q6" s="146">
        <v>1037.31704</v>
      </c>
      <c r="R6" s="147">
        <v>3.65</v>
      </c>
      <c r="S6" s="146">
        <v>1184.7481</v>
      </c>
      <c r="T6" s="147">
        <v>3.31</v>
      </c>
      <c r="U6" s="146">
        <v>1334.5605</v>
      </c>
      <c r="V6" s="147">
        <v>3.3</v>
      </c>
      <c r="W6" s="146">
        <v>1486.47006</v>
      </c>
      <c r="X6" s="147">
        <v>3.14</v>
      </c>
    </row>
    <row r="7" ht="18" customHeight="1" spans="1:24">
      <c r="A7" s="245" t="s">
        <v>54</v>
      </c>
      <c r="B7" s="246" t="s">
        <v>17</v>
      </c>
      <c r="C7" s="146">
        <v>1602.89825</v>
      </c>
      <c r="D7" s="147">
        <v>1.43</v>
      </c>
      <c r="E7" s="146">
        <v>209.03322</v>
      </c>
      <c r="F7" s="147">
        <v>0.75</v>
      </c>
      <c r="G7" s="146">
        <v>304.89247</v>
      </c>
      <c r="H7" s="147">
        <v>1.46</v>
      </c>
      <c r="I7" s="146">
        <v>403.72916</v>
      </c>
      <c r="J7" s="147">
        <v>1.67</v>
      </c>
      <c r="K7" s="146">
        <v>501.99729</v>
      </c>
      <c r="L7" s="147">
        <v>1.87</v>
      </c>
      <c r="M7" s="146">
        <v>615.22684</v>
      </c>
      <c r="N7" s="147">
        <v>4.66</v>
      </c>
      <c r="O7" s="146">
        <v>727.65662</v>
      </c>
      <c r="P7" s="147">
        <v>4.41</v>
      </c>
      <c r="Q7" s="146">
        <v>836.36322</v>
      </c>
      <c r="R7" s="147">
        <v>3.91</v>
      </c>
      <c r="S7" s="146">
        <v>954.90281</v>
      </c>
      <c r="T7" s="147">
        <v>3.5</v>
      </c>
      <c r="U7" s="146">
        <v>1075.7554</v>
      </c>
      <c r="V7" s="147">
        <v>3.46</v>
      </c>
      <c r="W7" s="146">
        <v>1198.26246</v>
      </c>
      <c r="X7" s="147">
        <v>3.29</v>
      </c>
    </row>
    <row r="8" ht="18" customHeight="1" spans="1:24">
      <c r="A8" s="245" t="s">
        <v>55</v>
      </c>
      <c r="B8" s="246" t="s">
        <v>17</v>
      </c>
      <c r="C8" s="146">
        <v>384.55639</v>
      </c>
      <c r="D8" s="147">
        <v>1.93</v>
      </c>
      <c r="E8" s="146">
        <v>50.81148</v>
      </c>
      <c r="F8" s="147">
        <v>2.08</v>
      </c>
      <c r="G8" s="146">
        <v>76.73412</v>
      </c>
      <c r="H8" s="147">
        <v>2.39</v>
      </c>
      <c r="I8" s="146">
        <v>100.60984</v>
      </c>
      <c r="J8" s="147">
        <v>2.54</v>
      </c>
      <c r="K8" s="146">
        <v>124.51691</v>
      </c>
      <c r="L8" s="147">
        <v>2.85</v>
      </c>
      <c r="M8" s="146">
        <v>147.96086</v>
      </c>
      <c r="N8" s="147">
        <v>2.86</v>
      </c>
      <c r="O8" s="146">
        <v>174.67998</v>
      </c>
      <c r="P8" s="147">
        <v>2.74</v>
      </c>
      <c r="Q8" s="146">
        <v>200.95382</v>
      </c>
      <c r="R8" s="147">
        <v>2.58</v>
      </c>
      <c r="S8" s="146">
        <v>229.84529</v>
      </c>
      <c r="T8" s="147">
        <v>2.54</v>
      </c>
      <c r="U8" s="146">
        <v>258.8051</v>
      </c>
      <c r="V8" s="147">
        <v>2.6</v>
      </c>
      <c r="W8" s="146">
        <v>288.2076</v>
      </c>
      <c r="X8" s="147">
        <v>2.52</v>
      </c>
    </row>
    <row r="9" ht="18" customHeight="1" spans="1:24">
      <c r="A9" s="270" t="s">
        <v>56</v>
      </c>
      <c r="B9" s="271" t="s">
        <v>17</v>
      </c>
      <c r="C9" s="146">
        <v>1738.4543</v>
      </c>
      <c r="D9" s="147">
        <v>1.5</v>
      </c>
      <c r="E9" s="146">
        <v>227.47418</v>
      </c>
      <c r="F9" s="147">
        <v>1.09</v>
      </c>
      <c r="G9" s="146">
        <v>335.00738</v>
      </c>
      <c r="H9" s="147">
        <v>1.76</v>
      </c>
      <c r="I9" s="146">
        <v>442.41886</v>
      </c>
      <c r="J9" s="147">
        <v>1.94</v>
      </c>
      <c r="K9" s="146">
        <v>549.29448</v>
      </c>
      <c r="L9" s="147">
        <v>2.15</v>
      </c>
      <c r="M9" s="146">
        <v>671.16205</v>
      </c>
      <c r="N9" s="147">
        <v>4.71</v>
      </c>
      <c r="O9" s="146">
        <v>793.30443</v>
      </c>
      <c r="P9" s="147">
        <v>4.48</v>
      </c>
      <c r="Q9" s="146">
        <v>911.58007</v>
      </c>
      <c r="R9" s="147">
        <v>4.02</v>
      </c>
      <c r="S9" s="146">
        <v>1040.75701</v>
      </c>
      <c r="T9" s="147">
        <v>3.66</v>
      </c>
      <c r="U9" s="146">
        <v>1171.99189</v>
      </c>
      <c r="V9" s="147">
        <v>3.62</v>
      </c>
      <c r="W9" s="146">
        <v>1304.96891</v>
      </c>
      <c r="X9" s="147">
        <v>3.44</v>
      </c>
    </row>
    <row r="10" ht="18" customHeight="1" spans="1:24">
      <c r="A10" s="270" t="s">
        <v>57</v>
      </c>
      <c r="B10" s="271" t="s">
        <v>17</v>
      </c>
      <c r="C10" s="146">
        <v>249.00034</v>
      </c>
      <c r="D10" s="147">
        <v>1.71</v>
      </c>
      <c r="E10" s="146">
        <v>32.37052</v>
      </c>
      <c r="F10" s="147">
        <v>0.4</v>
      </c>
      <c r="G10" s="146">
        <v>46.61921</v>
      </c>
      <c r="H10" s="147">
        <v>0.84</v>
      </c>
      <c r="I10" s="146">
        <v>61.92014</v>
      </c>
      <c r="J10" s="147">
        <v>1.11</v>
      </c>
      <c r="K10" s="146">
        <v>77.21972</v>
      </c>
      <c r="L10" s="147">
        <v>1.47</v>
      </c>
      <c r="M10" s="146">
        <v>92.02565</v>
      </c>
      <c r="N10" s="147">
        <v>1.43</v>
      </c>
      <c r="O10" s="146">
        <v>109.03217</v>
      </c>
      <c r="P10" s="147">
        <v>1.26</v>
      </c>
      <c r="Q10" s="146">
        <v>125.73697</v>
      </c>
      <c r="R10" s="147">
        <v>1.04</v>
      </c>
      <c r="S10" s="146">
        <v>143.99109</v>
      </c>
      <c r="T10" s="147">
        <v>0.88</v>
      </c>
      <c r="U10" s="146">
        <v>162.56861</v>
      </c>
      <c r="V10" s="147">
        <v>1.02</v>
      </c>
      <c r="W10" s="146">
        <v>181.50115</v>
      </c>
      <c r="X10" s="147">
        <v>1.05</v>
      </c>
    </row>
    <row r="11" ht="18" customHeight="1" spans="1:24">
      <c r="A11" s="268" t="s">
        <v>58</v>
      </c>
      <c r="B11" s="334" t="s">
        <v>17</v>
      </c>
      <c r="C11" s="146">
        <v>616.09145209</v>
      </c>
      <c r="D11" s="339">
        <v>-12.1</v>
      </c>
      <c r="E11" s="146">
        <v>122.79514916</v>
      </c>
      <c r="F11" s="339">
        <v>-11.7</v>
      </c>
      <c r="G11" s="146">
        <v>167.18430141</v>
      </c>
      <c r="H11" s="339">
        <v>-10.5</v>
      </c>
      <c r="I11" s="146">
        <v>204.03371934</v>
      </c>
      <c r="J11" s="339">
        <v>-14.5</v>
      </c>
      <c r="K11" s="146">
        <v>258.34962603</v>
      </c>
      <c r="L11" s="339">
        <v>-7.3</v>
      </c>
      <c r="M11" s="146">
        <v>327.55568297</v>
      </c>
      <c r="N11" s="339">
        <v>5.3</v>
      </c>
      <c r="O11" s="146">
        <v>371.30974845</v>
      </c>
      <c r="P11" s="339">
        <v>2.1</v>
      </c>
      <c r="Q11" s="146">
        <v>417.16203431</v>
      </c>
      <c r="R11" s="340">
        <v>2.7</v>
      </c>
      <c r="S11" s="146">
        <v>461.003465</v>
      </c>
      <c r="T11" s="340">
        <v>3.9</v>
      </c>
      <c r="U11" s="146">
        <v>515.077287</v>
      </c>
      <c r="V11" s="340">
        <v>6.5</v>
      </c>
      <c r="W11" s="146">
        <v>552.25861</v>
      </c>
      <c r="X11" s="338">
        <v>0</v>
      </c>
    </row>
    <row r="12" ht="18" customHeight="1" spans="1:24">
      <c r="A12" s="268" t="s">
        <v>59</v>
      </c>
      <c r="B12" s="334" t="s">
        <v>17</v>
      </c>
      <c r="C12" s="146">
        <v>194.38649769</v>
      </c>
      <c r="D12" s="339">
        <v>-4.6</v>
      </c>
      <c r="E12" s="146">
        <v>27.39625553</v>
      </c>
      <c r="F12" s="339">
        <v>-16.2</v>
      </c>
      <c r="G12" s="146">
        <v>44.97914513</v>
      </c>
      <c r="H12" s="339">
        <v>-6.7</v>
      </c>
      <c r="I12" s="146">
        <v>61.64744792</v>
      </c>
      <c r="J12" s="339">
        <v>-1.4</v>
      </c>
      <c r="K12" s="146">
        <v>76.73840733</v>
      </c>
      <c r="L12" s="339">
        <v>-4.2</v>
      </c>
      <c r="M12" s="146">
        <v>90.97497858</v>
      </c>
      <c r="N12" s="339">
        <v>-2.3</v>
      </c>
      <c r="O12" s="146">
        <v>112.28535491</v>
      </c>
      <c r="P12" s="339">
        <v>3.4</v>
      </c>
      <c r="Q12" s="146">
        <v>127.67352233</v>
      </c>
      <c r="R12" s="340">
        <v>2.7</v>
      </c>
      <c r="S12" s="146">
        <v>143.990436</v>
      </c>
      <c r="T12" s="340">
        <v>2.7</v>
      </c>
      <c r="U12" s="146">
        <v>166.270464</v>
      </c>
      <c r="V12" s="340">
        <v>5.2</v>
      </c>
      <c r="W12" s="146">
        <v>181.679068</v>
      </c>
      <c r="X12" s="340">
        <v>3.4</v>
      </c>
    </row>
    <row r="13" ht="18" customHeight="1" spans="1:24">
      <c r="A13" s="268" t="s">
        <v>60</v>
      </c>
      <c r="B13" s="334" t="s">
        <v>17</v>
      </c>
      <c r="C13" s="146">
        <v>421.7049544</v>
      </c>
      <c r="D13" s="339">
        <v>-15.1</v>
      </c>
      <c r="E13" s="146">
        <v>95.39889363</v>
      </c>
      <c r="F13" s="339">
        <v>-10.4</v>
      </c>
      <c r="G13" s="146">
        <v>122.20515628</v>
      </c>
      <c r="H13" s="339">
        <v>-11.9</v>
      </c>
      <c r="I13" s="146">
        <v>142.38627142</v>
      </c>
      <c r="J13" s="339">
        <v>-19.1</v>
      </c>
      <c r="K13" s="146">
        <v>181.6112187</v>
      </c>
      <c r="L13" s="339">
        <v>-8.6</v>
      </c>
      <c r="M13" s="146">
        <v>236.58070439</v>
      </c>
      <c r="N13" s="339">
        <v>8.5</v>
      </c>
      <c r="O13" s="146">
        <v>259.02439354</v>
      </c>
      <c r="P13" s="339">
        <v>1.5</v>
      </c>
      <c r="Q13" s="146">
        <v>289.48851198</v>
      </c>
      <c r="R13" s="340">
        <v>2.6</v>
      </c>
      <c r="S13" s="146">
        <v>317.01303</v>
      </c>
      <c r="T13" s="340">
        <v>4.5</v>
      </c>
      <c r="U13" s="146">
        <v>348.806823</v>
      </c>
      <c r="V13" s="340">
        <v>7.2</v>
      </c>
      <c r="W13" s="146">
        <v>370.579542</v>
      </c>
      <c r="X13" s="340">
        <v>-1.6</v>
      </c>
    </row>
    <row r="14" ht="18" customHeight="1" spans="1:24">
      <c r="A14" s="268" t="s">
        <v>61</v>
      </c>
      <c r="B14" s="334" t="s">
        <v>17</v>
      </c>
      <c r="C14" s="146">
        <v>37.5352</v>
      </c>
      <c r="D14" s="147">
        <v>-18.8</v>
      </c>
      <c r="E14" s="146">
        <v>0</v>
      </c>
      <c r="F14" s="147">
        <v>-100</v>
      </c>
      <c r="G14" s="146">
        <v>0.4818</v>
      </c>
      <c r="H14" s="147">
        <v>-98.4</v>
      </c>
      <c r="I14" s="146">
        <v>0.5355</v>
      </c>
      <c r="J14" s="147">
        <v>-98.6</v>
      </c>
      <c r="K14" s="146">
        <v>0.68</v>
      </c>
      <c r="L14" s="147">
        <v>-98.2</v>
      </c>
      <c r="M14" s="146">
        <v>0.9668</v>
      </c>
      <c r="N14" s="147">
        <v>-97.4</v>
      </c>
      <c r="O14" s="146">
        <v>1.1574</v>
      </c>
      <c r="P14" s="147">
        <v>-96.9</v>
      </c>
      <c r="Q14" s="146">
        <v>1.1772</v>
      </c>
      <c r="R14" s="147">
        <v>-96.9</v>
      </c>
      <c r="S14" s="146">
        <v>1.1772</v>
      </c>
      <c r="T14" s="147">
        <v>-96.9</v>
      </c>
      <c r="U14" s="146">
        <v>1.2667</v>
      </c>
      <c r="V14" s="147">
        <v>-96.6</v>
      </c>
      <c r="W14" s="146">
        <v>1.2703</v>
      </c>
      <c r="X14" s="147">
        <v>-96.6</v>
      </c>
    </row>
    <row r="15" ht="18" customHeight="1" spans="1:24">
      <c r="A15" s="268" t="s">
        <v>62</v>
      </c>
      <c r="B15" s="334" t="s">
        <v>17</v>
      </c>
      <c r="C15" s="146">
        <v>164.9645</v>
      </c>
      <c r="D15" s="147">
        <v>6.0123206399638</v>
      </c>
      <c r="E15" s="146">
        <v>34.5244</v>
      </c>
      <c r="F15" s="147">
        <v>6.3830967340361</v>
      </c>
      <c r="G15" s="146">
        <v>50.1758</v>
      </c>
      <c r="H15" s="147">
        <v>6.37745745499569</v>
      </c>
      <c r="I15" s="146">
        <v>61.5541</v>
      </c>
      <c r="J15" s="147">
        <v>4.65981449837196</v>
      </c>
      <c r="K15" s="146">
        <v>72.1845</v>
      </c>
      <c r="L15" s="147">
        <v>5.92158358890079</v>
      </c>
      <c r="M15" s="146">
        <v>86.844</v>
      </c>
      <c r="N15" s="147">
        <v>6.63883346124328</v>
      </c>
      <c r="O15" s="146">
        <v>98.8388</v>
      </c>
      <c r="P15" s="147">
        <v>8.06058200797892</v>
      </c>
      <c r="Q15" s="146">
        <v>110.2546</v>
      </c>
      <c r="R15" s="147">
        <v>6.710013482163</v>
      </c>
      <c r="S15" s="146">
        <v>158.1991</v>
      </c>
      <c r="T15" s="147">
        <v>7.25327823645493</v>
      </c>
      <c r="U15" s="146">
        <v>176.763</v>
      </c>
      <c r="V15" s="147">
        <v>6.06885101669849</v>
      </c>
      <c r="W15" s="146">
        <v>191.2846</v>
      </c>
      <c r="X15" s="147">
        <v>6.41368283954555</v>
      </c>
    </row>
    <row r="16" ht="18" customHeight="1" spans="1:24">
      <c r="A16" s="268" t="s">
        <v>63</v>
      </c>
      <c r="B16" s="334" t="s">
        <v>17</v>
      </c>
      <c r="C16" s="146">
        <v>87.5113</v>
      </c>
      <c r="D16" s="147">
        <v>-3.16354284930209</v>
      </c>
      <c r="E16" s="146">
        <v>16.9546</v>
      </c>
      <c r="F16" s="147">
        <v>-1.293605328117</v>
      </c>
      <c r="G16" s="146">
        <v>21.9817</v>
      </c>
      <c r="H16" s="147">
        <v>-11.8549528632895</v>
      </c>
      <c r="I16" s="146">
        <v>29.783</v>
      </c>
      <c r="J16" s="147">
        <v>-10.8135868312067</v>
      </c>
      <c r="K16" s="146">
        <v>36.4207</v>
      </c>
      <c r="L16" s="147">
        <v>-5.81665373674683</v>
      </c>
      <c r="M16" s="146">
        <v>43.9141</v>
      </c>
      <c r="N16" s="147">
        <v>-4.58559118384516</v>
      </c>
      <c r="O16" s="146">
        <v>51.7348</v>
      </c>
      <c r="P16" s="147">
        <v>-2.55283000032021</v>
      </c>
      <c r="Q16" s="146">
        <v>57.1001</v>
      </c>
      <c r="R16" s="147">
        <v>-3.49806235940909</v>
      </c>
      <c r="S16" s="146">
        <v>95.742</v>
      </c>
      <c r="T16" s="147">
        <v>0.594814779952265</v>
      </c>
      <c r="U16" s="146">
        <v>108.6026</v>
      </c>
      <c r="V16" s="147">
        <v>2.07490996216584</v>
      </c>
      <c r="W16" s="146">
        <v>117.3374</v>
      </c>
      <c r="X16" s="147">
        <v>3.3</v>
      </c>
    </row>
    <row r="17" ht="18" customHeight="1" spans="1:24">
      <c r="A17" s="268" t="s">
        <v>64</v>
      </c>
      <c r="B17" s="334" t="s">
        <v>17</v>
      </c>
      <c r="C17" s="146">
        <v>533.0464</v>
      </c>
      <c r="D17" s="147">
        <v>-1.89219313886734</v>
      </c>
      <c r="E17" s="146">
        <v>108.9436</v>
      </c>
      <c r="F17" s="147">
        <v>26.4278071639283</v>
      </c>
      <c r="G17" s="146">
        <v>160.2533</v>
      </c>
      <c r="H17" s="147">
        <v>31.8778108322738</v>
      </c>
      <c r="I17" s="146">
        <v>202.3112</v>
      </c>
      <c r="J17" s="147">
        <v>23.7876306107477</v>
      </c>
      <c r="K17" s="146">
        <v>244.5811</v>
      </c>
      <c r="L17" s="147">
        <v>17.0885403302095</v>
      </c>
      <c r="M17" s="146">
        <v>296.8274</v>
      </c>
      <c r="N17" s="147">
        <v>17.9623644183955</v>
      </c>
      <c r="O17" s="146">
        <v>333.8119</v>
      </c>
      <c r="P17" s="147">
        <v>15.5553486233895</v>
      </c>
      <c r="Q17" s="146">
        <v>367.3675</v>
      </c>
      <c r="R17" s="147">
        <v>10.2110545406982</v>
      </c>
      <c r="S17" s="146">
        <v>412.3226</v>
      </c>
      <c r="T17" s="147">
        <v>10.5978771092378</v>
      </c>
      <c r="U17" s="146">
        <v>449.6999</v>
      </c>
      <c r="V17" s="147">
        <v>9.45361047308455</v>
      </c>
      <c r="W17" s="146">
        <v>495.5309</v>
      </c>
      <c r="X17" s="147">
        <v>8.80917268904169</v>
      </c>
    </row>
    <row r="18" ht="18" customHeight="1" spans="1:24">
      <c r="A18" s="268" t="s">
        <v>65</v>
      </c>
      <c r="B18" s="334" t="s">
        <v>17</v>
      </c>
      <c r="C18" s="146">
        <v>4968.235657063</v>
      </c>
      <c r="D18" s="147">
        <v>5.37318780380383</v>
      </c>
      <c r="E18" s="146">
        <v>5073.5846202377</v>
      </c>
      <c r="F18" s="147">
        <v>5.88428555571392</v>
      </c>
      <c r="G18" s="146">
        <v>5193.1745656255</v>
      </c>
      <c r="H18" s="147">
        <v>5.71497552879694</v>
      </c>
      <c r="I18" s="146">
        <v>5145.07</v>
      </c>
      <c r="J18" s="147">
        <v>6.44</v>
      </c>
      <c r="K18" s="146">
        <v>5158.4869949519</v>
      </c>
      <c r="L18" s="147">
        <v>6.08810228941171</v>
      </c>
      <c r="M18" s="146">
        <v>5220.3318026199</v>
      </c>
      <c r="N18" s="147">
        <v>5.93704045504494</v>
      </c>
      <c r="O18" s="146">
        <v>5147.0831281991</v>
      </c>
      <c r="P18" s="147">
        <v>6.33434357119303</v>
      </c>
      <c r="Q18" s="146">
        <v>5145.0579524269</v>
      </c>
      <c r="R18" s="147">
        <v>5.06736594067852</v>
      </c>
      <c r="S18" s="146">
        <v>5244.904375134</v>
      </c>
      <c r="T18" s="147">
        <v>5.27339195448424</v>
      </c>
      <c r="U18" s="146">
        <v>5198.5792223328</v>
      </c>
      <c r="V18" s="147">
        <v>5.14237676036324</v>
      </c>
      <c r="W18" s="146">
        <v>5238.0367229423</v>
      </c>
      <c r="X18" s="147">
        <v>6.30468679115886</v>
      </c>
    </row>
    <row r="19" ht="18" customHeight="1" spans="1:24">
      <c r="A19" s="268" t="s">
        <v>66</v>
      </c>
      <c r="B19" s="334" t="s">
        <v>17</v>
      </c>
      <c r="C19" s="146">
        <v>3646.3105541303</v>
      </c>
      <c r="D19" s="147">
        <v>7.33495327594018</v>
      </c>
      <c r="E19" s="146">
        <v>3764.3324237731</v>
      </c>
      <c r="F19" s="147">
        <v>8.24126016915048</v>
      </c>
      <c r="G19" s="146">
        <v>3842.5702511898</v>
      </c>
      <c r="H19" s="147">
        <v>8.20044558496622</v>
      </c>
      <c r="I19" s="146">
        <v>3821.7570409972</v>
      </c>
      <c r="J19" s="147">
        <v>8.7</v>
      </c>
      <c r="K19" s="146">
        <v>3834.4257825898</v>
      </c>
      <c r="L19" s="147">
        <v>8.68613265058281</v>
      </c>
      <c r="M19" s="146">
        <v>3898.5384522869</v>
      </c>
      <c r="N19" s="147">
        <v>8.08542371103605</v>
      </c>
      <c r="O19" s="146">
        <v>3855.7698837636</v>
      </c>
      <c r="P19" s="147">
        <v>8.16284559262545</v>
      </c>
      <c r="Q19" s="146">
        <v>3841.7766754693</v>
      </c>
      <c r="R19" s="147">
        <v>7.73214559536705</v>
      </c>
      <c r="S19" s="146">
        <v>3908.3492263185</v>
      </c>
      <c r="T19" s="147">
        <v>7.80091142207439</v>
      </c>
      <c r="U19" s="146">
        <v>3857.4563033561</v>
      </c>
      <c r="V19" s="147">
        <v>7.91052837123084</v>
      </c>
      <c r="W19" s="146">
        <v>3880.4871724197</v>
      </c>
      <c r="X19" s="147">
        <v>8.13190694012017</v>
      </c>
    </row>
    <row r="20" ht="18" customHeight="1" spans="1:24">
      <c r="A20" s="268" t="s">
        <v>67</v>
      </c>
      <c r="B20" s="334" t="s">
        <v>17</v>
      </c>
      <c r="C20" s="146">
        <v>4346.5443033106</v>
      </c>
      <c r="D20" s="147">
        <v>8.85299730662321</v>
      </c>
      <c r="E20" s="146">
        <v>4467.5752673783</v>
      </c>
      <c r="F20" s="147">
        <v>9.59418612663399</v>
      </c>
      <c r="G20" s="146">
        <v>4525.6200126821</v>
      </c>
      <c r="H20" s="147">
        <v>8.15409530092965</v>
      </c>
      <c r="I20" s="146">
        <v>4505.72</v>
      </c>
      <c r="J20" s="147">
        <v>7.81</v>
      </c>
      <c r="K20" s="146">
        <v>4522.9852845182</v>
      </c>
      <c r="L20" s="147">
        <v>7.75047637257461</v>
      </c>
      <c r="M20" s="146">
        <v>4549.0468368332</v>
      </c>
      <c r="N20" s="147">
        <v>7.61054712068015</v>
      </c>
      <c r="O20" s="146">
        <v>4508.0523488073</v>
      </c>
      <c r="P20" s="147">
        <v>6.44387314513722</v>
      </c>
      <c r="Q20" s="146">
        <v>4536.513096581</v>
      </c>
      <c r="R20" s="147">
        <v>6.66177564801179</v>
      </c>
      <c r="S20" s="146">
        <v>4573.6284197129</v>
      </c>
      <c r="T20" s="147">
        <v>6.62537388517938</v>
      </c>
      <c r="U20" s="146">
        <v>4590.1701227298</v>
      </c>
      <c r="V20" s="147">
        <v>6.78880672349328</v>
      </c>
      <c r="W20" s="146">
        <v>4599.1778011546</v>
      </c>
      <c r="X20" s="147">
        <v>7.42545239444594</v>
      </c>
    </row>
    <row r="21" ht="18" customHeight="1" spans="1:24">
      <c r="A21" s="268" t="s">
        <v>68</v>
      </c>
      <c r="B21" s="334" t="s">
        <v>30</v>
      </c>
      <c r="C21" s="199">
        <v>100.3</v>
      </c>
      <c r="D21" s="147">
        <v>0.3</v>
      </c>
      <c r="E21" s="199">
        <v>99.95092948</v>
      </c>
      <c r="F21" s="147">
        <v>0</v>
      </c>
      <c r="G21" s="199">
        <v>99.9</v>
      </c>
      <c r="H21" s="147">
        <v>-0.1</v>
      </c>
      <c r="I21" s="199">
        <v>99.91110704</v>
      </c>
      <c r="J21" s="147">
        <v>-0.1</v>
      </c>
      <c r="K21" s="199">
        <v>99.80316642</v>
      </c>
      <c r="L21" s="147">
        <v>-0.2</v>
      </c>
      <c r="M21" s="199">
        <v>99.69922978</v>
      </c>
      <c r="N21" s="147">
        <v>-0.3</v>
      </c>
      <c r="O21" s="199">
        <v>99.64631228</v>
      </c>
      <c r="P21" s="147">
        <v>-0.4</v>
      </c>
      <c r="Q21" s="199">
        <v>99.56992</v>
      </c>
      <c r="R21" s="147">
        <v>-0.4</v>
      </c>
      <c r="S21" s="199">
        <v>99.55525303</v>
      </c>
      <c r="T21" s="147">
        <v>-0.4</v>
      </c>
      <c r="U21" s="199">
        <v>99.59876953</v>
      </c>
      <c r="V21" s="147">
        <v>-0.4</v>
      </c>
      <c r="W21" s="199">
        <v>99.68755812</v>
      </c>
      <c r="X21" s="147">
        <v>-0.3</v>
      </c>
    </row>
    <row r="22" ht="18" customHeight="1" spans="1:24">
      <c r="A22" s="245" t="s">
        <v>69</v>
      </c>
      <c r="B22" s="246" t="s">
        <v>70</v>
      </c>
      <c r="C22" s="146">
        <v>320.4</v>
      </c>
      <c r="D22" s="147">
        <v>4.3</v>
      </c>
      <c r="E22" s="146">
        <v>45.4457890647</v>
      </c>
      <c r="F22" s="147">
        <v>-5.49247171984529</v>
      </c>
      <c r="G22" s="146">
        <v>69.9</v>
      </c>
      <c r="H22" s="147">
        <v>-5.1</v>
      </c>
      <c r="I22" s="146">
        <v>95.2196306492</v>
      </c>
      <c r="J22" s="147">
        <v>-4.34500011912298</v>
      </c>
      <c r="K22" s="146">
        <v>123.12</v>
      </c>
      <c r="L22" s="147">
        <v>-1.9</v>
      </c>
      <c r="M22" s="146">
        <v>151.57</v>
      </c>
      <c r="N22" s="147">
        <v>-1.3</v>
      </c>
      <c r="O22" s="146">
        <v>176.96</v>
      </c>
      <c r="P22" s="147">
        <v>-1.3</v>
      </c>
      <c r="Q22" s="146">
        <v>207.558103967118</v>
      </c>
      <c r="R22" s="147">
        <v>-1.29463046953386</v>
      </c>
      <c r="S22" s="146">
        <v>236.33</v>
      </c>
      <c r="T22" s="147">
        <v>-0.8</v>
      </c>
      <c r="U22" s="146">
        <v>264.88</v>
      </c>
      <c r="V22" s="147">
        <v>-0.2</v>
      </c>
      <c r="W22" s="146">
        <v>290.886061200418</v>
      </c>
      <c r="X22" s="147">
        <v>0.769886633523971</v>
      </c>
    </row>
    <row r="23" ht="18" customHeight="1" spans="1:24">
      <c r="A23" s="245" t="s">
        <v>71</v>
      </c>
      <c r="B23" s="246" t="s">
        <v>70</v>
      </c>
      <c r="C23" s="146">
        <v>177.73</v>
      </c>
      <c r="D23" s="147">
        <v>0.5</v>
      </c>
      <c r="E23" s="146">
        <v>25.2652007347</v>
      </c>
      <c r="F23" s="147">
        <v>-10.6608738669633</v>
      </c>
      <c r="G23" s="146">
        <v>39.15</v>
      </c>
      <c r="H23" s="147">
        <v>-10.4</v>
      </c>
      <c r="I23" s="146">
        <v>53.0385578392</v>
      </c>
      <c r="J23" s="147">
        <v>-7.97936953919726</v>
      </c>
      <c r="K23" s="146">
        <v>67.58</v>
      </c>
      <c r="L23" s="147">
        <v>-6.3</v>
      </c>
      <c r="M23" s="146">
        <v>81.45</v>
      </c>
      <c r="N23" s="147">
        <v>-5.9</v>
      </c>
      <c r="O23" s="146">
        <v>90.82</v>
      </c>
      <c r="P23" s="147">
        <v>-6.56</v>
      </c>
      <c r="Q23" s="146">
        <v>106.482777455118</v>
      </c>
      <c r="R23" s="147">
        <v>-5.73172601463869</v>
      </c>
      <c r="S23" s="146">
        <v>121.17</v>
      </c>
      <c r="T23" s="147">
        <v>-5.1</v>
      </c>
      <c r="U23" s="146">
        <v>136.77</v>
      </c>
      <c r="V23" s="147">
        <v>-4.2</v>
      </c>
      <c r="W23" s="146">
        <v>152.229904050118</v>
      </c>
      <c r="X23" s="147">
        <v>-2.26146231551403</v>
      </c>
    </row>
    <row r="24" ht="18" customHeight="1" spans="1:24">
      <c r="A24" s="245" t="s">
        <v>72</v>
      </c>
      <c r="B24" s="246" t="s">
        <v>70</v>
      </c>
      <c r="C24" s="146">
        <v>150.58</v>
      </c>
      <c r="D24" s="147">
        <v>-0.1</v>
      </c>
      <c r="E24" s="146">
        <v>20.92431428</v>
      </c>
      <c r="F24" s="147">
        <v>-13.3449125800649</v>
      </c>
      <c r="G24" s="146">
        <v>32.38</v>
      </c>
      <c r="H24" s="147">
        <v>-13.2</v>
      </c>
      <c r="I24" s="146">
        <v>43.64730814</v>
      </c>
      <c r="J24" s="147">
        <v>-10.5767371513104</v>
      </c>
      <c r="K24" s="146">
        <v>55.54</v>
      </c>
      <c r="L24" s="147">
        <v>-9</v>
      </c>
      <c r="M24" s="146">
        <v>66.83</v>
      </c>
      <c r="N24" s="147">
        <v>-8.7</v>
      </c>
      <c r="O24" s="146">
        <v>79.75</v>
      </c>
      <c r="P24" s="147">
        <v>-8.18</v>
      </c>
      <c r="Q24" s="146">
        <v>92.450438495</v>
      </c>
      <c r="R24" s="147">
        <v>-8.31178780155304</v>
      </c>
      <c r="S24" s="146">
        <v>104.49</v>
      </c>
      <c r="T24" s="147">
        <v>-8.3</v>
      </c>
      <c r="U24" s="146">
        <v>117.28</v>
      </c>
      <c r="V24" s="147">
        <v>-8</v>
      </c>
      <c r="W24" s="146">
        <v>129.9367929632</v>
      </c>
      <c r="X24" s="147">
        <v>-6.80392663353168</v>
      </c>
    </row>
    <row r="25" ht="18" customHeight="1" spans="1:24">
      <c r="A25" s="270" t="s">
        <v>73</v>
      </c>
      <c r="B25" s="271" t="s">
        <v>74</v>
      </c>
      <c r="C25" s="146">
        <v>255.574689954</v>
      </c>
      <c r="D25" s="147">
        <v>-1.47567890827943</v>
      </c>
      <c r="E25" s="146">
        <v>34.956122</v>
      </c>
      <c r="F25" s="147">
        <v>3.5</v>
      </c>
      <c r="G25" s="146">
        <v>58.206052665</v>
      </c>
      <c r="H25" s="147">
        <v>2.3</v>
      </c>
      <c r="I25" s="146">
        <v>80.081343669</v>
      </c>
      <c r="J25" s="147">
        <v>0.00604349808412508</v>
      </c>
      <c r="K25" s="146">
        <v>102.537218026</v>
      </c>
      <c r="L25" s="147">
        <v>-2.20232968737768</v>
      </c>
      <c r="M25" s="146">
        <v>122.78902</v>
      </c>
      <c r="N25" s="147">
        <v>-2.4</v>
      </c>
      <c r="O25" s="146">
        <v>141.208908038</v>
      </c>
      <c r="P25" s="147">
        <v>-2.3526160176574</v>
      </c>
      <c r="Q25" s="146">
        <v>161.591069135</v>
      </c>
      <c r="R25" s="147">
        <v>-2.27011718740115</v>
      </c>
      <c r="S25" s="146">
        <v>181.386422761</v>
      </c>
      <c r="T25" s="147">
        <v>-2.23230727272144</v>
      </c>
      <c r="U25" s="146">
        <v>201.646126195</v>
      </c>
      <c r="V25" s="147">
        <v>-2.71619252480527</v>
      </c>
      <c r="W25" s="146">
        <v>222.981739217</v>
      </c>
      <c r="X25" s="147">
        <v>-3.36110617039989</v>
      </c>
    </row>
    <row r="26" ht="18" customHeight="1" spans="1:24">
      <c r="A26" s="270" t="s">
        <v>75</v>
      </c>
      <c r="B26" s="271" t="s">
        <v>74</v>
      </c>
      <c r="C26" s="146">
        <v>189.30271304</v>
      </c>
      <c r="D26" s="147">
        <v>-0.845782218554632</v>
      </c>
      <c r="E26" s="146">
        <v>27.83938</v>
      </c>
      <c r="F26" s="147">
        <v>-8.5</v>
      </c>
      <c r="G26" s="146">
        <v>47.775562395</v>
      </c>
      <c r="H26" s="147">
        <v>7.5</v>
      </c>
      <c r="I26" s="146">
        <v>63.0472</v>
      </c>
      <c r="J26" s="147">
        <v>5.83698869063507</v>
      </c>
      <c r="K26" s="146">
        <v>77.46307131</v>
      </c>
      <c r="L26" s="147">
        <v>4.93427310941208</v>
      </c>
      <c r="M26" s="146">
        <v>95.0647</v>
      </c>
      <c r="N26" s="147">
        <v>4.3</v>
      </c>
      <c r="O26" s="146">
        <v>107.886537415</v>
      </c>
      <c r="P26" s="147">
        <v>6.2247985875137</v>
      </c>
      <c r="Q26" s="146">
        <v>124.127371665</v>
      </c>
      <c r="R26" s="147">
        <v>8.62299485361054</v>
      </c>
      <c r="S26" s="146">
        <v>137.78549733</v>
      </c>
      <c r="T26" s="147">
        <v>8.51554250020243</v>
      </c>
      <c r="U26" s="146">
        <v>157.836964315</v>
      </c>
      <c r="V26" s="147">
        <v>6.97572873001428</v>
      </c>
      <c r="W26" s="146">
        <v>176.70816091</v>
      </c>
      <c r="X26" s="147">
        <v>5.16108030221798</v>
      </c>
    </row>
    <row r="27" ht="18" customHeight="1" spans="1:24">
      <c r="A27" s="270" t="s">
        <v>76</v>
      </c>
      <c r="B27" s="271" t="s">
        <v>77</v>
      </c>
      <c r="C27" s="146">
        <v>2.74999288</v>
      </c>
      <c r="D27" s="147">
        <v>-2.73367811539511</v>
      </c>
      <c r="E27" s="146">
        <v>0.4318</v>
      </c>
      <c r="F27" s="147">
        <v>-4.1</v>
      </c>
      <c r="G27" s="146">
        <v>0.6745</v>
      </c>
      <c r="H27" s="147">
        <v>-3.91995462297656</v>
      </c>
      <c r="I27" s="146">
        <v>0.9112</v>
      </c>
      <c r="J27" s="147">
        <v>-4.4</v>
      </c>
      <c r="K27" s="146">
        <v>1.15442081</v>
      </c>
      <c r="L27" s="147">
        <v>-3.31968619495916</v>
      </c>
      <c r="M27" s="146">
        <v>1.3596</v>
      </c>
      <c r="N27" s="147">
        <v>-4.5</v>
      </c>
      <c r="O27" s="146">
        <v>1.57062892</v>
      </c>
      <c r="P27" s="147">
        <v>-3.28148201225102</v>
      </c>
      <c r="Q27" s="146">
        <v>1.79528056</v>
      </c>
      <c r="R27" s="147">
        <v>-3.0307305548232</v>
      </c>
      <c r="S27" s="146">
        <v>1.98694784</v>
      </c>
      <c r="T27" s="147">
        <v>-2.83517577900874</v>
      </c>
      <c r="U27" s="146">
        <v>2.20972638</v>
      </c>
      <c r="V27" s="147">
        <v>-2.87795549254469</v>
      </c>
      <c r="W27" s="146">
        <v>2.42440691</v>
      </c>
      <c r="X27" s="147">
        <v>-3.36735777940894</v>
      </c>
    </row>
    <row r="28" ht="18" customHeight="1" spans="1:24">
      <c r="A28" s="272" t="s">
        <v>78</v>
      </c>
      <c r="B28" s="273" t="s">
        <v>79</v>
      </c>
      <c r="C28" s="341">
        <v>165.042875</v>
      </c>
      <c r="D28" s="154">
        <v>4.37418162650518</v>
      </c>
      <c r="E28" s="341">
        <v>21.9576</v>
      </c>
      <c r="F28" s="154">
        <v>-7.8</v>
      </c>
      <c r="G28" s="341">
        <v>35.36975</v>
      </c>
      <c r="H28" s="154">
        <v>-2.96744228792152</v>
      </c>
      <c r="I28" s="341">
        <v>49.25</v>
      </c>
      <c r="J28" s="154">
        <v>-0.98</v>
      </c>
      <c r="K28" s="341">
        <v>62.83635</v>
      </c>
      <c r="L28" s="154">
        <v>-2.57949112501719</v>
      </c>
      <c r="M28" s="341">
        <v>75.78</v>
      </c>
      <c r="N28" s="154">
        <v>-3.3</v>
      </c>
      <c r="O28" s="341">
        <v>87.72135</v>
      </c>
      <c r="P28" s="154">
        <v>-5.11394642352039</v>
      </c>
      <c r="Q28" s="341">
        <v>102.55445</v>
      </c>
      <c r="R28" s="154">
        <v>-4.10677301267456</v>
      </c>
      <c r="S28" s="341">
        <v>113.61165</v>
      </c>
      <c r="T28" s="154">
        <v>-4.09832121742126</v>
      </c>
      <c r="U28" s="341">
        <v>125.55615</v>
      </c>
      <c r="V28" s="154">
        <v>-5.63131008028839</v>
      </c>
      <c r="W28" s="341">
        <v>139.36225</v>
      </c>
      <c r="X28" s="154">
        <v>-6.03550008605072</v>
      </c>
    </row>
    <row r="29" ht="37" customHeight="1" spans="1:24">
      <c r="A29" s="281" t="s">
        <v>80</v>
      </c>
      <c r="B29" s="281"/>
      <c r="C29" s="281"/>
      <c r="D29" s="281"/>
      <c r="E29" s="281"/>
      <c r="F29" s="281"/>
      <c r="G29" s="281"/>
      <c r="H29" s="281"/>
      <c r="I29" s="281"/>
      <c r="J29" s="281"/>
      <c r="K29" s="281"/>
      <c r="L29" s="281"/>
      <c r="M29" s="281"/>
      <c r="N29" s="281"/>
      <c r="O29" s="281"/>
      <c r="P29" s="281"/>
      <c r="Q29" s="281"/>
      <c r="R29" s="281"/>
      <c r="S29" s="281"/>
      <c r="T29" s="281"/>
      <c r="U29" s="281"/>
      <c r="V29" s="281"/>
      <c r="W29" s="281"/>
      <c r="X29" s="281"/>
    </row>
  </sheetData>
  <mergeCells count="15">
    <mergeCell ref="A1:X1"/>
    <mergeCell ref="C2:D2"/>
    <mergeCell ref="E2:F2"/>
    <mergeCell ref="G2:H2"/>
    <mergeCell ref="I2:J2"/>
    <mergeCell ref="K2:L2"/>
    <mergeCell ref="M2:N2"/>
    <mergeCell ref="O2:P2"/>
    <mergeCell ref="Q2:R2"/>
    <mergeCell ref="S2:T2"/>
    <mergeCell ref="U2:V2"/>
    <mergeCell ref="W2:X2"/>
    <mergeCell ref="A29:X29"/>
    <mergeCell ref="A2:A3"/>
    <mergeCell ref="B2:B3"/>
  </mergeCells>
  <printOptions horizontalCentered="1"/>
  <pageMargins left="0.748031496062992" right="0.748031496062992" top="0.551181102362205" bottom="0.748031496062992" header="0.511811023622047" footer="0.511811023622047"/>
  <pageSetup paperSize="9" orientation="portrait" horizontalDpi="600"/>
  <headerFooter alignWithMargins="0" scaleWithDoc="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G30"/>
  <sheetViews>
    <sheetView topLeftCell="A7" workbookViewId="0">
      <selection activeCell="X19" sqref="X19"/>
    </sheetView>
  </sheetViews>
  <sheetFormatPr defaultColWidth="9" defaultRowHeight="14.25" outlineLevelCol="6"/>
  <cols>
    <col min="1" max="1" width="14.375" style="44" customWidth="1"/>
    <col min="2" max="2" width="26.875" customWidth="1"/>
    <col min="3" max="3" width="18.875" customWidth="1"/>
    <col min="4" max="4" width="0.5" hidden="1" customWidth="1"/>
    <col min="5" max="6" width="9" hidden="1" customWidth="1"/>
  </cols>
  <sheetData>
    <row r="1" ht="33.75" customHeight="1" spans="1:7">
      <c r="A1" s="3" t="s">
        <v>495</v>
      </c>
      <c r="B1" s="3"/>
      <c r="C1" s="3"/>
      <c r="D1" s="3"/>
      <c r="E1" s="3"/>
      <c r="F1" s="3"/>
      <c r="G1" s="45"/>
    </row>
    <row r="2" ht="20.25" customHeight="1" spans="1:7">
      <c r="A2" s="46"/>
      <c r="B2" s="46"/>
      <c r="C2" t="s">
        <v>494</v>
      </c>
      <c r="G2" s="45"/>
    </row>
    <row r="3" s="43" customFormat="1" ht="31.5" customHeight="1" spans="1:7">
      <c r="A3" t="s">
        <v>490</v>
      </c>
      <c r="B3" t="s">
        <v>85</v>
      </c>
      <c r="C3"/>
      <c r="D3" s="48"/>
      <c r="E3" s="49"/>
      <c r="F3" s="50"/>
      <c r="G3" s="51"/>
    </row>
    <row r="4" s="43" customFormat="1" ht="31.5" customHeight="1" spans="1:7">
      <c r="A4"/>
      <c r="B4" s="7" t="s">
        <v>491</v>
      </c>
      <c r="C4" s="8" t="s">
        <v>492</v>
      </c>
      <c r="D4" s="52"/>
      <c r="E4" s="53"/>
      <c r="F4" s="54"/>
      <c r="G4" s="51"/>
    </row>
    <row r="5" ht="18" customHeight="1" spans="1:7">
      <c r="A5" s="9">
        <v>2016</v>
      </c>
      <c r="B5" s="61"/>
      <c r="C5" s="11"/>
      <c r="D5" s="55"/>
      <c r="E5" s="55"/>
      <c r="F5" s="55"/>
    </row>
    <row r="6" ht="18" customHeight="1" spans="1:7">
      <c r="A6" s="9">
        <v>6</v>
      </c>
      <c r="B6" s="62">
        <f>ROUND(6760206,0)</f>
        <v>6760206</v>
      </c>
      <c r="C6" s="63">
        <f>ROUND(8.8,1)</f>
        <v>8.8</v>
      </c>
      <c r="D6" s="55"/>
      <c r="E6" s="55"/>
      <c r="F6" s="55"/>
    </row>
    <row r="7" ht="18" customHeight="1" spans="1:7">
      <c r="A7" s="9">
        <v>7</v>
      </c>
      <c r="B7" s="62">
        <f>ROUND(7975890,0)</f>
        <v>7975890</v>
      </c>
      <c r="C7" s="63">
        <f>ROUND(9,1)</f>
        <v>9</v>
      </c>
      <c r="D7" s="55"/>
      <c r="E7" s="55"/>
      <c r="F7" s="55"/>
    </row>
    <row r="8" ht="18" customHeight="1" spans="1:7">
      <c r="A8" s="9">
        <v>8</v>
      </c>
      <c r="B8" s="62">
        <f>ROUND(9193702.5,0)</f>
        <v>9193703</v>
      </c>
      <c r="C8" s="63">
        <f>ROUND(8.9,1)</f>
        <v>8.9</v>
      </c>
      <c r="D8" s="55"/>
      <c r="E8" s="55"/>
      <c r="F8" s="55"/>
    </row>
    <row r="9" spans="1:7">
      <c r="A9" s="9">
        <v>9</v>
      </c>
      <c r="B9" s="64">
        <f>ROUND(10457008.3,0)</f>
        <v>10457008</v>
      </c>
      <c r="C9" s="63">
        <f>ROUND(9.3,1)</f>
        <v>9.3</v>
      </c>
    </row>
    <row r="10" spans="1:7">
      <c r="A10" s="9">
        <v>10</v>
      </c>
      <c r="B10" s="64">
        <f>ROUND(11782159.5,0)</f>
        <v>11782160</v>
      </c>
      <c r="C10" s="63">
        <f>ROUND(9.5,1)</f>
        <v>9.5</v>
      </c>
    </row>
    <row r="11" spans="1:7">
      <c r="A11" s="9">
        <v>11</v>
      </c>
      <c r="B11" s="65">
        <f>ROUND(13025842,0)</f>
        <v>13025842</v>
      </c>
      <c r="C11" s="63">
        <f>ROUND(9.4,1)</f>
        <v>9.4</v>
      </c>
    </row>
    <row r="12" ht="15.95" customHeight="1" spans="1:7">
      <c r="A12" s="66">
        <v>12</v>
      </c>
      <c r="B12" s="67">
        <f>ROUND(14329570,0)</f>
        <v>14329570</v>
      </c>
      <c r="C12" s="68">
        <f>ROUND(9.5,1)</f>
        <v>9.5</v>
      </c>
    </row>
    <row r="13" ht="15.95" customHeight="1" spans="1:7">
      <c r="A13" s="66">
        <v>2017</v>
      </c>
      <c r="B13" s="67"/>
      <c r="C13" s="68"/>
    </row>
    <row r="14" ht="15.95" customHeight="1" spans="1:7">
      <c r="A14" s="66">
        <v>2</v>
      </c>
      <c r="B14" s="67">
        <f>ROUND(2520522,0)</f>
        <v>2520522</v>
      </c>
      <c r="C14" s="69">
        <f>ROUND(12,1)</f>
        <v>12</v>
      </c>
    </row>
    <row r="15" ht="15.95" customHeight="1" spans="1:7">
      <c r="A15" s="66">
        <v>3</v>
      </c>
      <c r="B15" s="67">
        <f>ROUND(3755066,0)</f>
        <v>3755066</v>
      </c>
      <c r="C15" s="68">
        <f>ROUND(12.1,1)</f>
        <v>12.1</v>
      </c>
    </row>
    <row r="16" ht="15.95" customHeight="1" spans="1:7">
      <c r="A16" s="66">
        <v>4</v>
      </c>
      <c r="B16" s="67">
        <f>ROUND(4968495,0)</f>
        <v>4968495</v>
      </c>
      <c r="C16" s="68">
        <f>ROUND(11.8,1)</f>
        <v>11.8</v>
      </c>
    </row>
    <row r="17" ht="15.95" customHeight="1" spans="1:3">
      <c r="A17" s="66">
        <v>5</v>
      </c>
      <c r="B17" s="67">
        <f>ROUND(6247711,0)</f>
        <v>6247711</v>
      </c>
      <c r="C17" s="68">
        <f>ROUND(11.5,1)</f>
        <v>11.5</v>
      </c>
    </row>
    <row r="18" ht="15.95" customHeight="1" spans="1:3">
      <c r="A18" s="66">
        <v>6</v>
      </c>
      <c r="B18" s="67">
        <f>ROUND(7543984,0)</f>
        <v>7543984</v>
      </c>
      <c r="C18" s="68">
        <f>ROUND(11.1,1)</f>
        <v>11.1</v>
      </c>
    </row>
    <row r="19" ht="15.95" customHeight="1" spans="1:3">
      <c r="A19" s="66">
        <v>7</v>
      </c>
      <c r="B19" s="67">
        <f>ROUND(8865132,0)</f>
        <v>8865132</v>
      </c>
      <c r="C19" s="68">
        <f>ROUND(10.8,1)</f>
        <v>10.8</v>
      </c>
    </row>
    <row r="20" ht="15.95" customHeight="1" spans="1:3">
      <c r="A20" s="70">
        <v>8</v>
      </c>
      <c r="B20" s="71">
        <f>ROUND(10165674.4,0)</f>
        <v>10165674</v>
      </c>
      <c r="C20" s="72">
        <f>ROUND(10.2,1)</f>
        <v>10.2</v>
      </c>
    </row>
    <row r="21" spans="1:3">
      <c r="A21" s="66">
        <v>9</v>
      </c>
      <c r="B21" s="71">
        <f>ROUND(11558876.6,0)</f>
        <v>11558877</v>
      </c>
      <c r="C21" s="72">
        <f>ROUND(10.2,1)</f>
        <v>10.2</v>
      </c>
    </row>
    <row r="22" spans="1:3">
      <c r="A22" s="66">
        <v>10</v>
      </c>
      <c r="B22" s="71">
        <f>ROUND(12962204,0)</f>
        <v>12962204</v>
      </c>
      <c r="C22" s="72">
        <f>ROUND(10.2,1)</f>
        <v>10.2</v>
      </c>
    </row>
    <row r="23" spans="1:3">
      <c r="A23" s="66">
        <v>11</v>
      </c>
      <c r="B23" s="71">
        <f>ROUND(14339244.7,0)</f>
        <v>14339245</v>
      </c>
      <c r="C23" s="73">
        <f>ROUND(10.1873510322444,1)</f>
        <v>10.2</v>
      </c>
    </row>
    <row r="24" spans="1:3">
      <c r="A24" s="66">
        <v>12</v>
      </c>
      <c r="B24" s="71">
        <f>ROUND(15780801.9,0)</f>
        <v>15780802</v>
      </c>
      <c r="C24" s="73">
        <f>ROUND(10.1275297129633,1)</f>
        <v>10.1</v>
      </c>
    </row>
    <row r="25" spans="1:3">
      <c r="A25" s="15">
        <v>2018</v>
      </c>
      <c r="B25" s="16"/>
      <c r="C25" s="17"/>
    </row>
    <row r="26" spans="1:3">
      <c r="A26" s="15">
        <v>2</v>
      </c>
      <c r="B26" s="74">
        <f>ROUND(2761961.2,0)</f>
        <v>2761961</v>
      </c>
      <c r="C26" s="17">
        <f>ROUND(10.1,1)</f>
        <v>10.1</v>
      </c>
    </row>
    <row r="27" spans="1:3">
      <c r="A27" s="15">
        <v>3</v>
      </c>
      <c r="B27" s="74">
        <f>ROUND(4120562.9,0)</f>
        <v>4120563</v>
      </c>
      <c r="C27" s="17">
        <f>ROUND(10.1,1)</f>
        <v>10.1</v>
      </c>
    </row>
    <row r="28" spans="1:3">
      <c r="A28" s="15">
        <v>4</v>
      </c>
      <c r="B28" s="74">
        <f>ROUND(5462840,0)</f>
        <v>5462840</v>
      </c>
      <c r="C28" s="17">
        <f>ROUND(10.1,1)</f>
        <v>10.1</v>
      </c>
    </row>
    <row r="29" spans="1:3">
      <c r="A29" s="15">
        <v>5</v>
      </c>
      <c r="B29" s="74">
        <v>6829174</v>
      </c>
      <c r="C29" s="21">
        <v>10</v>
      </c>
    </row>
    <row r="30" spans="1:3">
      <c r="A30" s="22">
        <v>6</v>
      </c>
      <c r="B30" s="75">
        <v>8214416</v>
      </c>
      <c r="C30" s="76">
        <v>10</v>
      </c>
    </row>
  </sheetData>
  <mergeCells count="4">
    <mergeCell ref="A1:F1"/>
    <mergeCell ref="C2:F2"/>
    <mergeCell ref="B3:C3"/>
    <mergeCell ref="A3:A4"/>
  </mergeCells>
  <pageMargins left="0.75" right="0.75" top="1" bottom="1" header="0.5" footer="0.5"/>
  <pageSetup paperSize="9" orientation="portrait" horizontalDpi="600"/>
  <headerFooter alignWithMargins="0" scaleWithDoc="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H32"/>
  <sheetViews>
    <sheetView workbookViewId="0">
      <selection activeCell="X19" sqref="X19"/>
    </sheetView>
  </sheetViews>
  <sheetFormatPr defaultColWidth="9" defaultRowHeight="14.25" outlineLevelCol="7"/>
  <cols>
    <col min="1" max="1" width="14.375" style="44" customWidth="1"/>
    <col min="2" max="2" width="26.875" customWidth="1"/>
    <col min="3" max="3" width="18.875" customWidth="1"/>
    <col min="4" max="4" width="0.5" hidden="1" customWidth="1"/>
    <col min="5" max="6" width="9" hidden="1" customWidth="1"/>
  </cols>
  <sheetData>
    <row r="1" ht="33.75" customHeight="1" spans="1:8">
      <c r="A1" s="3" t="s">
        <v>496</v>
      </c>
      <c r="B1" s="3"/>
      <c r="C1" s="3"/>
      <c r="D1" s="3"/>
      <c r="E1" s="3"/>
      <c r="F1" s="3"/>
      <c r="G1" s="45"/>
    </row>
    <row r="2" ht="20.25" customHeight="1" spans="1:8">
      <c r="A2" s="46"/>
      <c r="C2" s="47" t="s">
        <v>497</v>
      </c>
      <c r="D2" s="47"/>
      <c r="E2" s="47"/>
      <c r="F2" s="47"/>
      <c r="G2" s="47"/>
      <c r="H2" s="47"/>
    </row>
    <row r="3" s="43" customFormat="1" ht="31.5" customHeight="1" spans="1:8">
      <c r="A3" t="s">
        <v>490</v>
      </c>
      <c r="B3" t="s">
        <v>498</v>
      </c>
      <c r="C3"/>
      <c r="D3" s="48"/>
      <c r="E3" s="49"/>
      <c r="F3" s="50"/>
      <c r="G3" s="51"/>
    </row>
    <row r="4" s="43" customFormat="1" ht="31.5" customHeight="1" spans="1:8">
      <c r="A4"/>
      <c r="B4" s="7" t="s">
        <v>491</v>
      </c>
      <c r="C4" s="8" t="s">
        <v>492</v>
      </c>
      <c r="D4" s="52"/>
      <c r="E4" s="53"/>
      <c r="F4" s="54"/>
      <c r="G4" s="51"/>
    </row>
    <row r="5" ht="18" customHeight="1" spans="1:8">
      <c r="A5" s="9">
        <v>2016</v>
      </c>
      <c r="B5" s="27"/>
      <c r="C5" s="11"/>
      <c r="D5" s="55"/>
      <c r="E5" s="55"/>
      <c r="F5" s="55"/>
      <c r="H5" t="s">
        <v>263</v>
      </c>
    </row>
    <row r="6" ht="18" customHeight="1" spans="1:8">
      <c r="A6" s="9">
        <v>5</v>
      </c>
      <c r="B6" s="27">
        <f>ROUND(651964,0)</f>
        <v>651964</v>
      </c>
      <c r="C6" s="56">
        <f>ROUND(4.3,1)</f>
        <v>4.3</v>
      </c>
      <c r="D6" s="55"/>
      <c r="E6" s="55"/>
      <c r="F6" s="55"/>
    </row>
    <row r="7" ht="18" customHeight="1" spans="1:8">
      <c r="A7" s="9">
        <v>6</v>
      </c>
      <c r="B7" s="27">
        <f>ROUND(780476,0)</f>
        <v>780476</v>
      </c>
      <c r="C7" s="11">
        <f>ROUND(-3.8,1)</f>
        <v>-3.8</v>
      </c>
      <c r="D7" s="55"/>
      <c r="E7" s="55"/>
      <c r="F7" s="55"/>
    </row>
    <row r="8" ht="18" customHeight="1" spans="1:8">
      <c r="A8" s="9">
        <v>7</v>
      </c>
      <c r="B8" s="27">
        <f>ROUND(922333.1019,0)</f>
        <v>922333</v>
      </c>
      <c r="C8" s="11">
        <f>ROUND(-3.98796758100968,1)</f>
        <v>-4</v>
      </c>
      <c r="D8" s="55"/>
      <c r="E8" s="55"/>
      <c r="F8" s="55"/>
    </row>
    <row r="9" spans="1:8">
      <c r="A9" s="9">
        <v>8</v>
      </c>
      <c r="B9" s="27">
        <f>ROUND(1118014,0)</f>
        <v>1118014</v>
      </c>
      <c r="C9" s="11">
        <f>ROUND(2.07,1)</f>
        <v>2.1</v>
      </c>
    </row>
    <row r="10" spans="1:8">
      <c r="A10" s="9">
        <v>9</v>
      </c>
      <c r="B10" s="27">
        <f>ROUND(1355582.6735,0)</f>
        <v>1355583</v>
      </c>
      <c r="C10" s="11">
        <f>ROUND(10.8909650955423,1)</f>
        <v>10.9</v>
      </c>
    </row>
    <row r="11" spans="1:8">
      <c r="A11" s="9">
        <v>10</v>
      </c>
      <c r="B11" s="27">
        <f>ROUND(1530438,0)</f>
        <v>1530438</v>
      </c>
      <c r="C11" s="11">
        <f>ROUND(12,1)</f>
        <v>12</v>
      </c>
    </row>
    <row r="12" spans="1:8">
      <c r="A12" s="57">
        <v>11</v>
      </c>
      <c r="B12" s="27">
        <f>ROUND(1711506,0)</f>
        <v>1711506</v>
      </c>
      <c r="C12" s="11">
        <f>ROUND(14,1)</f>
        <v>14</v>
      </c>
    </row>
    <row r="13" spans="1:8">
      <c r="A13" s="57">
        <v>12</v>
      </c>
      <c r="B13" s="27">
        <f>ROUND(1947922,0)</f>
        <v>1947922</v>
      </c>
      <c r="C13" s="11">
        <f>ROUND(11.8,1)</f>
        <v>11.8</v>
      </c>
    </row>
    <row r="14" spans="1:8">
      <c r="A14" s="57">
        <v>2017</v>
      </c>
      <c r="B14" s="27"/>
      <c r="C14" s="11"/>
    </row>
    <row r="15" spans="1:8">
      <c r="A15" s="57">
        <v>1</v>
      </c>
      <c r="B15" s="27">
        <f>ROUND(181359,0)</f>
        <v>181359</v>
      </c>
      <c r="C15" s="11">
        <f>ROUND(-7.6,1)</f>
        <v>-7.6</v>
      </c>
    </row>
    <row r="16" spans="1:8">
      <c r="A16" s="57">
        <v>2</v>
      </c>
      <c r="B16" s="27">
        <f>ROUND(241658,0)</f>
        <v>241658</v>
      </c>
      <c r="C16" s="11">
        <f>ROUND(-11.38,1)</f>
        <v>-11.4</v>
      </c>
    </row>
    <row r="17" spans="1:3">
      <c r="A17" s="57">
        <v>3</v>
      </c>
      <c r="B17" s="27">
        <f>ROUND(415528,0)</f>
        <v>415528</v>
      </c>
      <c r="C17" s="11">
        <f>ROUND(13.9,1)</f>
        <v>13.9</v>
      </c>
    </row>
    <row r="18" spans="1:3">
      <c r="A18" s="57">
        <v>4</v>
      </c>
      <c r="B18" s="27">
        <f>ROUND(594563,0)</f>
        <v>594563</v>
      </c>
      <c r="C18" s="11">
        <f>ROUND(22.2,1)</f>
        <v>22.2</v>
      </c>
    </row>
    <row r="19" spans="1:3">
      <c r="A19" s="57">
        <v>5</v>
      </c>
      <c r="B19" s="27">
        <f>ROUND(815811,0)</f>
        <v>815811</v>
      </c>
      <c r="C19" s="11">
        <f>ROUND(28.7,1)</f>
        <v>28.7</v>
      </c>
    </row>
    <row r="20" spans="1:3">
      <c r="A20" s="57">
        <v>6</v>
      </c>
      <c r="B20" s="27">
        <f>ROUND(1006074,0)</f>
        <v>1006074</v>
      </c>
      <c r="C20" s="11">
        <f>ROUND(32,1)</f>
        <v>32</v>
      </c>
    </row>
    <row r="21" spans="1:3">
      <c r="A21" s="57">
        <v>7</v>
      </c>
      <c r="B21" s="40">
        <f>ROUND(1228741,0)</f>
        <v>1228741</v>
      </c>
      <c r="C21" s="14">
        <f>ROUND(35.9,1)</f>
        <v>35.9</v>
      </c>
    </row>
    <row r="22" spans="1:3">
      <c r="A22" s="57">
        <v>8</v>
      </c>
      <c r="B22" s="40">
        <v>1411285</v>
      </c>
      <c r="C22" s="14">
        <v>28.3</v>
      </c>
    </row>
    <row r="23" spans="1:3">
      <c r="A23" s="57">
        <v>9</v>
      </c>
      <c r="B23" s="40">
        <f>ROUND(1593063,0)</f>
        <v>1593063</v>
      </c>
      <c r="C23" s="14">
        <f>ROUND(19.1,1)</f>
        <v>19.1</v>
      </c>
    </row>
    <row r="24" spans="1:3">
      <c r="A24" s="57">
        <v>10</v>
      </c>
      <c r="B24" s="40">
        <f>ROUND(1750486,0)</f>
        <v>1750486</v>
      </c>
      <c r="C24" s="14">
        <f>ROUND(15.7303,1)</f>
        <v>15.7</v>
      </c>
    </row>
    <row r="25" spans="1:3">
      <c r="A25" s="57">
        <v>11</v>
      </c>
      <c r="B25" s="40">
        <f>ROUND(1923410,0)</f>
        <v>1923410</v>
      </c>
      <c r="C25" s="14">
        <f>ROUND(12.4106,1)</f>
        <v>12.4</v>
      </c>
    </row>
    <row r="26" spans="1:3">
      <c r="A26" s="57">
        <v>12</v>
      </c>
      <c r="B26" s="40">
        <f>ROUND(2170709.6623,0)</f>
        <v>2170710</v>
      </c>
      <c r="C26" s="14">
        <f>ROUND(11.4496,1)</f>
        <v>11.4</v>
      </c>
    </row>
    <row r="27" spans="1:3">
      <c r="A27" s="15">
        <v>2018</v>
      </c>
      <c r="B27" s="16"/>
      <c r="C27" s="17"/>
    </row>
    <row r="28" spans="1:3">
      <c r="A28" s="15">
        <v>1</v>
      </c>
      <c r="B28" s="40">
        <f>ROUND(245060.5487,0)</f>
        <v>245061</v>
      </c>
      <c r="C28" s="14">
        <f>ROUND(-9.2749,1)</f>
        <v>-9.3</v>
      </c>
    </row>
    <row r="29" spans="1:3">
      <c r="A29" s="15">
        <v>2</v>
      </c>
      <c r="B29" s="40">
        <f>ROUND(254273.584,0)</f>
        <v>254274</v>
      </c>
      <c r="C29" s="14">
        <f>ROUND(5.1148,1)</f>
        <v>5.1</v>
      </c>
    </row>
    <row r="30" spans="1:3">
      <c r="A30" s="15">
        <v>3</v>
      </c>
      <c r="B30" s="40">
        <f>ROUND(368490,0)</f>
        <v>368490</v>
      </c>
      <c r="C30" s="58">
        <f>ROUND(-11.4,1)</f>
        <v>-11.4</v>
      </c>
    </row>
    <row r="31" spans="1:3">
      <c r="A31" s="15">
        <v>4</v>
      </c>
      <c r="B31" s="40">
        <v>498314.2314</v>
      </c>
      <c r="C31" s="58">
        <v>-16.2432</v>
      </c>
    </row>
    <row r="32" spans="1:3">
      <c r="A32" s="22">
        <v>5</v>
      </c>
      <c r="B32" s="59">
        <v>696319</v>
      </c>
      <c r="C32" s="60">
        <v>-14.7</v>
      </c>
    </row>
  </sheetData>
  <mergeCells count="3">
    <mergeCell ref="A1:F1"/>
    <mergeCell ref="B3:C3"/>
    <mergeCell ref="A3:A4"/>
  </mergeCells>
  <pageMargins left="0.75" right="0.75" top="1" bottom="1" header="0.5" footer="0.5"/>
  <pageSetup paperSize="9" orientation="portrait" horizontalDpi="600"/>
  <headerFooter alignWithMargins="0" scaleWithDoc="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C31"/>
  <sheetViews>
    <sheetView topLeftCell="A7" workbookViewId="0">
      <selection activeCell="X19" sqref="X19"/>
    </sheetView>
  </sheetViews>
  <sheetFormatPr defaultColWidth="9" defaultRowHeight="14.25" outlineLevelCol="2"/>
  <cols>
    <col min="1" max="1" width="14.375" customWidth="1"/>
    <col min="2" max="2" width="26.875" customWidth="1"/>
    <col min="3" max="3" width="18.875" customWidth="1"/>
  </cols>
  <sheetData>
    <row r="1" ht="24" spans="1:3">
      <c r="A1" s="39" t="s">
        <v>499</v>
      </c>
      <c r="B1" s="39"/>
      <c r="C1" s="39"/>
    </row>
    <row r="2" ht="24.75" spans="1:3">
      <c r="A2" s="25"/>
      <c r="B2" s="25"/>
      <c r="C2" s="26" t="s">
        <v>494</v>
      </c>
    </row>
    <row r="3" ht="32.1" customHeight="1" spans="1:3">
      <c r="A3" t="s">
        <v>490</v>
      </c>
      <c r="B3" t="s">
        <v>86</v>
      </c>
    </row>
    <row r="4" ht="32.1" customHeight="1" spans="1:3">
      <c r="B4" s="7" t="s">
        <v>491</v>
      </c>
      <c r="C4" s="8" t="s">
        <v>492</v>
      </c>
    </row>
    <row r="5" ht="18" customHeight="1" spans="1:3">
      <c r="A5" s="9">
        <v>2016</v>
      </c>
      <c r="B5" s="27"/>
      <c r="C5" s="11"/>
    </row>
    <row r="6" ht="18" customHeight="1" spans="1:3">
      <c r="A6" s="9">
        <v>6</v>
      </c>
      <c r="B6" s="27">
        <f>ROUND(566175,0)</f>
        <v>566175</v>
      </c>
      <c r="C6" s="11">
        <f>ROUND(5,1)</f>
        <v>5</v>
      </c>
    </row>
    <row r="7" spans="1:3">
      <c r="A7" s="9">
        <v>7</v>
      </c>
      <c r="B7" s="27">
        <f>ROUND(663904,0)</f>
        <v>663904</v>
      </c>
      <c r="C7" s="11">
        <f>ROUND(7.7,1)</f>
        <v>7.7</v>
      </c>
    </row>
    <row r="8" spans="1:3">
      <c r="A8" s="9">
        <v>8</v>
      </c>
      <c r="B8" s="27">
        <f>ROUND(735390,0)</f>
        <v>735390</v>
      </c>
      <c r="C8" s="11">
        <f>ROUND(7.7,1)</f>
        <v>7.7</v>
      </c>
    </row>
    <row r="9" spans="1:3">
      <c r="A9" s="9">
        <v>9</v>
      </c>
      <c r="B9" s="27">
        <f>ROUND(815736,0)</f>
        <v>815736</v>
      </c>
      <c r="C9" s="29">
        <f>ROUND(7.2,1)</f>
        <v>7.2</v>
      </c>
    </row>
    <row r="10" spans="1:3">
      <c r="A10" s="9">
        <v>10</v>
      </c>
      <c r="B10" s="27">
        <f>ROUND(894414,0)</f>
        <v>894414</v>
      </c>
      <c r="C10" s="29">
        <f>ROUND(7.36088408731323,1)</f>
        <v>7.4</v>
      </c>
    </row>
    <row r="11" spans="1:3">
      <c r="A11" s="9">
        <v>11</v>
      </c>
      <c r="B11" s="27">
        <f>ROUND(966337,0)</f>
        <v>966337</v>
      </c>
      <c r="C11" s="30">
        <f>ROUND(3.8,1)</f>
        <v>3.8</v>
      </c>
    </row>
    <row r="12" spans="1:3">
      <c r="A12" s="9">
        <v>12</v>
      </c>
      <c r="B12" s="27">
        <f>ROUND(1129375,0)</f>
        <v>1129375</v>
      </c>
      <c r="C12" s="30">
        <f>ROUND(-4.8,1)</f>
        <v>-4.8</v>
      </c>
    </row>
    <row r="13" spans="1:3">
      <c r="A13" s="9">
        <v>2017</v>
      </c>
      <c r="B13" s="27"/>
      <c r="C13" s="30"/>
    </row>
    <row r="14" spans="1:3">
      <c r="A14" s="9">
        <v>2</v>
      </c>
      <c r="B14" s="27">
        <f>ROUND(168865,0)</f>
        <v>168865</v>
      </c>
      <c r="C14" s="30">
        <f>ROUND(21.3,1)</f>
        <v>21.3</v>
      </c>
    </row>
    <row r="15" spans="1:3">
      <c r="A15" s="9">
        <v>3</v>
      </c>
      <c r="B15" s="27">
        <f>ROUND(248142,0)</f>
        <v>248142</v>
      </c>
      <c r="C15" s="30">
        <f>ROUND(15.8466028595928,1)</f>
        <v>15.8</v>
      </c>
    </row>
    <row r="16" spans="1:3">
      <c r="A16" s="9">
        <v>4</v>
      </c>
      <c r="B16" s="27">
        <f>ROUND(325815,0)</f>
        <v>325815</v>
      </c>
      <c r="C16" s="30">
        <v>7.38333558548909</v>
      </c>
    </row>
    <row r="17" spans="1:3">
      <c r="A17" s="9">
        <v>5</v>
      </c>
      <c r="B17" s="27">
        <f>ROUND(401635,0)</f>
        <v>401635</v>
      </c>
      <c r="C17" s="30">
        <f>ROUND(2.1,1)</f>
        <v>2.1</v>
      </c>
    </row>
    <row r="18" spans="1:3">
      <c r="A18" s="9">
        <v>6</v>
      </c>
      <c r="B18" s="27">
        <f>ROUND(583819,0)</f>
        <v>583819</v>
      </c>
      <c r="C18" s="30">
        <f>ROUND(6.8,1)</f>
        <v>6.8</v>
      </c>
    </row>
    <row r="19" spans="1:3">
      <c r="A19" s="9">
        <v>7</v>
      </c>
      <c r="B19" s="27">
        <f>ROUND(672492,0)</f>
        <v>672492</v>
      </c>
      <c r="C19" s="30">
        <f>ROUND(4.4,1)</f>
        <v>4.4</v>
      </c>
    </row>
    <row r="20" spans="1:3">
      <c r="A20" s="31">
        <v>8</v>
      </c>
      <c r="B20" s="27">
        <f>ROUND(745911,0)</f>
        <v>745911</v>
      </c>
      <c r="C20" s="32">
        <f>ROUND(4.2,1)</f>
        <v>4.2</v>
      </c>
    </row>
    <row r="21" spans="1:3">
      <c r="A21" s="31">
        <v>9</v>
      </c>
      <c r="B21" s="27">
        <f>ROUND(869421,0)</f>
        <v>869421</v>
      </c>
      <c r="C21" s="32">
        <f>ROUND(9.22031343236707,1)</f>
        <v>9.2</v>
      </c>
    </row>
    <row r="22" spans="1:3">
      <c r="A22" s="15">
        <v>10</v>
      </c>
      <c r="B22" s="40">
        <f>ROUND(1196191,0)</f>
        <v>1196191</v>
      </c>
      <c r="C22" s="17">
        <f>ROUND(36.8,1)</f>
        <v>36.8</v>
      </c>
    </row>
    <row r="23" spans="1:3">
      <c r="A23" s="15">
        <v>11</v>
      </c>
      <c r="B23" s="40">
        <f>ROUND(1260850,0)</f>
        <v>1260850</v>
      </c>
      <c r="C23" s="34">
        <f>ROUND(32.3884093336007,1)</f>
        <v>32.4</v>
      </c>
    </row>
    <row r="24" spans="1:3">
      <c r="A24" s="15">
        <v>12</v>
      </c>
      <c r="B24" s="40">
        <f>ROUND(1349958,0)</f>
        <v>1349958</v>
      </c>
      <c r="C24" s="34">
        <f>ROUND(21.0263352533788,1)</f>
        <v>21</v>
      </c>
    </row>
    <row r="25" spans="1:3">
      <c r="A25" s="15">
        <v>2018</v>
      </c>
      <c r="B25" s="16"/>
      <c r="C25" s="17"/>
    </row>
    <row r="26" spans="1:3">
      <c r="A26" s="15">
        <v>1</v>
      </c>
      <c r="B26" s="16">
        <f>ROUND(131471,0)</f>
        <v>131471</v>
      </c>
      <c r="C26" s="34">
        <f>ROUND(33.4500644558807,1)</f>
        <v>33.5</v>
      </c>
    </row>
    <row r="27" spans="1:3">
      <c r="A27" s="15">
        <v>2</v>
      </c>
      <c r="B27" s="16">
        <f>ROUND(222479,0)</f>
        <v>222479</v>
      </c>
      <c r="C27" s="34">
        <f>ROUND(31.7496224794955,1)</f>
        <v>31.7</v>
      </c>
    </row>
    <row r="28" spans="1:3">
      <c r="A28" s="15">
        <v>3</v>
      </c>
      <c r="B28" s="16">
        <f>ROUND(302572,0)</f>
        <v>302572</v>
      </c>
      <c r="C28" s="34">
        <f>ROUND(21.9350210766416,1)</f>
        <v>21.9</v>
      </c>
    </row>
    <row r="29" spans="1:3">
      <c r="A29" s="15">
        <v>4</v>
      </c>
      <c r="B29" s="41">
        <f>ROUND(403634,0)</f>
        <v>403634</v>
      </c>
      <c r="C29" s="21">
        <f>ROUND(23.9,1)</f>
        <v>23.9</v>
      </c>
    </row>
    <row r="30" spans="1:3">
      <c r="A30" s="15">
        <v>5</v>
      </c>
      <c r="B30" s="41">
        <v>499011</v>
      </c>
      <c r="C30" s="21">
        <v>24.2448989754379</v>
      </c>
    </row>
    <row r="31" spans="1:3">
      <c r="A31" s="22">
        <v>6</v>
      </c>
      <c r="B31" s="42">
        <v>647923</v>
      </c>
      <c r="C31" s="24">
        <v>11</v>
      </c>
    </row>
  </sheetData>
  <mergeCells count="3">
    <mergeCell ref="A1:C1"/>
    <mergeCell ref="B3:C3"/>
    <mergeCell ref="A3:A4"/>
  </mergeCells>
  <printOptions horizontalCentered="1"/>
  <pageMargins left="0.75" right="0.75" top="0.98" bottom="0.98" header="0.51" footer="0.51"/>
  <pageSetup paperSize="9" orientation="portrait" horizontalDpi="600"/>
  <headerFooter alignWithMargins="0" scaleWithDoc="0"/>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C30"/>
  <sheetViews>
    <sheetView workbookViewId="0">
      <selection activeCell="X19" sqref="X19"/>
    </sheetView>
  </sheetViews>
  <sheetFormatPr defaultColWidth="9" defaultRowHeight="14.25" outlineLevelCol="2"/>
  <cols>
    <col min="1" max="1" width="14.375" customWidth="1"/>
    <col min="2" max="2" width="26.875" customWidth="1"/>
    <col min="3" max="3" width="18.875" customWidth="1"/>
  </cols>
  <sheetData>
    <row r="1" spans="1:3">
      <c r="A1" t="s">
        <v>500</v>
      </c>
    </row>
    <row r="2" ht="24.75" spans="1:3">
      <c r="A2" s="25"/>
      <c r="B2" s="25"/>
      <c r="C2" s="26" t="s">
        <v>501</v>
      </c>
    </row>
    <row r="3" ht="32.1" customHeight="1" spans="1:3">
      <c r="A3" t="s">
        <v>490</v>
      </c>
      <c r="B3" t="s">
        <v>502</v>
      </c>
    </row>
    <row r="4" ht="32.1" customHeight="1" spans="1:3">
      <c r="B4" s="7" t="s">
        <v>491</v>
      </c>
      <c r="C4" s="8" t="s">
        <v>492</v>
      </c>
    </row>
    <row r="5" ht="18" customHeight="1" spans="1:3">
      <c r="A5" s="9">
        <v>2016</v>
      </c>
      <c r="B5" s="27"/>
      <c r="C5" s="11"/>
    </row>
    <row r="6" ht="18" customHeight="1" spans="1:3">
      <c r="A6" s="9">
        <v>6</v>
      </c>
      <c r="B6" s="28">
        <f>ROUND(38.78,2)</f>
        <v>38.78</v>
      </c>
      <c r="C6" s="11">
        <f>ROUND(31.4,1)</f>
        <v>31.4</v>
      </c>
    </row>
    <row r="7" spans="1:3">
      <c r="A7" s="9">
        <v>7</v>
      </c>
      <c r="B7" s="28">
        <f>ROUND(49.38,2)</f>
        <v>49.38</v>
      </c>
      <c r="C7" s="11">
        <f>ROUND(44.3,1)</f>
        <v>44.3</v>
      </c>
    </row>
    <row r="8" spans="1:3">
      <c r="A8" s="9">
        <v>8</v>
      </c>
      <c r="B8" s="28">
        <f>ROUND(56,2)</f>
        <v>56</v>
      </c>
      <c r="C8" s="11">
        <f>ROUND(41.9,1)</f>
        <v>41.9</v>
      </c>
    </row>
    <row r="9" spans="1:3">
      <c r="A9" s="9">
        <v>9</v>
      </c>
      <c r="B9" s="28">
        <f>ROUND(64.1,2)</f>
        <v>64.1</v>
      </c>
      <c r="C9" s="29">
        <f>ROUND(44.1,1)</f>
        <v>44.1</v>
      </c>
    </row>
    <row r="10" spans="1:3">
      <c r="A10" s="9">
        <v>10</v>
      </c>
      <c r="B10" s="28">
        <f>ROUND(72.32,2)</f>
        <v>72.32</v>
      </c>
      <c r="C10" s="29">
        <f>ROUND(47.3,1)</f>
        <v>47.3</v>
      </c>
    </row>
    <row r="11" spans="1:3">
      <c r="A11" s="9">
        <v>11</v>
      </c>
      <c r="B11" s="28">
        <f>ROUND(80.75,2)</f>
        <v>80.75</v>
      </c>
      <c r="C11" s="30">
        <f>ROUND(52,1)</f>
        <v>52</v>
      </c>
    </row>
    <row r="12" spans="1:3">
      <c r="A12" s="9">
        <v>12</v>
      </c>
      <c r="B12" s="28">
        <f>ROUND(89.4,2)</f>
        <v>89.4</v>
      </c>
      <c r="C12" s="30">
        <f>ROUND(52.9,1)</f>
        <v>52.9</v>
      </c>
    </row>
    <row r="13" spans="1:3">
      <c r="A13" s="9">
        <v>2017</v>
      </c>
      <c r="B13" s="28"/>
      <c r="C13" s="30"/>
    </row>
    <row r="14" spans="1:3">
      <c r="A14" s="9">
        <v>2</v>
      </c>
      <c r="B14" s="28">
        <f>ROUND(19.95,2)</f>
        <v>19.95</v>
      </c>
      <c r="C14" s="30">
        <f>ROUND(49.7,1)</f>
        <v>49.7</v>
      </c>
    </row>
    <row r="15" spans="1:3">
      <c r="A15" s="9">
        <v>3</v>
      </c>
      <c r="B15" s="28">
        <f>ROUND(25.02,2)</f>
        <v>25.02</v>
      </c>
      <c r="C15" s="30">
        <f>ROUND(66.7,1)</f>
        <v>66.7</v>
      </c>
    </row>
    <row r="16" spans="1:3">
      <c r="A16" s="9">
        <v>4</v>
      </c>
      <c r="B16" s="28">
        <f>ROUND(34.86,2)</f>
        <v>34.86</v>
      </c>
      <c r="C16" s="30">
        <f>ROUND(55.8,1)</f>
        <v>55.8</v>
      </c>
    </row>
    <row r="17" spans="1:3">
      <c r="A17" s="9">
        <v>5</v>
      </c>
      <c r="B17" s="28">
        <f>ROUND(44.18,2)</f>
        <v>44.18</v>
      </c>
      <c r="C17" s="30">
        <f>ROUND(47.1,1)</f>
        <v>47.1</v>
      </c>
    </row>
    <row r="18" spans="1:3">
      <c r="A18" s="9">
        <v>6</v>
      </c>
      <c r="B18" s="28">
        <f>ROUND(54.94,2)</f>
        <v>54.94</v>
      </c>
      <c r="C18" s="30">
        <f>ROUND(41.7,1)</f>
        <v>41.7</v>
      </c>
    </row>
    <row r="19" spans="1:3">
      <c r="A19" s="9">
        <v>7</v>
      </c>
      <c r="B19" s="28">
        <f>ROUND(64.67,2)</f>
        <v>64.67</v>
      </c>
      <c r="C19" s="30">
        <f>ROUND(35.8,1)</f>
        <v>35.8</v>
      </c>
    </row>
    <row r="20" spans="1:3">
      <c r="A20" s="31">
        <v>8</v>
      </c>
      <c r="B20" s="28">
        <f>ROUND(75.46,2)</f>
        <v>75.46</v>
      </c>
      <c r="C20" s="32">
        <f>ROUND(34.8,1)</f>
        <v>34.8</v>
      </c>
    </row>
    <row r="21" spans="1:3">
      <c r="A21" s="31">
        <v>9</v>
      </c>
      <c r="B21" s="28">
        <f>ROUND(85.67,2)</f>
        <v>85.67</v>
      </c>
      <c r="C21" s="32">
        <f>ROUND(33.7,1)</f>
        <v>33.7</v>
      </c>
    </row>
    <row r="22" spans="1:3">
      <c r="A22" s="15">
        <v>10</v>
      </c>
      <c r="B22" s="33">
        <f>ROUND(93.88,2)</f>
        <v>93.88</v>
      </c>
      <c r="C22" s="17">
        <f>ROUND(29.8,1)</f>
        <v>29.8</v>
      </c>
    </row>
    <row r="23" spans="1:3">
      <c r="A23" s="15">
        <v>11</v>
      </c>
      <c r="B23" s="33">
        <f>ROUND(102.83,2)</f>
        <v>102.83</v>
      </c>
      <c r="C23" s="34">
        <f>ROUND(27.4,1)</f>
        <v>27.4</v>
      </c>
    </row>
    <row r="24" spans="1:3">
      <c r="A24" s="15">
        <v>12</v>
      </c>
      <c r="B24" s="33">
        <f>ROUND(112.45,2)</f>
        <v>112.45</v>
      </c>
      <c r="C24" s="34">
        <f>ROUND(25.8,1)</f>
        <v>25.8</v>
      </c>
    </row>
    <row r="25" spans="1:3">
      <c r="A25" s="15">
        <v>2018</v>
      </c>
      <c r="B25" s="35"/>
      <c r="C25" s="17"/>
    </row>
    <row r="26" spans="1:3">
      <c r="A26" s="15">
        <v>2</v>
      </c>
      <c r="B26" s="35">
        <f>ROUND(17.26707351,2)</f>
        <v>17.27</v>
      </c>
      <c r="C26" s="34">
        <f>ROUND(6.31,1)</f>
        <v>6.3</v>
      </c>
    </row>
    <row r="27" spans="1:3">
      <c r="A27" s="15">
        <v>3</v>
      </c>
      <c r="B27" s="35">
        <f>ROUND(26.96,2)</f>
        <v>26.96</v>
      </c>
      <c r="C27" s="34">
        <f>ROUND(6.1,1)</f>
        <v>6.1</v>
      </c>
    </row>
    <row r="28" spans="1:3">
      <c r="A28" s="15">
        <v>4</v>
      </c>
      <c r="B28" s="28">
        <f>ROUND(374489.7976/10000,2)</f>
        <v>37.45</v>
      </c>
      <c r="C28" s="36">
        <f>ROUND(5.86,1)</f>
        <v>5.9</v>
      </c>
    </row>
    <row r="29" spans="1:3">
      <c r="A29" s="15">
        <v>5</v>
      </c>
      <c r="B29" s="28">
        <v>48.08</v>
      </c>
      <c r="C29" s="36">
        <v>9.1</v>
      </c>
    </row>
    <row r="30" spans="1:3">
      <c r="A30" s="22">
        <v>6</v>
      </c>
      <c r="B30" s="37">
        <v>58.99</v>
      </c>
      <c r="C30" s="38">
        <v>8.9</v>
      </c>
    </row>
  </sheetData>
  <mergeCells count="3">
    <mergeCell ref="A1:C1"/>
    <mergeCell ref="B3:C3"/>
    <mergeCell ref="A3:A4"/>
  </mergeCells>
  <printOptions horizontalCentered="1"/>
  <pageMargins left="0.75" right="0.75" top="0.98" bottom="0.98" header="0.51" footer="0.51"/>
  <pageSetup paperSize="9" orientation="portrait" horizontalDpi="600"/>
  <headerFooter alignWithMargins="0" scaleWithDoc="0"/>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IV31"/>
  <sheetViews>
    <sheetView topLeftCell="A10" workbookViewId="0">
      <selection activeCell="X19" sqref="X19"/>
    </sheetView>
  </sheetViews>
  <sheetFormatPr defaultColWidth="9" defaultRowHeight="12.75"/>
  <cols>
    <col min="1" max="1" width="14.125" style="2" customWidth="1"/>
    <col min="2" max="2" width="21.375" style="2" customWidth="1"/>
    <col min="3" max="3" width="17.375" style="2" customWidth="1"/>
    <col min="4" max="16384" width="9" style="2"/>
  </cols>
  <sheetData>
    <row r="1" ht="24" customHeight="1" spans="1:256">
      <c r="A1" s="3" t="s">
        <v>407</v>
      </c>
      <c r="B1" s="3"/>
      <c r="C1" s="3"/>
    </row>
    <row r="2" ht="24" customHeight="1" spans="1:256">
      <c r="A2" s="4"/>
      <c r="B2" s="5"/>
      <c r="C2" s="6" t="s">
        <v>503</v>
      </c>
    </row>
    <row r="3" s="1" customFormat="1" ht="32.25" customHeight="1" spans="1:256">
      <c r="A3" t="s">
        <v>490</v>
      </c>
      <c r="B3" t="s">
        <v>407</v>
      </c>
      <c r="C3"/>
    </row>
    <row r="4" s="1" customFormat="1" ht="32.25" customHeight="1" spans="1:256">
      <c r="A4">
        <v>2009</v>
      </c>
      <c r="B4" s="7" t="s">
        <v>504</v>
      </c>
      <c r="C4" s="8" t="s">
        <v>505</v>
      </c>
    </row>
    <row r="5" s="1" customFormat="1" ht="20.1" customHeight="1" spans="1:256">
      <c r="A5" s="9">
        <v>2016</v>
      </c>
      <c r="B5" s="10"/>
      <c r="C5" s="11"/>
    </row>
    <row r="6" s="1" customFormat="1" ht="20.1" customHeight="1" spans="1:256">
      <c r="A6" s="9">
        <v>6</v>
      </c>
      <c r="B6" s="10">
        <f>ROUND(102.3,1)</f>
        <v>102.3</v>
      </c>
      <c r="C6" s="11">
        <f>ROUND(102.7,1)</f>
        <v>102.7</v>
      </c>
    </row>
    <row r="7" s="1" customFormat="1" ht="20.1" customHeight="1" spans="1:256">
      <c r="A7" s="9">
        <v>7</v>
      </c>
      <c r="B7" s="10">
        <f>ROUND(102.1,1)</f>
        <v>102.1</v>
      </c>
      <c r="C7" s="11">
        <f>ROUND(102.6,1)</f>
        <v>102.6</v>
      </c>
    </row>
    <row r="8" s="1" customFormat="1" ht="20.1" customHeight="1" spans="1:256">
      <c r="A8" s="9">
        <v>8</v>
      </c>
      <c r="B8" s="10">
        <f>ROUND(101.4,1)</f>
        <v>101.4</v>
      </c>
      <c r="C8" s="11">
        <f>ROUND(102.5,1)</f>
        <v>102.5</v>
      </c>
    </row>
    <row r="9" s="1" customFormat="1" ht="14.45" customHeight="1" spans="1:256">
      <c r="A9" s="9">
        <v>9</v>
      </c>
      <c r="B9" s="10">
        <f>ROUND(101.82067344,1)</f>
        <v>101.8</v>
      </c>
      <c r="C9" s="11">
        <f>ROUND(102.40761463,1)</f>
        <v>102.4</v>
      </c>
    </row>
    <row r="10" s="1" customFormat="1" ht="14.45" customHeight="1" spans="1:256">
      <c r="A10" s="9">
        <v>10</v>
      </c>
      <c r="B10" s="10">
        <f>ROUND(101.32746357,1)</f>
        <v>101.3</v>
      </c>
      <c r="C10" s="11">
        <f>ROUND(102.29864677,1)</f>
        <v>102.3</v>
      </c>
    </row>
    <row r="11" s="1" customFormat="1" ht="14.45" customHeight="1" spans="1:256">
      <c r="A11" s="9">
        <v>11</v>
      </c>
      <c r="B11" s="10">
        <f>ROUND(102.2,1)</f>
        <v>102.2</v>
      </c>
      <c r="C11" s="11">
        <f>ROUND(102.29864677,1)</f>
        <v>102.3</v>
      </c>
    </row>
    <row r="12" ht="14.25" spans="1:256">
      <c r="A12" s="12">
        <v>12</v>
      </c>
      <c r="B12" s="10">
        <f>ROUND(101.4,1)</f>
        <v>101.4</v>
      </c>
      <c r="C12" s="11">
        <f>ROUND(102.2,1)</f>
        <v>102.2</v>
      </c>
    </row>
    <row r="13" ht="14.25" spans="1:256">
      <c r="A13" s="12">
        <v>2017</v>
      </c>
      <c r="B13" s="10"/>
      <c r="C13" s="11"/>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ht="14.25" spans="1:256">
      <c r="A14" s="12">
        <v>2</v>
      </c>
      <c r="B14" s="10">
        <f>ROUND(99.8,1)</f>
        <v>99.8</v>
      </c>
      <c r="C14" s="11">
        <f>ROUND(101.1,1)</f>
        <v>101.1</v>
      </c>
      <c r="D14"/>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ht="14.25" spans="1:256">
      <c r="A15" s="12">
        <v>3</v>
      </c>
      <c r="B15" s="10">
        <f>ROUND(100.57911031,1)</f>
        <v>100.6</v>
      </c>
      <c r="C15" s="11">
        <f>ROUND(100.95612843,1)</f>
        <v>101</v>
      </c>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ht="14.25" spans="1:256">
      <c r="A16" s="12">
        <v>4</v>
      </c>
      <c r="B16" s="10">
        <f>ROUND(101,1)</f>
        <v>101</v>
      </c>
      <c r="C16" s="11">
        <f>ROUND(100.95612843,1)</f>
        <v>101</v>
      </c>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ht="14.25" spans="1:256">
      <c r="A17" s="12">
        <v>5</v>
      </c>
      <c r="B17" s="10">
        <f>ROUND(101.5,1)</f>
        <v>101.5</v>
      </c>
      <c r="C17" s="11">
        <f>ROUND(101.1,1)</f>
        <v>101.1</v>
      </c>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ht="14.25" spans="1:256">
      <c r="A18" s="12">
        <v>6</v>
      </c>
      <c r="B18" s="10">
        <f>ROUND(101.1,1)</f>
        <v>101.1</v>
      </c>
      <c r="C18" s="11">
        <f>ROUND(101.1,1)</f>
        <v>101.1</v>
      </c>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ht="14.25" spans="1:256">
      <c r="A19" s="12">
        <v>7</v>
      </c>
      <c r="B19" s="10">
        <f>ROUND(101.62395255,1)</f>
        <v>101.6</v>
      </c>
      <c r="C19" s="11">
        <f>ROUND(101.16440126,1)</f>
        <v>101.2</v>
      </c>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ht="14.25" spans="1:256">
      <c r="A20" s="13">
        <v>8</v>
      </c>
      <c r="B20" s="10">
        <f>ROUND(101.91687646,1)</f>
        <v>101.9</v>
      </c>
      <c r="C20" s="14">
        <f>ROUND(101.25801138,1)</f>
        <v>101.3</v>
      </c>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ht="14.25" spans="1:256">
      <c r="A21" s="12">
        <v>9</v>
      </c>
      <c r="B21" s="10">
        <f>ROUND(101.03765598,1)</f>
        <v>101</v>
      </c>
      <c r="C21" s="14">
        <f>ROUND(101.23346012,1)</f>
        <v>101.2</v>
      </c>
    </row>
    <row r="22" ht="14.25" spans="1:256">
      <c r="A22" s="12">
        <v>10</v>
      </c>
      <c r="B22" s="10">
        <f>ROUND(101.8,1)</f>
        <v>101.8</v>
      </c>
      <c r="C22" s="14">
        <f>ROUND(101.3,1)</f>
        <v>101.3</v>
      </c>
    </row>
    <row r="23" ht="14.25" spans="1:256">
      <c r="A23" s="12">
        <v>11</v>
      </c>
      <c r="B23" s="10">
        <f>ROUND(101.32934401,1)</f>
        <v>101.3</v>
      </c>
      <c r="C23" s="14">
        <f>ROUND(101.29138171,1)</f>
        <v>101.3</v>
      </c>
    </row>
    <row r="24" ht="14.25" spans="1:256">
      <c r="A24" s="12">
        <v>12</v>
      </c>
      <c r="B24" s="10">
        <f>ROUND(101.93633331,1)</f>
        <v>101.9</v>
      </c>
      <c r="C24" s="14">
        <f>ROUND(101.34501843,1)</f>
        <v>101.3</v>
      </c>
    </row>
    <row r="25" ht="14.25" spans="1:256">
      <c r="A25" s="15">
        <v>2018</v>
      </c>
      <c r="B25" s="16"/>
      <c r="C25" s="17"/>
    </row>
    <row r="26" ht="14.25" spans="1:256">
      <c r="A26" s="15">
        <v>1</v>
      </c>
      <c r="B26" s="10">
        <f>ROUND(100.4833835,1)</f>
        <v>100.5</v>
      </c>
      <c r="C26" s="14">
        <f>ROUND(100.4833835,1)</f>
        <v>100.5</v>
      </c>
    </row>
    <row r="27" ht="14.25" spans="1:256">
      <c r="A27" s="15">
        <v>2</v>
      </c>
      <c r="B27" s="18">
        <f>ROUND(102.58323309,1)</f>
        <v>102.6</v>
      </c>
      <c r="C27" s="19">
        <f>ROUND(101.53370061,1)</f>
        <v>101.5</v>
      </c>
    </row>
    <row r="28" ht="14.25" spans="1:256">
      <c r="A28" s="15">
        <v>3</v>
      </c>
      <c r="B28" s="10">
        <f>ROUND(101.8,1)</f>
        <v>101.8</v>
      </c>
      <c r="C28" s="19">
        <f>ROUND(101.6,1)</f>
        <v>101.6</v>
      </c>
    </row>
    <row r="29" ht="14.25" spans="1:256">
      <c r="A29" s="15">
        <v>4</v>
      </c>
      <c r="B29" s="20">
        <f>ROUND(101,1)</f>
        <v>101</v>
      </c>
      <c r="C29" s="21">
        <f>ROUND(101.45789835,1)</f>
        <v>101.5</v>
      </c>
    </row>
    <row r="30" customFormat="1" ht="14.25" spans="1:256">
      <c r="A30" s="15">
        <v>5</v>
      </c>
      <c r="B30" s="20">
        <v>100.63043043</v>
      </c>
      <c r="C30" s="21">
        <v>101.29245659</v>
      </c>
    </row>
    <row r="31" ht="14.25" spans="1:256">
      <c r="A31" s="22">
        <v>6</v>
      </c>
      <c r="B31" s="23">
        <v>101.2</v>
      </c>
      <c r="C31" s="24">
        <v>101.27416779</v>
      </c>
    </row>
  </sheetData>
  <mergeCells count="3">
    <mergeCell ref="A1:C1"/>
    <mergeCell ref="B3:C3"/>
    <mergeCell ref="A3:A4"/>
  </mergeCells>
  <pageMargins left="0.75" right="0.75" top="1" bottom="1" header="0.5" footer="0.5"/>
  <pageSetup paperSize="9" orientation="portrait" horizont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
  <sheetViews>
    <sheetView zoomScale="90" zoomScaleNormal="90" workbookViewId="0">
      <selection activeCell="F6" sqref="F6:F16"/>
    </sheetView>
  </sheetViews>
  <sheetFormatPr defaultColWidth="9" defaultRowHeight="14.25"/>
  <cols>
    <col min="1" max="1" width="12.1416666666667" style="307" customWidth="1"/>
    <col min="2" max="2" width="11.25" style="307" customWidth="1"/>
    <col min="3" max="3" width="9.5" style="307" customWidth="1"/>
    <col min="4" max="4" width="11.25" style="307" customWidth="1"/>
    <col min="5" max="5" width="9.5" style="307" customWidth="1"/>
    <col min="6" max="6" width="11.25" style="307" customWidth="1"/>
    <col min="7" max="7" width="9.5" style="307" customWidth="1"/>
    <col min="8" max="8" width="11.25" style="307" customWidth="1"/>
    <col min="9" max="9" width="9.5" style="307" customWidth="1"/>
    <col min="10" max="10" width="11.25" style="307" customWidth="1"/>
    <col min="11" max="11" width="9.5" style="307" customWidth="1"/>
    <col min="12" max="16384" width="9" style="307"/>
  </cols>
  <sheetData>
    <row r="1" s="307" customFormat="1" ht="21" customHeight="1" spans="1:12">
      <c r="A1" s="308" t="s">
        <v>81</v>
      </c>
      <c r="B1" s="308"/>
      <c r="C1" s="308"/>
      <c r="D1" s="308"/>
      <c r="E1" s="308"/>
      <c r="F1" s="308"/>
      <c r="G1" s="308"/>
      <c r="H1" s="308"/>
      <c r="I1" s="308"/>
      <c r="J1" s="308"/>
      <c r="K1" s="308"/>
    </row>
    <row r="2" s="307" customFormat="1" ht="23.1" customHeight="1" spans="1:12">
      <c r="A2" s="309"/>
      <c r="B2" s="309"/>
      <c r="C2" s="309"/>
      <c r="D2" s="309"/>
      <c r="E2" s="309"/>
      <c r="F2" s="309"/>
      <c r="G2" s="309"/>
      <c r="H2" s="309"/>
      <c r="I2" s="309"/>
      <c r="J2" s="309"/>
      <c r="K2" s="309"/>
    </row>
    <row r="3" s="307" customFormat="1" customHeight="1" spans="1:12">
      <c r="A3" s="310"/>
      <c r="B3" s="311" t="s">
        <v>82</v>
      </c>
      <c r="C3" s="311"/>
      <c r="D3" s="312" t="s">
        <v>83</v>
      </c>
      <c r="E3" s="310"/>
      <c r="F3" s="311" t="s">
        <v>84</v>
      </c>
      <c r="G3" s="311"/>
      <c r="H3" s="312" t="s">
        <v>85</v>
      </c>
      <c r="I3" s="311"/>
      <c r="J3" s="312" t="s">
        <v>86</v>
      </c>
      <c r="K3" s="311"/>
    </row>
    <row r="4" s="307" customFormat="1" ht="21" customHeight="1" spans="1:12">
      <c r="A4" s="313"/>
      <c r="B4" s="314"/>
      <c r="C4" s="314"/>
      <c r="D4" s="315"/>
      <c r="E4" s="316"/>
      <c r="F4" s="317"/>
      <c r="G4" s="317"/>
      <c r="H4" s="315"/>
      <c r="I4" s="317"/>
      <c r="J4" s="315"/>
      <c r="K4" s="317"/>
    </row>
    <row r="5" s="307" customFormat="1" ht="30" customHeight="1" spans="1:12">
      <c r="A5" s="316"/>
      <c r="B5" s="318" t="s">
        <v>87</v>
      </c>
      <c r="C5" s="318" t="s">
        <v>88</v>
      </c>
      <c r="D5" s="318" t="s">
        <v>87</v>
      </c>
      <c r="E5" s="318" t="s">
        <v>88</v>
      </c>
      <c r="F5" s="318" t="s">
        <v>87</v>
      </c>
      <c r="G5" s="318" t="s">
        <v>88</v>
      </c>
      <c r="H5" s="318" t="s">
        <v>87</v>
      </c>
      <c r="I5" s="318" t="s">
        <v>88</v>
      </c>
      <c r="J5" s="318" t="s">
        <v>87</v>
      </c>
      <c r="K5" s="319" t="s">
        <v>88</v>
      </c>
    </row>
    <row r="6" s="307" customFormat="1" ht="25.5" customHeight="1" spans="1:12">
      <c r="A6" s="320" t="s">
        <v>89</v>
      </c>
      <c r="B6" s="321">
        <v>2815.34660119786</v>
      </c>
      <c r="C6" s="322">
        <v>4.95906235413757</v>
      </c>
      <c r="D6" s="321"/>
      <c r="E6" s="322">
        <v>10.5</v>
      </c>
      <c r="F6" s="321"/>
      <c r="G6" s="322">
        <v>-11.3</v>
      </c>
      <c r="H6" s="321">
        <v>1486.47006</v>
      </c>
      <c r="I6" s="322">
        <v>3.14</v>
      </c>
      <c r="J6" s="321">
        <v>191.2846</v>
      </c>
      <c r="K6" s="323">
        <v>6.41368283954555</v>
      </c>
      <c r="L6" s="324"/>
    </row>
    <row r="7" s="307" customFormat="1" ht="27.95" customHeight="1" spans="1:12">
      <c r="A7" s="320" t="s">
        <v>90</v>
      </c>
      <c r="B7" s="321">
        <v>267.311502879741</v>
      </c>
      <c r="C7" s="322">
        <v>2.82957450368045</v>
      </c>
      <c r="D7" s="321"/>
      <c r="E7" s="322">
        <v>1.7</v>
      </c>
      <c r="F7" s="321"/>
      <c r="G7" s="322">
        <v>-20</v>
      </c>
      <c r="H7" s="321">
        <v>233.57058</v>
      </c>
      <c r="I7" s="322">
        <v>0.06</v>
      </c>
      <c r="J7" s="321">
        <v>7.3156</v>
      </c>
      <c r="K7" s="323">
        <v>-24.3096133702439</v>
      </c>
    </row>
    <row r="8" s="307" customFormat="1" ht="27.95" customHeight="1" spans="1:12">
      <c r="A8" s="320" t="s">
        <v>91</v>
      </c>
      <c r="B8" s="321">
        <v>348.073369234074</v>
      </c>
      <c r="C8" s="322">
        <v>3.95119130195785</v>
      </c>
      <c r="D8" s="321"/>
      <c r="E8" s="322">
        <v>-3.5</v>
      </c>
      <c r="F8" s="321"/>
      <c r="G8" s="322">
        <v>20.9</v>
      </c>
      <c r="H8" s="321">
        <v>262.5647</v>
      </c>
      <c r="I8" s="322">
        <v>10.74</v>
      </c>
      <c r="J8" s="321">
        <v>10.8614</v>
      </c>
      <c r="K8" s="323">
        <v>-12.3643032068917</v>
      </c>
    </row>
    <row r="9" s="307" customFormat="1" ht="27.95" customHeight="1" spans="1:12">
      <c r="A9" s="320" t="s">
        <v>92</v>
      </c>
      <c r="B9" s="321">
        <v>331.228410329873</v>
      </c>
      <c r="C9" s="322">
        <v>9.62929017230411</v>
      </c>
      <c r="D9" s="321"/>
      <c r="E9" s="322">
        <v>24.1</v>
      </c>
      <c r="F9" s="321"/>
      <c r="G9" s="322">
        <v>-0.4</v>
      </c>
      <c r="H9" s="321">
        <v>41.41964</v>
      </c>
      <c r="I9" s="322">
        <v>0.16</v>
      </c>
      <c r="J9" s="321">
        <v>5.8116</v>
      </c>
      <c r="K9" s="323">
        <v>19.6951690530525</v>
      </c>
    </row>
    <row r="10" s="307" customFormat="1" ht="27.95" customHeight="1" spans="1:12">
      <c r="A10" s="320" t="s">
        <v>93</v>
      </c>
      <c r="B10" s="321">
        <v>152.081001653664</v>
      </c>
      <c r="C10" s="322">
        <v>0.187322114574101</v>
      </c>
      <c r="D10" s="321"/>
      <c r="E10" s="322">
        <v>-58.7</v>
      </c>
      <c r="F10" s="321"/>
      <c r="G10" s="322">
        <v>-8.7</v>
      </c>
      <c r="H10" s="321">
        <v>180.93335</v>
      </c>
      <c r="I10" s="322">
        <v>2.45</v>
      </c>
      <c r="J10" s="321">
        <v>5.6855</v>
      </c>
      <c r="K10" s="323">
        <v>3.50574156024506</v>
      </c>
    </row>
    <row r="11" s="307" customFormat="1" ht="27.95" customHeight="1" spans="1:12">
      <c r="A11" s="320" t="s">
        <v>94</v>
      </c>
      <c r="B11" s="321">
        <v>217.546945685493</v>
      </c>
      <c r="C11" s="322">
        <v>1.98598667044156</v>
      </c>
      <c r="D11" s="321"/>
      <c r="E11" s="322">
        <v>0.5</v>
      </c>
      <c r="F11" s="321"/>
      <c r="G11" s="322">
        <v>-13.5</v>
      </c>
      <c r="H11" s="321">
        <v>153.6199</v>
      </c>
      <c r="I11" s="322">
        <v>2.34</v>
      </c>
      <c r="J11" s="321">
        <v>9.9632</v>
      </c>
      <c r="K11" s="323">
        <v>-4.79302957157246</v>
      </c>
    </row>
    <row r="12" s="307" customFormat="1" ht="27.95" customHeight="1" spans="1:12">
      <c r="A12" s="320" t="s">
        <v>95</v>
      </c>
      <c r="B12" s="321">
        <v>186.732559337973</v>
      </c>
      <c r="C12" s="322">
        <v>4.98386958851798</v>
      </c>
      <c r="D12" s="321"/>
      <c r="E12" s="322">
        <v>1.7</v>
      </c>
      <c r="F12" s="321"/>
      <c r="G12" s="322">
        <v>9.7</v>
      </c>
      <c r="H12" s="321">
        <v>99.49922</v>
      </c>
      <c r="I12" s="322">
        <v>2.01</v>
      </c>
      <c r="J12" s="321">
        <v>7.9008</v>
      </c>
      <c r="K12" s="323">
        <v>-4.09345935066921</v>
      </c>
    </row>
    <row r="13" s="307" customFormat="1" ht="27.95" customHeight="1" spans="1:12">
      <c r="A13" s="320" t="s">
        <v>96</v>
      </c>
      <c r="B13" s="321">
        <v>286.790798940278</v>
      </c>
      <c r="C13" s="322">
        <v>6.81819371393684</v>
      </c>
      <c r="D13" s="321"/>
      <c r="E13" s="322">
        <v>75.3</v>
      </c>
      <c r="F13" s="321"/>
      <c r="G13" s="322">
        <v>-27.7</v>
      </c>
      <c r="H13" s="321">
        <v>165.29459</v>
      </c>
      <c r="I13" s="322">
        <v>1.47</v>
      </c>
      <c r="J13" s="321">
        <v>11.2035</v>
      </c>
      <c r="K13" s="323">
        <v>22.0528541640793</v>
      </c>
    </row>
    <row r="14" s="307" customFormat="1" ht="27.95" customHeight="1" spans="1:12">
      <c r="A14" s="325" t="s">
        <v>97</v>
      </c>
      <c r="B14" s="321">
        <v>296.660907493625</v>
      </c>
      <c r="C14" s="326">
        <v>4.98312746239775</v>
      </c>
      <c r="D14" s="321"/>
      <c r="E14" s="326">
        <v>3</v>
      </c>
      <c r="F14" s="321"/>
      <c r="G14" s="326">
        <v>-14.4</v>
      </c>
      <c r="H14" s="321">
        <v>138.63009</v>
      </c>
      <c r="I14" s="326">
        <v>2.07</v>
      </c>
      <c r="J14" s="321">
        <v>11.85</v>
      </c>
      <c r="K14" s="327">
        <v>-4.57584971783441</v>
      </c>
    </row>
    <row r="15" s="307" customFormat="1" ht="27.95" customHeight="1" spans="1:12">
      <c r="A15" s="325" t="s">
        <v>98</v>
      </c>
      <c r="B15" s="321">
        <v>398.64323023762</v>
      </c>
      <c r="C15" s="326">
        <v>1.95482202350689</v>
      </c>
      <c r="D15" s="321"/>
      <c r="E15" s="326">
        <v>-10.3</v>
      </c>
      <c r="F15" s="321"/>
      <c r="G15" s="326">
        <v>3.3</v>
      </c>
      <c r="H15" s="321">
        <v>210.93803</v>
      </c>
      <c r="I15" s="326">
        <v>2.07</v>
      </c>
      <c r="J15" s="321">
        <v>21.3186</v>
      </c>
      <c r="K15" s="327">
        <v>29.9954901042057</v>
      </c>
    </row>
    <row r="16" s="307" customFormat="1" ht="27.95" customHeight="1" spans="1:12">
      <c r="A16" s="328" t="s">
        <v>99</v>
      </c>
      <c r="B16" s="329">
        <v>558.543730799897</v>
      </c>
      <c r="C16" s="330">
        <v>8.64737715424992</v>
      </c>
      <c r="D16" s="331"/>
      <c r="E16" s="330">
        <v>10.2</v>
      </c>
      <c r="F16" s="331"/>
      <c r="G16" s="330">
        <v>-27.6</v>
      </c>
      <c r="H16" s="331">
        <v>131.54428</v>
      </c>
      <c r="I16" s="330">
        <v>4.55</v>
      </c>
      <c r="J16" s="331">
        <v>24.1824</v>
      </c>
      <c r="K16" s="332">
        <v>8.17625045314771</v>
      </c>
    </row>
    <row r="17" s="307" customFormat="1" ht="36" customHeight="1" spans="1:11">
      <c r="A17" s="333" t="s">
        <v>100</v>
      </c>
      <c r="B17" s="333"/>
      <c r="C17" s="333"/>
      <c r="D17" s="333"/>
      <c r="E17" s="333"/>
      <c r="F17" s="333"/>
      <c r="G17" s="333"/>
      <c r="H17" s="333"/>
      <c r="I17" s="333"/>
      <c r="J17" s="333"/>
      <c r="K17" s="333"/>
    </row>
  </sheetData>
  <mergeCells count="8">
    <mergeCell ref="A17:K17"/>
    <mergeCell ref="A3:A5"/>
    <mergeCell ref="B3:C4"/>
    <mergeCell ref="D3:E4"/>
    <mergeCell ref="F3:G4"/>
    <mergeCell ref="H3:I4"/>
    <mergeCell ref="J3:K4"/>
    <mergeCell ref="A1:K2"/>
  </mergeCells>
  <pageMargins left="0.75" right="0.75" top="1" bottom="1" header="0.5" footer="0.5"/>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J26"/>
  <sheetViews>
    <sheetView zoomScale="90" zoomScaleNormal="90" workbookViewId="0">
      <pane xSplit="2" ySplit="3" topLeftCell="C4" activePane="bottomRight" state="frozen"/>
      <selection/>
      <selection pane="topRight"/>
      <selection pane="bottomLeft"/>
      <selection pane="bottomRight" activeCell="E31" sqref="E31"/>
    </sheetView>
  </sheetViews>
  <sheetFormatPr defaultColWidth="9" defaultRowHeight="14.25"/>
  <cols>
    <col min="1" max="1" width="33.125" style="265" customWidth="1"/>
    <col min="2" max="8" width="9.625" style="265" customWidth="1"/>
    <col min="9" max="10" width="10.375" style="265"/>
    <col min="11" max="16384" width="9" style="265"/>
  </cols>
  <sheetData>
    <row r="1" ht="24.95" customHeight="1" spans="1:10">
      <c r="A1" s="135" t="s">
        <v>101</v>
      </c>
      <c r="B1" s="135"/>
      <c r="C1" s="135"/>
      <c r="D1" s="135"/>
      <c r="E1" s="135"/>
      <c r="F1" s="135"/>
      <c r="G1" s="135"/>
      <c r="H1" s="135"/>
      <c r="I1" s="135"/>
      <c r="J1" s="135"/>
    </row>
    <row r="2" s="294" customFormat="1" ht="21" customHeight="1" spans="1:10">
      <c r="A2" s="296" t="s">
        <v>1</v>
      </c>
      <c r="B2" s="297" t="s">
        <v>102</v>
      </c>
      <c r="C2" s="137" t="s">
        <v>3</v>
      </c>
      <c r="D2" s="138"/>
      <c r="E2" s="137" t="s">
        <v>5</v>
      </c>
      <c r="F2" s="138"/>
      <c r="G2" s="137" t="s">
        <v>8</v>
      </c>
      <c r="H2" s="138"/>
      <c r="I2" s="137" t="s">
        <v>11</v>
      </c>
      <c r="J2" s="138"/>
    </row>
    <row r="3" s="294" customFormat="1" ht="21" customHeight="1" spans="1:10">
      <c r="A3" s="298"/>
      <c r="B3" s="299"/>
      <c r="C3" s="140" t="s">
        <v>14</v>
      </c>
      <c r="D3" s="141" t="s">
        <v>15</v>
      </c>
      <c r="E3" s="140" t="s">
        <v>14</v>
      </c>
      <c r="F3" s="141" t="s">
        <v>15</v>
      </c>
      <c r="G3" s="140" t="s">
        <v>14</v>
      </c>
      <c r="H3" s="141" t="s">
        <v>15</v>
      </c>
      <c r="I3" s="140" t="s">
        <v>14</v>
      </c>
      <c r="J3" s="141" t="s">
        <v>15</v>
      </c>
    </row>
    <row r="4" s="295" customFormat="1" ht="24.95" customHeight="1" spans="1:10">
      <c r="A4" s="245" t="s">
        <v>103</v>
      </c>
      <c r="B4" s="246" t="s">
        <v>17</v>
      </c>
      <c r="C4" s="300">
        <v>1170.181648</v>
      </c>
      <c r="D4" s="301">
        <v>2.7</v>
      </c>
      <c r="E4" s="300">
        <v>244.15</v>
      </c>
      <c r="F4" s="301">
        <v>3</v>
      </c>
      <c r="G4" s="300">
        <v>529.455550291192</v>
      </c>
      <c r="H4" s="301">
        <v>4.38310307576801</v>
      </c>
      <c r="I4" s="300">
        <v>786.195768</v>
      </c>
      <c r="J4" s="301">
        <v>4.791</v>
      </c>
    </row>
    <row r="5" s="295" customFormat="1" ht="24.95" customHeight="1" spans="1:10">
      <c r="A5" s="245" t="s">
        <v>104</v>
      </c>
      <c r="B5" s="246" t="s">
        <v>17</v>
      </c>
      <c r="C5" s="300">
        <v>625.673625</v>
      </c>
      <c r="D5" s="301">
        <v>2</v>
      </c>
      <c r="E5" s="300">
        <v>113.94</v>
      </c>
      <c r="F5" s="301">
        <v>2.7</v>
      </c>
      <c r="G5" s="300">
        <v>270.895898009894</v>
      </c>
      <c r="H5" s="301">
        <v>3.7767603209</v>
      </c>
      <c r="I5" s="300">
        <v>396.175308</v>
      </c>
      <c r="J5" s="301">
        <v>3.9</v>
      </c>
    </row>
    <row r="6" s="295" customFormat="1" ht="24.95" customHeight="1" spans="1:10">
      <c r="A6" s="245" t="s">
        <v>105</v>
      </c>
      <c r="B6" s="246" t="s">
        <v>17</v>
      </c>
      <c r="C6" s="300">
        <v>21.058501</v>
      </c>
      <c r="D6" s="301">
        <v>11.7</v>
      </c>
      <c r="E6" s="300">
        <v>3.93</v>
      </c>
      <c r="F6" s="301">
        <v>8.6</v>
      </c>
      <c r="G6" s="300">
        <v>8.1351365084</v>
      </c>
      <c r="H6" s="301">
        <v>4.335737524685</v>
      </c>
      <c r="I6" s="300">
        <v>13.534278</v>
      </c>
      <c r="J6" s="301">
        <v>12.099</v>
      </c>
    </row>
    <row r="7" s="295" customFormat="1" ht="24.95" customHeight="1" spans="1:10">
      <c r="A7" s="245" t="s">
        <v>106</v>
      </c>
      <c r="B7" s="246" t="s">
        <v>17</v>
      </c>
      <c r="C7" s="300">
        <v>170.790752</v>
      </c>
      <c r="D7" s="301">
        <v>0.799999999999997</v>
      </c>
      <c r="E7" s="300">
        <v>48.61</v>
      </c>
      <c r="F7" s="301">
        <v>1</v>
      </c>
      <c r="G7" s="300">
        <v>94.2307926908983</v>
      </c>
      <c r="H7" s="301">
        <v>5.76171372616901</v>
      </c>
      <c r="I7" s="300">
        <v>130.293182</v>
      </c>
      <c r="J7" s="301">
        <v>6.693</v>
      </c>
    </row>
    <row r="8" s="295" customFormat="1" ht="24.95" customHeight="1" spans="1:10">
      <c r="A8" s="245" t="s">
        <v>107</v>
      </c>
      <c r="B8" s="246" t="s">
        <v>17</v>
      </c>
      <c r="C8" s="300">
        <v>294.036169</v>
      </c>
      <c r="D8" s="301">
        <v>4</v>
      </c>
      <c r="E8" s="300">
        <v>65.9</v>
      </c>
      <c r="F8" s="301">
        <v>3.5</v>
      </c>
      <c r="G8" s="300">
        <v>129.544623082</v>
      </c>
      <c r="H8" s="301">
        <v>3.373703554001</v>
      </c>
      <c r="I8" s="300">
        <v>202.537901</v>
      </c>
      <c r="J8" s="301">
        <v>3.88</v>
      </c>
    </row>
    <row r="9" s="295" customFormat="1" ht="24.95" customHeight="1" spans="1:10">
      <c r="A9" s="245" t="s">
        <v>108</v>
      </c>
      <c r="B9" s="246" t="s">
        <v>17</v>
      </c>
      <c r="C9" s="300">
        <v>58.6226</v>
      </c>
      <c r="D9" s="301">
        <v>9.2</v>
      </c>
      <c r="E9" s="300">
        <v>11.76</v>
      </c>
      <c r="F9" s="301">
        <v>10.9</v>
      </c>
      <c r="G9" s="300">
        <v>26.6491</v>
      </c>
      <c r="H9" s="301">
        <v>11.064350015321</v>
      </c>
      <c r="I9" s="300">
        <v>43.6551</v>
      </c>
      <c r="J9" s="301">
        <v>9.837</v>
      </c>
    </row>
    <row r="10" s="295" customFormat="1" ht="24.95" customHeight="1" spans="1:10">
      <c r="A10" s="277" t="s">
        <v>109</v>
      </c>
      <c r="B10" s="246" t="s">
        <v>17</v>
      </c>
      <c r="C10" s="300">
        <v>759.07</v>
      </c>
      <c r="D10" s="301">
        <v>3.8</v>
      </c>
      <c r="E10" s="300">
        <v>116.94</v>
      </c>
      <c r="F10" s="301">
        <v>3.3</v>
      </c>
      <c r="G10" s="300">
        <v>293.56</v>
      </c>
      <c r="H10" s="301">
        <v>4.2</v>
      </c>
      <c r="I10" s="300">
        <v>483.7224</v>
      </c>
      <c r="J10" s="301">
        <v>4.8</v>
      </c>
    </row>
    <row r="11" s="295" customFormat="1" ht="24.95" customHeight="1" spans="1:10">
      <c r="A11" s="245" t="s">
        <v>104</v>
      </c>
      <c r="B11" s="246" t="s">
        <v>17</v>
      </c>
      <c r="C11" s="300">
        <v>438.317893917844</v>
      </c>
      <c r="D11" s="301">
        <v>3.1</v>
      </c>
      <c r="E11" s="300">
        <v>57.79</v>
      </c>
      <c r="F11" s="301">
        <v>3</v>
      </c>
      <c r="G11" s="300">
        <v>158.56</v>
      </c>
      <c r="H11" s="301">
        <v>3.59365724513199</v>
      </c>
      <c r="I11" s="300">
        <v>257.34</v>
      </c>
      <c r="J11" s="301">
        <v>3.909</v>
      </c>
    </row>
    <row r="12" s="295" customFormat="1" ht="24.95" customHeight="1" spans="1:10">
      <c r="A12" s="245" t="s">
        <v>105</v>
      </c>
      <c r="B12" s="246" t="s">
        <v>17</v>
      </c>
      <c r="C12" s="300">
        <v>15.9291441099415</v>
      </c>
      <c r="D12" s="301">
        <v>12.8</v>
      </c>
      <c r="E12" s="300">
        <v>2.32</v>
      </c>
      <c r="F12" s="301">
        <v>8.9</v>
      </c>
      <c r="G12" s="300">
        <v>5.55</v>
      </c>
      <c r="H12" s="301">
        <v>4.152634448917</v>
      </c>
      <c r="I12" s="300">
        <v>10.2172960031691</v>
      </c>
      <c r="J12" s="301">
        <v>12.108</v>
      </c>
    </row>
    <row r="13" s="295" customFormat="1" ht="24.95" customHeight="1" spans="1:10">
      <c r="A13" s="245" t="s">
        <v>106</v>
      </c>
      <c r="B13" s="246" t="s">
        <v>17</v>
      </c>
      <c r="C13" s="300">
        <v>84.5797050178065</v>
      </c>
      <c r="D13" s="301">
        <v>1.9</v>
      </c>
      <c r="E13" s="300">
        <v>18.8</v>
      </c>
      <c r="F13" s="301">
        <v>1.3</v>
      </c>
      <c r="G13" s="300">
        <v>42.07</v>
      </c>
      <c r="H13" s="301">
        <v>5.578610650401</v>
      </c>
      <c r="I13" s="300">
        <v>64.3960754962771</v>
      </c>
      <c r="J13" s="301">
        <v>6.702</v>
      </c>
    </row>
    <row r="14" s="295" customFormat="1" ht="24.95" customHeight="1" spans="1:10">
      <c r="A14" s="245" t="s">
        <v>107</v>
      </c>
      <c r="B14" s="246" t="s">
        <v>17</v>
      </c>
      <c r="C14" s="300">
        <v>195.046182954408</v>
      </c>
      <c r="D14" s="301">
        <v>5.1</v>
      </c>
      <c r="E14" s="300">
        <v>34.15</v>
      </c>
      <c r="F14" s="301">
        <v>3.8</v>
      </c>
      <c r="G14" s="300">
        <v>77.47</v>
      </c>
      <c r="H14" s="301">
        <v>3.190600478233</v>
      </c>
      <c r="I14" s="300">
        <v>134.084599692645</v>
      </c>
      <c r="J14" s="301">
        <v>3.889</v>
      </c>
    </row>
    <row r="15" s="295" customFormat="1" ht="24.95" customHeight="1" spans="1:10">
      <c r="A15" s="245" t="s">
        <v>108</v>
      </c>
      <c r="B15" s="246" t="s">
        <v>17</v>
      </c>
      <c r="C15" s="300">
        <v>25.197074</v>
      </c>
      <c r="D15" s="301">
        <v>10.3</v>
      </c>
      <c r="E15" s="300">
        <v>3.88</v>
      </c>
      <c r="F15" s="301">
        <v>12.4</v>
      </c>
      <c r="G15" s="300">
        <v>9.91</v>
      </c>
      <c r="H15" s="301">
        <v>11.9</v>
      </c>
      <c r="I15" s="300">
        <v>17.68</v>
      </c>
      <c r="J15" s="301">
        <v>9.8</v>
      </c>
    </row>
    <row r="16" s="295" customFormat="1" ht="24.95" customHeight="1" spans="1:10">
      <c r="A16" s="245" t="s">
        <v>110</v>
      </c>
      <c r="B16" s="246"/>
      <c r="C16" s="300"/>
      <c r="D16" s="301"/>
      <c r="E16" s="300"/>
      <c r="F16" s="301"/>
      <c r="G16" s="300"/>
      <c r="H16" s="301"/>
      <c r="I16" s="300"/>
      <c r="J16" s="301"/>
    </row>
    <row r="17" s="295" customFormat="1" ht="24.95" customHeight="1" spans="1:10">
      <c r="A17" s="245" t="s">
        <v>111</v>
      </c>
      <c r="B17" s="246" t="s">
        <v>112</v>
      </c>
      <c r="C17" s="300">
        <v>159.58</v>
      </c>
      <c r="D17" s="301">
        <v>5.1</v>
      </c>
      <c r="E17" s="302" t="s">
        <v>18</v>
      </c>
      <c r="F17" s="303" t="s">
        <v>18</v>
      </c>
      <c r="G17" s="300">
        <v>15.47226</v>
      </c>
      <c r="H17" s="301">
        <v>2.6</v>
      </c>
      <c r="I17" s="302" t="s">
        <v>18</v>
      </c>
      <c r="J17" s="303" t="s">
        <v>18</v>
      </c>
    </row>
    <row r="18" s="295" customFormat="1" ht="24.95" customHeight="1" spans="1:10">
      <c r="A18" s="245" t="s">
        <v>113</v>
      </c>
      <c r="B18" s="246" t="s">
        <v>112</v>
      </c>
      <c r="C18" s="300">
        <v>129.73</v>
      </c>
      <c r="D18" s="301">
        <v>5.6</v>
      </c>
      <c r="E18" s="302" t="s">
        <v>18</v>
      </c>
      <c r="F18" s="303" t="s">
        <v>18</v>
      </c>
      <c r="G18" s="302" t="s">
        <v>18</v>
      </c>
      <c r="H18" s="303" t="s">
        <v>18</v>
      </c>
      <c r="I18" s="300">
        <v>58.3</v>
      </c>
      <c r="J18" s="301">
        <v>0.4</v>
      </c>
    </row>
    <row r="19" s="295" customFormat="1" ht="24.95" customHeight="1" spans="1:10">
      <c r="A19" s="245" t="s">
        <v>114</v>
      </c>
      <c r="B19" s="246" t="s">
        <v>112</v>
      </c>
      <c r="C19" s="300">
        <v>485.372</v>
      </c>
      <c r="D19" s="301">
        <v>3.5</v>
      </c>
      <c r="E19" s="300">
        <v>180.1</v>
      </c>
      <c r="F19" s="301">
        <v>3.3</v>
      </c>
      <c r="G19" s="300">
        <v>288.4</v>
      </c>
      <c r="H19" s="301">
        <v>3.6</v>
      </c>
      <c r="I19" s="300">
        <v>377.72</v>
      </c>
      <c r="J19" s="301">
        <v>3.6</v>
      </c>
    </row>
    <row r="20" s="295" customFormat="1" ht="24.95" customHeight="1" spans="1:10">
      <c r="A20" s="245" t="s">
        <v>115</v>
      </c>
      <c r="B20" s="246" t="s">
        <v>112</v>
      </c>
      <c r="C20" s="300">
        <v>345.5597</v>
      </c>
      <c r="D20" s="301">
        <v>1.4</v>
      </c>
      <c r="E20" s="300">
        <v>68.05</v>
      </c>
      <c r="F20" s="301">
        <v>2</v>
      </c>
      <c r="G20" s="300">
        <v>201.66</v>
      </c>
      <c r="H20" s="301">
        <v>4.1</v>
      </c>
      <c r="I20" s="300">
        <v>284.08</v>
      </c>
      <c r="J20" s="301">
        <v>4.5</v>
      </c>
    </row>
    <row r="21" s="295" customFormat="1" ht="24.95" customHeight="1" spans="1:10">
      <c r="A21" s="270" t="s">
        <v>116</v>
      </c>
      <c r="B21" s="271" t="s">
        <v>112</v>
      </c>
      <c r="C21" s="300">
        <v>118.1428</v>
      </c>
      <c r="D21" s="301">
        <v>-2.2</v>
      </c>
      <c r="E21" s="300">
        <v>18.64</v>
      </c>
      <c r="F21" s="301">
        <v>-6.6</v>
      </c>
      <c r="G21" s="300">
        <v>48.89</v>
      </c>
      <c r="H21" s="301">
        <v>-6.5</v>
      </c>
      <c r="I21" s="300">
        <v>89.21</v>
      </c>
      <c r="J21" s="301">
        <v>-1.1</v>
      </c>
    </row>
    <row r="22" s="295" customFormat="1" ht="24.95" customHeight="1" spans="1:10">
      <c r="A22" s="270" t="s">
        <v>117</v>
      </c>
      <c r="B22" s="271" t="s">
        <v>112</v>
      </c>
      <c r="C22" s="300">
        <v>120.2528</v>
      </c>
      <c r="D22" s="301">
        <v>2.4</v>
      </c>
      <c r="E22" s="300">
        <v>35.68</v>
      </c>
      <c r="F22" s="301">
        <v>4.3</v>
      </c>
      <c r="G22" s="300">
        <v>94.41</v>
      </c>
      <c r="H22" s="301">
        <v>4.7</v>
      </c>
      <c r="I22" s="300">
        <v>108.63</v>
      </c>
      <c r="J22" s="301">
        <v>4.1</v>
      </c>
    </row>
    <row r="23" s="295" customFormat="1" ht="24.95" customHeight="1" spans="1:10">
      <c r="A23" s="270" t="s">
        <v>118</v>
      </c>
      <c r="B23" s="271" t="s">
        <v>119</v>
      </c>
      <c r="C23" s="300">
        <v>474.5</v>
      </c>
      <c r="D23" s="301">
        <v>5.5</v>
      </c>
      <c r="E23" s="300">
        <v>126.35</v>
      </c>
      <c r="F23" s="301">
        <v>3</v>
      </c>
      <c r="G23" s="300">
        <v>265.54</v>
      </c>
      <c r="H23" s="301">
        <v>9.4</v>
      </c>
      <c r="I23" s="300">
        <v>390.12</v>
      </c>
      <c r="J23" s="301">
        <v>11.2</v>
      </c>
    </row>
    <row r="24" s="295" customFormat="1" ht="24.95" customHeight="1" spans="1:10">
      <c r="A24" s="270" t="s">
        <v>120</v>
      </c>
      <c r="B24" s="271" t="s">
        <v>121</v>
      </c>
      <c r="C24" s="300">
        <v>8572.4354</v>
      </c>
      <c r="D24" s="301">
        <v>-9.1</v>
      </c>
      <c r="E24" s="300">
        <v>2362.12</v>
      </c>
      <c r="F24" s="301">
        <v>-4.5</v>
      </c>
      <c r="G24" s="300">
        <v>4344.57</v>
      </c>
      <c r="H24" s="301">
        <v>-0.8</v>
      </c>
      <c r="I24" s="300">
        <v>6262.74</v>
      </c>
      <c r="J24" s="301">
        <v>0.6</v>
      </c>
    </row>
    <row r="25" s="295" customFormat="1" ht="24.95" customHeight="1" spans="1:10">
      <c r="A25" s="272" t="s">
        <v>122</v>
      </c>
      <c r="B25" s="273" t="s">
        <v>112</v>
      </c>
      <c r="C25" s="304">
        <v>132.25</v>
      </c>
      <c r="D25" s="305">
        <v>2.9</v>
      </c>
      <c r="E25" s="304">
        <v>29.64</v>
      </c>
      <c r="F25" s="305">
        <v>3.7</v>
      </c>
      <c r="G25" s="304">
        <v>60.05</v>
      </c>
      <c r="H25" s="305">
        <v>3.5</v>
      </c>
      <c r="I25" s="304">
        <v>95.1</v>
      </c>
      <c r="J25" s="305">
        <v>3.9</v>
      </c>
    </row>
    <row r="26" ht="34" customHeight="1" spans="1:10">
      <c r="A26" s="306" t="s">
        <v>123</v>
      </c>
      <c r="B26" s="306"/>
      <c r="C26" s="306"/>
      <c r="D26" s="306"/>
      <c r="E26" s="306"/>
      <c r="F26" s="306"/>
      <c r="G26" s="306"/>
      <c r="H26" s="306"/>
      <c r="I26" s="306"/>
      <c r="J26" s="306"/>
    </row>
  </sheetData>
  <mergeCells count="8">
    <mergeCell ref="A1:J1"/>
    <mergeCell ref="C2:D2"/>
    <mergeCell ref="E2:F2"/>
    <mergeCell ref="G2:H2"/>
    <mergeCell ref="I2:J2"/>
    <mergeCell ref="A26:J26"/>
    <mergeCell ref="A2:A3"/>
    <mergeCell ref="B2:B3"/>
  </mergeCells>
  <printOptions horizontalCentered="1"/>
  <pageMargins left="0.748031496062992" right="0.748031496062992" top="0.551181102362205" bottom="0.748031496062992" header="0.511811023622047" footer="0.511811023622047"/>
  <pageSetup paperSize="9" orientation="portrait" horizont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W18"/>
  <sheetViews>
    <sheetView zoomScale="80" zoomScaleNormal="80" workbookViewId="0">
      <pane xSplit="1" ySplit="3" topLeftCell="B4" activePane="bottomRight" state="frozen"/>
      <selection/>
      <selection pane="topRight"/>
      <selection pane="bottomLeft"/>
      <selection pane="bottomRight" activeCell="B4" sqref="B4:B16"/>
    </sheetView>
  </sheetViews>
  <sheetFormatPr defaultColWidth="9" defaultRowHeight="14.25"/>
  <cols>
    <col min="1" max="1" width="26.75" style="133" customWidth="1"/>
    <col min="2" max="23" width="10.375" style="133"/>
    <col min="24" max="173" width="9" style="133"/>
    <col min="174" max="16384" width="9" style="134"/>
  </cols>
  <sheetData>
    <row r="1" ht="28.5" customHeight="1" spans="1:23">
      <c r="A1" s="135" t="s">
        <v>83</v>
      </c>
      <c r="B1" s="135"/>
      <c r="C1" s="135"/>
      <c r="D1" s="135"/>
      <c r="E1" s="135"/>
      <c r="F1" s="135"/>
      <c r="G1" s="135"/>
      <c r="H1" s="135"/>
      <c r="I1" s="135"/>
      <c r="J1" s="135"/>
      <c r="K1" s="135"/>
      <c r="L1" s="135"/>
      <c r="M1" s="135"/>
      <c r="N1" s="135"/>
      <c r="O1" s="135"/>
      <c r="P1" s="135"/>
      <c r="Q1" s="135"/>
      <c r="R1" s="135"/>
      <c r="S1" s="135"/>
      <c r="T1" s="135"/>
      <c r="U1" s="135"/>
      <c r="V1" s="135"/>
      <c r="W1" s="135"/>
    </row>
    <row r="2" ht="21" customHeight="1" spans="1:23">
      <c r="A2" s="275" t="s">
        <v>1</v>
      </c>
      <c r="B2" s="137" t="s">
        <v>3</v>
      </c>
      <c r="C2" s="138"/>
      <c r="D2" s="137" t="s">
        <v>4</v>
      </c>
      <c r="E2" s="138"/>
      <c r="F2" s="137" t="s">
        <v>5</v>
      </c>
      <c r="G2" s="138"/>
      <c r="H2" s="137" t="s">
        <v>6</v>
      </c>
      <c r="I2" s="138"/>
      <c r="J2" s="137" t="s">
        <v>7</v>
      </c>
      <c r="K2" s="138"/>
      <c r="L2" s="137" t="s">
        <v>8</v>
      </c>
      <c r="M2" s="138"/>
      <c r="N2" s="137" t="s">
        <v>9</v>
      </c>
      <c r="O2" s="138"/>
      <c r="P2" s="137" t="s">
        <v>10</v>
      </c>
      <c r="Q2" s="138"/>
      <c r="R2" s="137" t="s">
        <v>11</v>
      </c>
      <c r="S2" s="138"/>
      <c r="T2" s="137" t="s">
        <v>12</v>
      </c>
      <c r="U2" s="138"/>
      <c r="V2" s="137" t="s">
        <v>13</v>
      </c>
      <c r="W2" s="138"/>
    </row>
    <row r="3" ht="21" customHeight="1" spans="1:23">
      <c r="A3" s="276"/>
      <c r="B3" s="140" t="s">
        <v>14</v>
      </c>
      <c r="C3" s="141" t="s">
        <v>15</v>
      </c>
      <c r="D3" s="140" t="s">
        <v>14</v>
      </c>
      <c r="E3" s="141" t="s">
        <v>15</v>
      </c>
      <c r="F3" s="140" t="s">
        <v>14</v>
      </c>
      <c r="G3" s="141" t="s">
        <v>15</v>
      </c>
      <c r="H3" s="140" t="s">
        <v>14</v>
      </c>
      <c r="I3" s="141" t="s">
        <v>15</v>
      </c>
      <c r="J3" s="140" t="s">
        <v>14</v>
      </c>
      <c r="K3" s="141" t="s">
        <v>15</v>
      </c>
      <c r="L3" s="140" t="s">
        <v>14</v>
      </c>
      <c r="M3" s="141" t="s">
        <v>15</v>
      </c>
      <c r="N3" s="140" t="s">
        <v>14</v>
      </c>
      <c r="O3" s="141" t="s">
        <v>15</v>
      </c>
      <c r="P3" s="140" t="s">
        <v>14</v>
      </c>
      <c r="Q3" s="141" t="s">
        <v>15</v>
      </c>
      <c r="R3" s="140" t="s">
        <v>14</v>
      </c>
      <c r="S3" s="141" t="s">
        <v>15</v>
      </c>
      <c r="T3" s="140" t="s">
        <v>14</v>
      </c>
      <c r="U3" s="141" t="s">
        <v>15</v>
      </c>
      <c r="V3" s="140" t="s">
        <v>14</v>
      </c>
      <c r="W3" s="141" t="s">
        <v>15</v>
      </c>
    </row>
    <row r="4" ht="41.25" customHeight="1" spans="1:23">
      <c r="A4" s="204" t="s">
        <v>124</v>
      </c>
      <c r="B4" s="219"/>
      <c r="C4" s="197">
        <v>-2.7</v>
      </c>
      <c r="D4" s="219"/>
      <c r="E4" s="197">
        <v>-1.5</v>
      </c>
      <c r="F4" s="219"/>
      <c r="G4" s="197">
        <v>-0.5</v>
      </c>
      <c r="H4" s="219"/>
      <c r="I4" s="197">
        <v>4.8</v>
      </c>
      <c r="J4" s="219"/>
      <c r="K4" s="197">
        <v>8.9</v>
      </c>
      <c r="L4" s="219"/>
      <c r="M4" s="197">
        <v>10.2</v>
      </c>
      <c r="N4" s="219"/>
      <c r="O4" s="197">
        <v>9.7</v>
      </c>
      <c r="P4" s="219"/>
      <c r="Q4" s="197">
        <v>8.8</v>
      </c>
      <c r="R4" s="219"/>
      <c r="S4" s="197">
        <v>10.4</v>
      </c>
      <c r="T4" s="219"/>
      <c r="U4" s="197">
        <v>10.3</v>
      </c>
      <c r="V4" s="219"/>
      <c r="W4" s="197">
        <v>10.5</v>
      </c>
    </row>
    <row r="5" ht="41.25" customHeight="1" spans="1:23">
      <c r="A5" s="148" t="s">
        <v>125</v>
      </c>
      <c r="B5" s="146"/>
      <c r="C5" s="147">
        <v>1.3</v>
      </c>
      <c r="D5" s="146"/>
      <c r="E5" s="147">
        <v>2.3</v>
      </c>
      <c r="F5" s="146"/>
      <c r="G5" s="147">
        <v>-5.7</v>
      </c>
      <c r="H5" s="146"/>
      <c r="I5" s="147">
        <v>-10.7</v>
      </c>
      <c r="J5" s="146"/>
      <c r="K5" s="147">
        <v>-10.6</v>
      </c>
      <c r="L5" s="146"/>
      <c r="M5" s="147">
        <v>-8.7</v>
      </c>
      <c r="N5" s="146"/>
      <c r="O5" s="147">
        <v>-9.3</v>
      </c>
      <c r="P5" s="146"/>
      <c r="Q5" s="147">
        <v>-11.9</v>
      </c>
      <c r="R5" s="146"/>
      <c r="S5" s="147">
        <v>-8</v>
      </c>
      <c r="T5" s="146"/>
      <c r="U5" s="147">
        <v>-9.5</v>
      </c>
      <c r="V5" s="146"/>
      <c r="W5" s="147">
        <v>-9</v>
      </c>
    </row>
    <row r="6" ht="41.25" customHeight="1" spans="1:23">
      <c r="A6" s="148" t="s">
        <v>126</v>
      </c>
      <c r="B6" s="146"/>
      <c r="C6" s="147">
        <v>-3.5</v>
      </c>
      <c r="D6" s="146"/>
      <c r="E6" s="147">
        <v>-2.2</v>
      </c>
      <c r="F6" s="146"/>
      <c r="G6" s="147">
        <v>0.5</v>
      </c>
      <c r="H6" s="146"/>
      <c r="I6" s="147">
        <v>7.7</v>
      </c>
      <c r="J6" s="146"/>
      <c r="K6" s="147">
        <v>12.5</v>
      </c>
      <c r="L6" s="146"/>
      <c r="M6" s="147">
        <v>13.7</v>
      </c>
      <c r="N6" s="146"/>
      <c r="O6" s="147">
        <v>13.1</v>
      </c>
      <c r="P6" s="146"/>
      <c r="Q6" s="147">
        <v>12.6</v>
      </c>
      <c r="R6" s="146"/>
      <c r="S6" s="147">
        <v>13.7</v>
      </c>
      <c r="T6" s="146"/>
      <c r="U6" s="147">
        <v>13.9</v>
      </c>
      <c r="V6" s="146"/>
      <c r="W6" s="147">
        <v>14</v>
      </c>
    </row>
    <row r="7" ht="41.25" customHeight="1" spans="1:23">
      <c r="A7" s="148" t="s">
        <v>127</v>
      </c>
      <c r="B7" s="146"/>
      <c r="C7" s="147">
        <v>-0.4</v>
      </c>
      <c r="D7" s="146"/>
      <c r="E7" s="147">
        <v>9.5</v>
      </c>
      <c r="F7" s="146"/>
      <c r="G7" s="147">
        <v>12.4</v>
      </c>
      <c r="H7" s="146"/>
      <c r="I7" s="147">
        <v>11.2</v>
      </c>
      <c r="J7" s="146"/>
      <c r="K7" s="147">
        <v>9.7</v>
      </c>
      <c r="L7" s="146"/>
      <c r="M7" s="147">
        <v>7.5</v>
      </c>
      <c r="N7" s="146"/>
      <c r="O7" s="147">
        <v>5.1</v>
      </c>
      <c r="P7" s="146"/>
      <c r="Q7" s="147">
        <v>4.4</v>
      </c>
      <c r="R7" s="146"/>
      <c r="S7" s="147">
        <v>2</v>
      </c>
      <c r="T7" s="146"/>
      <c r="U7" s="147">
        <v>0.2</v>
      </c>
      <c r="V7" s="146"/>
      <c r="W7" s="147">
        <v>-1.7</v>
      </c>
    </row>
    <row r="8" ht="41.25" customHeight="1" spans="1:23">
      <c r="A8" s="148" t="s">
        <v>128</v>
      </c>
      <c r="B8" s="146"/>
      <c r="C8" s="147">
        <v>-2.4</v>
      </c>
      <c r="D8" s="146"/>
      <c r="E8" s="147">
        <v>-15.4</v>
      </c>
      <c r="F8" s="146"/>
      <c r="G8" s="147">
        <v>0</v>
      </c>
      <c r="H8" s="146"/>
      <c r="I8" s="147">
        <v>0</v>
      </c>
      <c r="J8" s="146"/>
      <c r="K8" s="147">
        <v>0</v>
      </c>
      <c r="L8" s="146"/>
      <c r="M8" s="147">
        <v>0</v>
      </c>
      <c r="N8" s="146"/>
      <c r="O8" s="147">
        <v>0</v>
      </c>
      <c r="P8" s="146"/>
      <c r="Q8" s="147">
        <v>0</v>
      </c>
      <c r="R8" s="146"/>
      <c r="S8" s="147">
        <v>0</v>
      </c>
      <c r="T8" s="146"/>
      <c r="U8" s="147">
        <v>0</v>
      </c>
      <c r="V8" s="146"/>
      <c r="W8" s="147">
        <v>0</v>
      </c>
    </row>
    <row r="9" ht="41.25" customHeight="1" spans="1:23">
      <c r="A9" s="148" t="s">
        <v>129</v>
      </c>
      <c r="B9" s="146"/>
      <c r="C9" s="147">
        <v>-0.8</v>
      </c>
      <c r="D9" s="146"/>
      <c r="E9" s="147">
        <v>2.6</v>
      </c>
      <c r="F9" s="146"/>
      <c r="G9" s="147">
        <v>-1.8</v>
      </c>
      <c r="H9" s="146"/>
      <c r="I9" s="147">
        <v>-3.8</v>
      </c>
      <c r="J9" s="146"/>
      <c r="K9" s="147">
        <v>-2.2</v>
      </c>
      <c r="L9" s="146"/>
      <c r="M9" s="147">
        <v>0</v>
      </c>
      <c r="N9" s="146"/>
      <c r="O9" s="147">
        <v>-0.1</v>
      </c>
      <c r="P9" s="146"/>
      <c r="Q9" s="147">
        <v>-1.1</v>
      </c>
      <c r="R9" s="146"/>
      <c r="S9" s="147">
        <v>0.6</v>
      </c>
      <c r="T9" s="146"/>
      <c r="U9" s="147">
        <v>-0.2</v>
      </c>
      <c r="V9" s="146"/>
      <c r="W9" s="147">
        <v>-0.3</v>
      </c>
    </row>
    <row r="10" ht="41.25" customHeight="1" spans="1:23">
      <c r="A10" s="148" t="s">
        <v>130</v>
      </c>
      <c r="B10" s="146"/>
      <c r="C10" s="147">
        <v>-4</v>
      </c>
      <c r="D10" s="146"/>
      <c r="E10" s="147">
        <v>-4.4</v>
      </c>
      <c r="F10" s="146"/>
      <c r="G10" s="147">
        <v>0.5</v>
      </c>
      <c r="H10" s="146"/>
      <c r="I10" s="147">
        <v>11.5</v>
      </c>
      <c r="J10" s="146"/>
      <c r="K10" s="147">
        <v>17.5</v>
      </c>
      <c r="L10" s="146"/>
      <c r="M10" s="147">
        <v>17.9</v>
      </c>
      <c r="N10" s="146"/>
      <c r="O10" s="147">
        <v>17</v>
      </c>
      <c r="P10" s="146"/>
      <c r="Q10" s="147">
        <v>16.1</v>
      </c>
      <c r="R10" s="146"/>
      <c r="S10" s="147">
        <v>17.8</v>
      </c>
      <c r="T10" s="146"/>
      <c r="U10" s="147">
        <v>18.2</v>
      </c>
      <c r="V10" s="146"/>
      <c r="W10" s="147">
        <v>18.6</v>
      </c>
    </row>
    <row r="11" ht="41.25" customHeight="1" spans="1:23">
      <c r="A11" s="148" t="s">
        <v>131</v>
      </c>
      <c r="B11" s="146"/>
      <c r="C11" s="147">
        <v>-17.3</v>
      </c>
      <c r="D11" s="146"/>
      <c r="E11" s="147">
        <v>-22.2</v>
      </c>
      <c r="F11" s="146"/>
      <c r="G11" s="147">
        <v>-3.8</v>
      </c>
      <c r="H11" s="146"/>
      <c r="I11" s="147">
        <v>-19.9</v>
      </c>
      <c r="J11" s="146"/>
      <c r="K11" s="147">
        <v>-22.2</v>
      </c>
      <c r="L11" s="146"/>
      <c r="M11" s="147">
        <v>-21.9</v>
      </c>
      <c r="N11" s="146"/>
      <c r="O11" s="147">
        <v>-21.2</v>
      </c>
      <c r="P11" s="146"/>
      <c r="Q11" s="147">
        <v>-21.3</v>
      </c>
      <c r="R11" s="146"/>
      <c r="S11" s="147">
        <v>-22.5</v>
      </c>
      <c r="T11" s="146"/>
      <c r="U11" s="147">
        <v>-25.2</v>
      </c>
      <c r="V11" s="146"/>
      <c r="W11" s="147">
        <v>-25.6</v>
      </c>
    </row>
    <row r="12" ht="41.25" customHeight="1" spans="1:23">
      <c r="A12" s="148" t="s">
        <v>132</v>
      </c>
      <c r="B12" s="146"/>
      <c r="C12" s="147">
        <v>-0.3</v>
      </c>
      <c r="D12" s="146"/>
      <c r="E12" s="147">
        <v>6.8</v>
      </c>
      <c r="F12" s="146"/>
      <c r="G12" s="147">
        <v>6.2</v>
      </c>
      <c r="H12" s="146"/>
      <c r="I12" s="147">
        <v>14.3</v>
      </c>
      <c r="J12" s="146"/>
      <c r="K12" s="147">
        <v>17.9</v>
      </c>
      <c r="L12" s="146"/>
      <c r="M12" s="147">
        <v>18.2</v>
      </c>
      <c r="N12" s="146"/>
      <c r="O12" s="147">
        <v>15.5</v>
      </c>
      <c r="P12" s="146"/>
      <c r="Q12" s="147">
        <v>13</v>
      </c>
      <c r="R12" s="146"/>
      <c r="S12" s="147">
        <v>12.5</v>
      </c>
      <c r="T12" s="146"/>
      <c r="U12" s="147">
        <v>10.9</v>
      </c>
      <c r="V12" s="146"/>
      <c r="W12" s="147">
        <v>9.7</v>
      </c>
    </row>
    <row r="13" ht="41.25" customHeight="1" spans="1:23">
      <c r="A13" s="148" t="s">
        <v>133</v>
      </c>
      <c r="B13" s="146"/>
      <c r="C13" s="147">
        <v>-3.78436891637124</v>
      </c>
      <c r="D13" s="146"/>
      <c r="E13" s="147">
        <v>-4.92208814518072</v>
      </c>
      <c r="F13" s="146"/>
      <c r="G13" s="147">
        <v>-2.9653158802533</v>
      </c>
      <c r="H13" s="146"/>
      <c r="I13" s="147">
        <v>4.1</v>
      </c>
      <c r="J13" s="146"/>
      <c r="K13" s="147">
        <v>8.95168072608747</v>
      </c>
      <c r="L13" s="146"/>
      <c r="M13" s="147">
        <v>10.1118452995606</v>
      </c>
      <c r="N13" s="146"/>
      <c r="O13" s="147">
        <v>9.532820305691</v>
      </c>
      <c r="P13" s="146"/>
      <c r="Q13" s="147">
        <v>8.67362267699644</v>
      </c>
      <c r="R13" s="146"/>
      <c r="S13" s="147">
        <v>10.5619711159304</v>
      </c>
      <c r="T13" s="146"/>
      <c r="U13" s="147">
        <v>10.7139330838883</v>
      </c>
      <c r="V13" s="146"/>
      <c r="W13" s="147">
        <v>11.3624263674683</v>
      </c>
    </row>
    <row r="14" ht="41.25" customHeight="1" spans="1:23">
      <c r="A14" s="148" t="s">
        <v>134</v>
      </c>
      <c r="B14" s="146"/>
      <c r="C14" s="147">
        <v>2.23527738864702</v>
      </c>
      <c r="D14" s="146"/>
      <c r="E14" s="147">
        <v>5.01244150619267</v>
      </c>
      <c r="F14" s="146"/>
      <c r="G14" s="147">
        <v>1.06679354765326</v>
      </c>
      <c r="H14" s="146"/>
      <c r="I14" s="147">
        <v>-0.9</v>
      </c>
      <c r="J14" s="146"/>
      <c r="K14" s="147">
        <v>0.0854083110966286</v>
      </c>
      <c r="L14" s="146"/>
      <c r="M14" s="147">
        <v>1.38784272472007</v>
      </c>
      <c r="N14" s="146"/>
      <c r="O14" s="147">
        <v>1.20759323816951</v>
      </c>
      <c r="P14" s="146"/>
      <c r="Q14" s="147">
        <v>-0.264157186494103</v>
      </c>
      <c r="R14" s="146"/>
      <c r="S14" s="147">
        <v>0.21087257045609</v>
      </c>
      <c r="T14" s="146"/>
      <c r="U14" s="147">
        <v>-0.384813326235232</v>
      </c>
      <c r="V14" s="146"/>
      <c r="W14" s="147">
        <v>-1.37851432442142</v>
      </c>
    </row>
    <row r="15" ht="41.25" customHeight="1" spans="1:23">
      <c r="A15" s="148" t="s">
        <v>135</v>
      </c>
      <c r="B15" s="146"/>
      <c r="C15" s="147">
        <v>1.00069662293659</v>
      </c>
      <c r="D15" s="146"/>
      <c r="E15" s="147">
        <v>18.8620441213833</v>
      </c>
      <c r="F15" s="146"/>
      <c r="G15" s="147">
        <v>16.8678845326533</v>
      </c>
      <c r="H15" s="146"/>
      <c r="I15" s="147">
        <v>14.7</v>
      </c>
      <c r="J15" s="146"/>
      <c r="K15" s="147">
        <v>16.4665408138734</v>
      </c>
      <c r="L15" s="146"/>
      <c r="M15" s="147">
        <v>19.1280477184798</v>
      </c>
      <c r="N15" s="146"/>
      <c r="O15" s="147">
        <v>19.5810661740886</v>
      </c>
      <c r="P15" s="146"/>
      <c r="Q15" s="147">
        <v>20.0025710672308</v>
      </c>
      <c r="R15" s="146"/>
      <c r="S15" s="147">
        <v>19.5262226406891</v>
      </c>
      <c r="T15" s="146"/>
      <c r="U15" s="147">
        <v>18.0540672201235</v>
      </c>
      <c r="V15" s="146"/>
      <c r="W15" s="147">
        <v>15.5909978035568</v>
      </c>
    </row>
    <row r="16" ht="41.25" customHeight="1" spans="1:23">
      <c r="A16" s="152" t="s">
        <v>136</v>
      </c>
      <c r="B16" s="153"/>
      <c r="C16" s="154">
        <v>9.09845406402722</v>
      </c>
      <c r="D16" s="153"/>
      <c r="E16" s="154">
        <v>11.9732070111686</v>
      </c>
      <c r="F16" s="153"/>
      <c r="G16" s="154">
        <v>7.8420898847678</v>
      </c>
      <c r="H16" s="153"/>
      <c r="I16" s="154">
        <v>5.7</v>
      </c>
      <c r="J16" s="153"/>
      <c r="K16" s="154">
        <v>5.00734839209871</v>
      </c>
      <c r="L16" s="153"/>
      <c r="M16" s="154">
        <v>6.88387729132991</v>
      </c>
      <c r="N16" s="153"/>
      <c r="O16" s="154">
        <v>1.99673700085981</v>
      </c>
      <c r="P16" s="153"/>
      <c r="Q16" s="154">
        <v>-1.23292987571226</v>
      </c>
      <c r="R16" s="153"/>
      <c r="S16" s="154">
        <v>7.32666256500656</v>
      </c>
      <c r="T16" s="153"/>
      <c r="U16" s="154">
        <v>5.98928930391544</v>
      </c>
      <c r="V16" s="153"/>
      <c r="W16" s="154">
        <v>8.34072183229276</v>
      </c>
    </row>
    <row r="17" ht="29" customHeight="1" spans="1:1">
      <c r="A17" s="293" t="s">
        <v>137</v>
      </c>
    </row>
    <row r="18" spans="1:1">
      <c r="A18" s="293"/>
    </row>
  </sheetData>
  <mergeCells count="13">
    <mergeCell ref="A1:W1"/>
    <mergeCell ref="B2:C2"/>
    <mergeCell ref="D2:E2"/>
    <mergeCell ref="F2:G2"/>
    <mergeCell ref="H2:I2"/>
    <mergeCell ref="J2:K2"/>
    <mergeCell ref="L2:M2"/>
    <mergeCell ref="N2:O2"/>
    <mergeCell ref="P2:Q2"/>
    <mergeCell ref="R2:S2"/>
    <mergeCell ref="T2:U2"/>
    <mergeCell ref="V2:W2"/>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FK38"/>
  <sheetViews>
    <sheetView zoomScale="80" zoomScaleNormal="80" workbookViewId="0">
      <pane xSplit="1" ySplit="3" topLeftCell="T4" activePane="bottomRight" state="frozen"/>
      <selection/>
      <selection pane="topRight"/>
      <selection pane="bottomLeft"/>
      <selection pane="bottomRight" activeCell="N4" sqref="N4:N36"/>
    </sheetView>
  </sheetViews>
  <sheetFormatPr defaultColWidth="9" defaultRowHeight="14.25"/>
  <cols>
    <col min="1" max="1" width="33.5916666666667" style="133" customWidth="1"/>
    <col min="2" max="23" width="10.375" style="133"/>
    <col min="24" max="167" width="9" style="133"/>
    <col min="168" max="16384" width="9" style="134"/>
  </cols>
  <sheetData>
    <row r="1" ht="28.5" customHeight="1" spans="1:23">
      <c r="A1" s="135" t="s">
        <v>138</v>
      </c>
      <c r="B1" s="135"/>
      <c r="C1" s="135"/>
      <c r="D1" s="135"/>
      <c r="E1" s="135"/>
      <c r="F1" s="135"/>
      <c r="G1" s="135"/>
      <c r="H1" s="135"/>
      <c r="I1" s="135"/>
      <c r="J1" s="135"/>
      <c r="K1" s="135"/>
      <c r="L1" s="135"/>
      <c r="M1" s="135"/>
      <c r="N1" s="135"/>
      <c r="O1" s="135"/>
      <c r="P1" s="135"/>
      <c r="Q1" s="135"/>
      <c r="R1" s="135"/>
      <c r="S1" s="135"/>
      <c r="T1" s="135"/>
      <c r="U1" s="135"/>
      <c r="V1" s="135"/>
      <c r="W1" s="135"/>
    </row>
    <row r="2" ht="21" customHeight="1" spans="1:23">
      <c r="A2" s="275" t="s">
        <v>1</v>
      </c>
      <c r="B2" s="137" t="s">
        <v>3</v>
      </c>
      <c r="C2" s="138"/>
      <c r="D2" s="137" t="s">
        <v>4</v>
      </c>
      <c r="E2" s="138"/>
      <c r="F2" s="137" t="s">
        <v>5</v>
      </c>
      <c r="G2" s="138"/>
      <c r="H2" s="137" t="s">
        <v>6</v>
      </c>
      <c r="I2" s="138"/>
      <c r="J2" s="137" t="s">
        <v>7</v>
      </c>
      <c r="K2" s="138"/>
      <c r="L2" s="137" t="s">
        <v>8</v>
      </c>
      <c r="M2" s="138"/>
      <c r="N2" s="137" t="s">
        <v>9</v>
      </c>
      <c r="O2" s="138"/>
      <c r="P2" s="137" t="s">
        <v>10</v>
      </c>
      <c r="Q2" s="138"/>
      <c r="R2" s="137" t="s">
        <v>11</v>
      </c>
      <c r="S2" s="138"/>
      <c r="T2" s="137" t="s">
        <v>12</v>
      </c>
      <c r="U2" s="138"/>
      <c r="V2" s="137" t="s">
        <v>13</v>
      </c>
      <c r="W2" s="138"/>
    </row>
    <row r="3" ht="21" customHeight="1" spans="1:23">
      <c r="A3" s="276"/>
      <c r="B3" s="140" t="s">
        <v>14</v>
      </c>
      <c r="C3" s="141" t="s">
        <v>15</v>
      </c>
      <c r="D3" s="140" t="s">
        <v>14</v>
      </c>
      <c r="E3" s="141" t="s">
        <v>15</v>
      </c>
      <c r="F3" s="140" t="s">
        <v>14</v>
      </c>
      <c r="G3" s="141" t="s">
        <v>15</v>
      </c>
      <c r="H3" s="140" t="s">
        <v>14</v>
      </c>
      <c r="I3" s="141" t="s">
        <v>15</v>
      </c>
      <c r="J3" s="140" t="s">
        <v>14</v>
      </c>
      <c r="K3" s="141" t="s">
        <v>15</v>
      </c>
      <c r="L3" s="140" t="s">
        <v>14</v>
      </c>
      <c r="M3" s="141" t="s">
        <v>15</v>
      </c>
      <c r="N3" s="140" t="s">
        <v>14</v>
      </c>
      <c r="O3" s="141" t="s">
        <v>15</v>
      </c>
      <c r="P3" s="140" t="s">
        <v>14</v>
      </c>
      <c r="Q3" s="141" t="s">
        <v>15</v>
      </c>
      <c r="R3" s="140" t="s">
        <v>14</v>
      </c>
      <c r="S3" s="141" t="s">
        <v>15</v>
      </c>
      <c r="T3" s="140" t="s">
        <v>14</v>
      </c>
      <c r="U3" s="141" t="s">
        <v>15</v>
      </c>
      <c r="V3" s="140" t="s">
        <v>14</v>
      </c>
      <c r="W3" s="141" t="s">
        <v>15</v>
      </c>
    </row>
    <row r="4" ht="24.75" customHeight="1" spans="1:23">
      <c r="A4" s="204" t="s">
        <v>139</v>
      </c>
      <c r="B4" s="219"/>
      <c r="C4" s="197">
        <v>-2.7</v>
      </c>
      <c r="D4" s="219"/>
      <c r="E4" s="197">
        <v>-1.5</v>
      </c>
      <c r="F4" s="219"/>
      <c r="G4" s="197">
        <v>-0.5</v>
      </c>
      <c r="H4" s="219"/>
      <c r="I4" s="197">
        <v>4.8</v>
      </c>
      <c r="J4" s="219"/>
      <c r="K4" s="197">
        <v>8.9</v>
      </c>
      <c r="L4" s="219"/>
      <c r="M4" s="197">
        <v>10.2</v>
      </c>
      <c r="N4" s="219"/>
      <c r="O4" s="197">
        <v>9.7</v>
      </c>
      <c r="P4" s="219"/>
      <c r="Q4" s="197">
        <v>8.8</v>
      </c>
      <c r="R4" s="219"/>
      <c r="S4" s="197">
        <v>10.4</v>
      </c>
      <c r="T4" s="219"/>
      <c r="U4" s="197">
        <v>10.3</v>
      </c>
      <c r="V4" s="219"/>
      <c r="W4" s="197">
        <v>10.5</v>
      </c>
    </row>
    <row r="5" ht="23.25" customHeight="1" spans="1:23">
      <c r="A5" s="149" t="s">
        <v>140</v>
      </c>
      <c r="B5" s="219"/>
      <c r="C5" s="197">
        <v>-7.06063382158675</v>
      </c>
      <c r="D5" s="219"/>
      <c r="E5" s="197">
        <v>-5.93681414006547</v>
      </c>
      <c r="F5" s="219"/>
      <c r="G5" s="197">
        <v>1.55286707252185</v>
      </c>
      <c r="H5" s="219"/>
      <c r="I5" s="197">
        <v>6.2</v>
      </c>
      <c r="J5" s="219"/>
      <c r="K5" s="197">
        <v>12.6131151924554</v>
      </c>
      <c r="L5" s="219"/>
      <c r="M5" s="197">
        <v>14.7176410735822</v>
      </c>
      <c r="N5" s="219"/>
      <c r="O5" s="197">
        <v>16.8</v>
      </c>
      <c r="P5" s="219"/>
      <c r="Q5" s="197">
        <v>19.1525293801703</v>
      </c>
      <c r="R5" s="219"/>
      <c r="S5" s="197">
        <v>25.6871870364878</v>
      </c>
      <c r="T5" s="219"/>
      <c r="U5" s="197">
        <v>28.1633542190825</v>
      </c>
      <c r="V5" s="219"/>
      <c r="W5" s="197">
        <v>30.6484276589854</v>
      </c>
    </row>
    <row r="6" ht="21.75" customHeight="1" spans="1:23">
      <c r="A6" s="149" t="s">
        <v>141</v>
      </c>
      <c r="B6" s="219"/>
      <c r="C6" s="197">
        <v>-1.34205535645299</v>
      </c>
      <c r="D6" s="219"/>
      <c r="E6" s="197">
        <v>1.95066614577762</v>
      </c>
      <c r="F6" s="219"/>
      <c r="G6" s="197">
        <v>0.460266794179631</v>
      </c>
      <c r="H6" s="219"/>
      <c r="I6" s="197">
        <v>7.5</v>
      </c>
      <c r="J6" s="219"/>
      <c r="K6" s="197">
        <v>10.8750399647112</v>
      </c>
      <c r="L6" s="219"/>
      <c r="M6" s="197">
        <v>11.2642849485004</v>
      </c>
      <c r="N6" s="219"/>
      <c r="O6" s="197">
        <v>9.33366698454716</v>
      </c>
      <c r="P6" s="219"/>
      <c r="Q6" s="197">
        <v>6.62783937607125</v>
      </c>
      <c r="R6" s="219"/>
      <c r="S6" s="197">
        <v>6.253782145137</v>
      </c>
      <c r="T6" s="219"/>
      <c r="U6" s="197">
        <v>5.20205876486217</v>
      </c>
      <c r="V6" s="219"/>
      <c r="W6" s="197">
        <v>4.22479936667865</v>
      </c>
    </row>
    <row r="7" ht="18" customHeight="1" spans="1:23">
      <c r="A7" s="148" t="s">
        <v>142</v>
      </c>
      <c r="B7" s="146"/>
      <c r="C7" s="147">
        <v>2.5</v>
      </c>
      <c r="D7" s="146"/>
      <c r="E7" s="147">
        <v>19.8</v>
      </c>
      <c r="F7" s="146"/>
      <c r="G7" s="147">
        <v>14.4</v>
      </c>
      <c r="H7" s="146"/>
      <c r="I7" s="147">
        <v>11.7</v>
      </c>
      <c r="J7" s="146"/>
      <c r="K7" s="147">
        <v>11.7</v>
      </c>
      <c r="L7" s="146"/>
      <c r="M7" s="147">
        <v>10.5</v>
      </c>
      <c r="N7" s="146"/>
      <c r="O7" s="147">
        <v>8.3</v>
      </c>
      <c r="P7" s="146"/>
      <c r="Q7" s="147">
        <v>6.1</v>
      </c>
      <c r="R7" s="146"/>
      <c r="S7" s="147">
        <v>5.1</v>
      </c>
      <c r="T7" s="146"/>
      <c r="U7" s="147">
        <v>3.3</v>
      </c>
      <c r="V7" s="146"/>
      <c r="W7" s="147">
        <v>2.2</v>
      </c>
    </row>
    <row r="8" ht="18" customHeight="1" spans="1:23">
      <c r="A8" s="148" t="s">
        <v>143</v>
      </c>
      <c r="B8" s="146"/>
      <c r="C8" s="147">
        <v>-10.7</v>
      </c>
      <c r="D8" s="146"/>
      <c r="E8" s="147">
        <v>-14.9</v>
      </c>
      <c r="F8" s="146"/>
      <c r="G8" s="147">
        <v>-8.7</v>
      </c>
      <c r="H8" s="146"/>
      <c r="I8" s="147">
        <v>-5.2</v>
      </c>
      <c r="J8" s="146"/>
      <c r="K8" s="147">
        <v>-2.9</v>
      </c>
      <c r="L8" s="146"/>
      <c r="M8" s="147">
        <v>-1</v>
      </c>
      <c r="N8" s="146"/>
      <c r="O8" s="147">
        <v>-2.3</v>
      </c>
      <c r="P8" s="146"/>
      <c r="Q8" s="147">
        <v>-25.5</v>
      </c>
      <c r="R8" s="146"/>
      <c r="S8" s="147">
        <v>5.5</v>
      </c>
      <c r="T8" s="146"/>
      <c r="U8" s="147">
        <v>4.1</v>
      </c>
      <c r="V8" s="146"/>
      <c r="W8" s="147">
        <v>3</v>
      </c>
    </row>
    <row r="9" ht="18" customHeight="1" spans="1:23">
      <c r="A9" s="148" t="s">
        <v>144</v>
      </c>
      <c r="B9" s="146"/>
      <c r="C9" s="147">
        <v>2.7</v>
      </c>
      <c r="D9" s="146"/>
      <c r="E9" s="147">
        <v>5.5</v>
      </c>
      <c r="F9" s="146"/>
      <c r="G9" s="147">
        <v>4.8</v>
      </c>
      <c r="H9" s="146"/>
      <c r="I9" s="147">
        <v>2.9</v>
      </c>
      <c r="J9" s="146"/>
      <c r="K9" s="147">
        <v>2.2</v>
      </c>
      <c r="L9" s="146"/>
      <c r="M9" s="147">
        <v>4.4</v>
      </c>
      <c r="N9" s="146"/>
      <c r="O9" s="147">
        <v>1.1</v>
      </c>
      <c r="P9" s="146"/>
      <c r="Q9" s="147">
        <v>-2.9</v>
      </c>
      <c r="R9" s="146"/>
      <c r="S9" s="147">
        <v>-2.8</v>
      </c>
      <c r="T9" s="146"/>
      <c r="U9" s="147">
        <v>-4.2</v>
      </c>
      <c r="V9" s="146"/>
      <c r="W9" s="147">
        <v>-4.7</v>
      </c>
    </row>
    <row r="10" ht="18" customHeight="1" spans="1:23">
      <c r="A10" s="148" t="s">
        <v>145</v>
      </c>
      <c r="B10" s="146"/>
      <c r="C10" s="147">
        <v>3.4</v>
      </c>
      <c r="D10" s="146"/>
      <c r="E10" s="147">
        <v>21.2</v>
      </c>
      <c r="F10" s="146"/>
      <c r="G10" s="147">
        <v>3.6</v>
      </c>
      <c r="H10" s="146"/>
      <c r="I10" s="147">
        <v>-3.3</v>
      </c>
      <c r="J10" s="146"/>
      <c r="K10" s="147">
        <v>-3.4</v>
      </c>
      <c r="L10" s="146"/>
      <c r="M10" s="147">
        <v>1</v>
      </c>
      <c r="N10" s="146"/>
      <c r="O10" s="147">
        <v>-4.6</v>
      </c>
      <c r="P10" s="146"/>
      <c r="Q10" s="147">
        <v>-10.9</v>
      </c>
      <c r="R10" s="146"/>
      <c r="S10" s="147">
        <v>1.4</v>
      </c>
      <c r="T10" s="146"/>
      <c r="U10" s="147">
        <v>-2.2</v>
      </c>
      <c r="V10" s="146"/>
      <c r="W10" s="147">
        <v>1</v>
      </c>
    </row>
    <row r="11" ht="18" customHeight="1" spans="1:23">
      <c r="A11" s="148" t="s">
        <v>146</v>
      </c>
      <c r="B11" s="146"/>
      <c r="C11" s="147">
        <v>-11.2</v>
      </c>
      <c r="D11" s="146"/>
      <c r="E11" s="147">
        <v>14.8</v>
      </c>
      <c r="F11" s="146"/>
      <c r="G11" s="147">
        <v>12.4</v>
      </c>
      <c r="H11" s="146"/>
      <c r="I11" s="147">
        <v>12.3</v>
      </c>
      <c r="J11" s="146"/>
      <c r="K11" s="147">
        <v>10.7</v>
      </c>
      <c r="L11" s="146"/>
      <c r="M11" s="147">
        <v>10.1</v>
      </c>
      <c r="N11" s="146"/>
      <c r="O11" s="147">
        <v>14.3</v>
      </c>
      <c r="P11" s="146"/>
      <c r="Q11" s="147">
        <v>15</v>
      </c>
      <c r="R11" s="146"/>
      <c r="S11" s="147">
        <v>12.3</v>
      </c>
      <c r="T11" s="146"/>
      <c r="U11" s="147">
        <v>16.5</v>
      </c>
      <c r="V11" s="146"/>
      <c r="W11" s="147">
        <v>19.3</v>
      </c>
    </row>
    <row r="12" ht="18" customHeight="1" spans="1:23">
      <c r="A12" s="148" t="s">
        <v>147</v>
      </c>
      <c r="B12" s="146"/>
      <c r="C12" s="147">
        <v>69.3</v>
      </c>
      <c r="D12" s="146"/>
      <c r="E12" s="147">
        <v>66.9</v>
      </c>
      <c r="F12" s="146"/>
      <c r="G12" s="147">
        <v>11.9</v>
      </c>
      <c r="H12" s="146"/>
      <c r="I12" s="147">
        <v>13.8</v>
      </c>
      <c r="J12" s="146"/>
      <c r="K12" s="147">
        <v>39.3</v>
      </c>
      <c r="L12" s="146"/>
      <c r="M12" s="147">
        <v>68</v>
      </c>
      <c r="N12" s="146"/>
      <c r="O12" s="147">
        <v>69.9</v>
      </c>
      <c r="P12" s="146"/>
      <c r="Q12" s="147">
        <v>62</v>
      </c>
      <c r="R12" s="146"/>
      <c r="S12" s="147">
        <v>58.4</v>
      </c>
      <c r="T12" s="146"/>
      <c r="U12" s="147">
        <v>39.4</v>
      </c>
      <c r="V12" s="146"/>
      <c r="W12" s="147">
        <v>27</v>
      </c>
    </row>
    <row r="13" ht="18" customHeight="1" spans="1:23">
      <c r="A13" s="148" t="s">
        <v>148</v>
      </c>
      <c r="B13" s="146"/>
      <c r="C13" s="147">
        <v>0.1</v>
      </c>
      <c r="D13" s="146"/>
      <c r="E13" s="147">
        <v>-2.3</v>
      </c>
      <c r="F13" s="146"/>
      <c r="G13" s="147">
        <v>10.4</v>
      </c>
      <c r="H13" s="146"/>
      <c r="I13" s="147">
        <v>2.7</v>
      </c>
      <c r="J13" s="146"/>
      <c r="K13" s="147">
        <v>3.6</v>
      </c>
      <c r="L13" s="146"/>
      <c r="M13" s="147">
        <v>-1.1</v>
      </c>
      <c r="N13" s="146"/>
      <c r="O13" s="147">
        <v>-3.7</v>
      </c>
      <c r="P13" s="146"/>
      <c r="Q13" s="147">
        <v>-4</v>
      </c>
      <c r="R13" s="146"/>
      <c r="S13" s="147">
        <v>-4.6</v>
      </c>
      <c r="T13" s="146"/>
      <c r="U13" s="147">
        <v>-4</v>
      </c>
      <c r="V13" s="146"/>
      <c r="W13" s="147">
        <v>0</v>
      </c>
    </row>
    <row r="14" ht="18" customHeight="1" spans="1:23">
      <c r="A14" s="148" t="s">
        <v>149</v>
      </c>
      <c r="B14" s="146"/>
      <c r="C14" s="147">
        <v>-39.5</v>
      </c>
      <c r="D14" s="146"/>
      <c r="E14" s="147">
        <v>-55.2</v>
      </c>
      <c r="F14" s="146"/>
      <c r="G14" s="147">
        <v>-51.9</v>
      </c>
      <c r="H14" s="146"/>
      <c r="I14" s="147">
        <v>-50.1</v>
      </c>
      <c r="J14" s="146"/>
      <c r="K14" s="147">
        <v>-49.3</v>
      </c>
      <c r="L14" s="146"/>
      <c r="M14" s="147">
        <v>-48.3</v>
      </c>
      <c r="N14" s="146"/>
      <c r="O14" s="147">
        <v>-47.2</v>
      </c>
      <c r="P14" s="146"/>
      <c r="Q14" s="147">
        <v>-45.7</v>
      </c>
      <c r="R14" s="146"/>
      <c r="S14" s="147">
        <v>-44.5</v>
      </c>
      <c r="T14" s="146"/>
      <c r="U14" s="147">
        <v>-46.4</v>
      </c>
      <c r="V14" s="146"/>
      <c r="W14" s="147">
        <v>-42.7</v>
      </c>
    </row>
    <row r="15" ht="18" customHeight="1" spans="1:23">
      <c r="A15" s="148" t="s">
        <v>150</v>
      </c>
      <c r="B15" s="146"/>
      <c r="C15" s="147">
        <v>-35.5</v>
      </c>
      <c r="D15" s="146"/>
      <c r="E15" s="147">
        <v>-74.3</v>
      </c>
      <c r="F15" s="146"/>
      <c r="G15" s="147">
        <v>-71.7</v>
      </c>
      <c r="H15" s="146"/>
      <c r="I15" s="147">
        <v>-71.6</v>
      </c>
      <c r="J15" s="146"/>
      <c r="K15" s="147">
        <v>-70.4</v>
      </c>
      <c r="L15" s="146"/>
      <c r="M15" s="147">
        <v>-69.8</v>
      </c>
      <c r="N15" s="146"/>
      <c r="O15" s="147">
        <v>-68.7</v>
      </c>
      <c r="P15" s="146"/>
      <c r="Q15" s="147">
        <v>-67.3</v>
      </c>
      <c r="R15" s="146"/>
      <c r="S15" s="147">
        <v>-64.4</v>
      </c>
      <c r="T15" s="146"/>
      <c r="U15" s="147">
        <v>-62</v>
      </c>
      <c r="V15" s="146"/>
      <c r="W15" s="147">
        <v>-63.8</v>
      </c>
    </row>
    <row r="16" ht="18" customHeight="1" spans="1:23">
      <c r="A16" s="148" t="s">
        <v>151</v>
      </c>
      <c r="B16" s="150"/>
      <c r="C16" s="151">
        <v>-5.2</v>
      </c>
      <c r="D16" s="150"/>
      <c r="E16" s="151">
        <v>-67.9</v>
      </c>
      <c r="F16" s="150"/>
      <c r="G16" s="151">
        <v>-69.5</v>
      </c>
      <c r="H16" s="150"/>
      <c r="I16" s="151">
        <v>-69.7</v>
      </c>
      <c r="J16" s="150"/>
      <c r="K16" s="151">
        <v>-70.1</v>
      </c>
      <c r="L16" s="150"/>
      <c r="M16" s="151">
        <v>-69.8</v>
      </c>
      <c r="N16" s="150"/>
      <c r="O16" s="151">
        <v>-67.2</v>
      </c>
      <c r="P16" s="150"/>
      <c r="Q16" s="151">
        <v>-66.2</v>
      </c>
      <c r="R16" s="150"/>
      <c r="S16" s="151">
        <v>-66.4</v>
      </c>
      <c r="T16" s="150"/>
      <c r="U16" s="151">
        <v>-66.4</v>
      </c>
      <c r="V16" s="150"/>
      <c r="W16" s="151">
        <v>-64.3</v>
      </c>
    </row>
    <row r="17" ht="18" customHeight="1" spans="1:23">
      <c r="A17" s="148" t="s">
        <v>152</v>
      </c>
      <c r="B17" s="146"/>
      <c r="C17" s="147">
        <v>-9.8</v>
      </c>
      <c r="D17" s="146"/>
      <c r="E17" s="147">
        <v>40.9</v>
      </c>
      <c r="F17" s="146"/>
      <c r="G17" s="147">
        <v>41.5</v>
      </c>
      <c r="H17" s="146"/>
      <c r="I17" s="147">
        <v>45.3</v>
      </c>
      <c r="J17" s="146"/>
      <c r="K17" s="147">
        <v>45.9</v>
      </c>
      <c r="L17" s="146"/>
      <c r="M17" s="147">
        <v>48</v>
      </c>
      <c r="N17" s="146"/>
      <c r="O17" s="147">
        <v>49</v>
      </c>
      <c r="P17" s="146"/>
      <c r="Q17" s="147">
        <v>57.2</v>
      </c>
      <c r="R17" s="146"/>
      <c r="S17" s="147">
        <v>55.9</v>
      </c>
      <c r="T17" s="146"/>
      <c r="U17" s="147">
        <v>53.1</v>
      </c>
      <c r="V17" s="146"/>
      <c r="W17" s="147">
        <v>49.2</v>
      </c>
    </row>
    <row r="18" ht="18" customHeight="1" spans="1:23">
      <c r="A18" s="148" t="s">
        <v>153</v>
      </c>
      <c r="B18" s="146"/>
      <c r="C18" s="147">
        <v>5.2</v>
      </c>
      <c r="D18" s="146"/>
      <c r="E18" s="147">
        <v>-12.7</v>
      </c>
      <c r="F18" s="146"/>
      <c r="G18" s="147">
        <v>-8.1</v>
      </c>
      <c r="H18" s="146"/>
      <c r="I18" s="147">
        <v>-12</v>
      </c>
      <c r="J18" s="146"/>
      <c r="K18" s="147">
        <v>-13.4</v>
      </c>
      <c r="L18" s="146"/>
      <c r="M18" s="147">
        <v>-12.8</v>
      </c>
      <c r="N18" s="146"/>
      <c r="O18" s="147">
        <v>-21.3</v>
      </c>
      <c r="P18" s="146"/>
      <c r="Q18" s="147">
        <v>-14.7</v>
      </c>
      <c r="R18" s="146"/>
      <c r="S18" s="147">
        <v>-12</v>
      </c>
      <c r="T18" s="146"/>
      <c r="U18" s="147">
        <v>-14.1</v>
      </c>
      <c r="V18" s="146"/>
      <c r="W18" s="147">
        <v>-10</v>
      </c>
    </row>
    <row r="19" ht="18" customHeight="1" spans="1:23">
      <c r="A19" s="148" t="s">
        <v>154</v>
      </c>
      <c r="B19" s="146"/>
      <c r="C19" s="147">
        <v>0.1</v>
      </c>
      <c r="D19" s="146"/>
      <c r="E19" s="147">
        <v>2.6</v>
      </c>
      <c r="F19" s="146"/>
      <c r="G19" s="147">
        <v>4.6</v>
      </c>
      <c r="H19" s="146"/>
      <c r="I19" s="147">
        <v>23.5</v>
      </c>
      <c r="J19" s="146"/>
      <c r="K19" s="147">
        <v>29.3</v>
      </c>
      <c r="L19" s="146"/>
      <c r="M19" s="147">
        <v>27.3</v>
      </c>
      <c r="N19" s="146"/>
      <c r="O19" s="147">
        <v>23</v>
      </c>
      <c r="P19" s="146"/>
      <c r="Q19" s="147">
        <v>18.5</v>
      </c>
      <c r="R19" s="146"/>
      <c r="S19" s="147">
        <v>15.2</v>
      </c>
      <c r="T19" s="146"/>
      <c r="U19" s="147">
        <v>13.7</v>
      </c>
      <c r="V19" s="146"/>
      <c r="W19" s="147">
        <v>11.3</v>
      </c>
    </row>
    <row r="20" ht="18" customHeight="1" spans="1:23">
      <c r="A20" s="148" t="s">
        <v>155</v>
      </c>
      <c r="B20" s="146"/>
      <c r="C20" s="147">
        <v>-4.4</v>
      </c>
      <c r="D20" s="146"/>
      <c r="E20" s="147">
        <v>4.1</v>
      </c>
      <c r="F20" s="146"/>
      <c r="G20" s="147">
        <v>10.3</v>
      </c>
      <c r="H20" s="146"/>
      <c r="I20" s="147">
        <v>29.5</v>
      </c>
      <c r="J20" s="146"/>
      <c r="K20" s="147">
        <v>38.9</v>
      </c>
      <c r="L20" s="146"/>
      <c r="M20" s="147">
        <v>31.8</v>
      </c>
      <c r="N20" s="146"/>
      <c r="O20" s="147">
        <v>27</v>
      </c>
      <c r="P20" s="146"/>
      <c r="Q20" s="147">
        <v>25</v>
      </c>
      <c r="R20" s="146"/>
      <c r="S20" s="147">
        <v>24.6</v>
      </c>
      <c r="T20" s="146"/>
      <c r="U20" s="147">
        <v>23.6</v>
      </c>
      <c r="V20" s="146"/>
      <c r="W20" s="147">
        <v>24.3</v>
      </c>
    </row>
    <row r="21" ht="18" customHeight="1" spans="1:23">
      <c r="A21" s="148" t="s">
        <v>156</v>
      </c>
      <c r="B21" s="146"/>
      <c r="C21" s="147">
        <v>12.4</v>
      </c>
      <c r="D21" s="146"/>
      <c r="E21" s="147">
        <v>-1.4</v>
      </c>
      <c r="F21" s="146"/>
      <c r="G21" s="147">
        <v>-4.8</v>
      </c>
      <c r="H21" s="146"/>
      <c r="I21" s="147">
        <v>-10.1</v>
      </c>
      <c r="J21" s="146"/>
      <c r="K21" s="147">
        <v>-7</v>
      </c>
      <c r="L21" s="146"/>
      <c r="M21" s="147">
        <v>1.2</v>
      </c>
      <c r="N21" s="146"/>
      <c r="O21" s="147">
        <v>5.3</v>
      </c>
      <c r="P21" s="146"/>
      <c r="Q21" s="147">
        <v>4.7</v>
      </c>
      <c r="R21" s="146"/>
      <c r="S21" s="147">
        <v>7.6</v>
      </c>
      <c r="T21" s="146"/>
      <c r="U21" s="147">
        <v>11.3</v>
      </c>
      <c r="V21" s="146"/>
      <c r="W21" s="147">
        <v>7</v>
      </c>
    </row>
    <row r="22" ht="18" customHeight="1" spans="1:23">
      <c r="A22" s="148" t="s">
        <v>157</v>
      </c>
      <c r="B22" s="146"/>
      <c r="C22" s="147">
        <v>11.5</v>
      </c>
      <c r="D22" s="146"/>
      <c r="E22" s="147">
        <v>19</v>
      </c>
      <c r="F22" s="146"/>
      <c r="G22" s="147">
        <v>16.7</v>
      </c>
      <c r="H22" s="146"/>
      <c r="I22" s="147">
        <v>9.5</v>
      </c>
      <c r="J22" s="146"/>
      <c r="K22" s="147">
        <v>8</v>
      </c>
      <c r="L22" s="146"/>
      <c r="M22" s="147">
        <v>4</v>
      </c>
      <c r="N22" s="146"/>
      <c r="O22" s="147">
        <v>1.7</v>
      </c>
      <c r="P22" s="146"/>
      <c r="Q22" s="147">
        <v>1</v>
      </c>
      <c r="R22" s="146"/>
      <c r="S22" s="147">
        <v>3</v>
      </c>
      <c r="T22" s="146"/>
      <c r="U22" s="147">
        <v>0.9</v>
      </c>
      <c r="V22" s="146"/>
      <c r="W22" s="147">
        <v>0.5</v>
      </c>
    </row>
    <row r="23" ht="18" customHeight="1" spans="1:23">
      <c r="A23" s="148" t="s">
        <v>158</v>
      </c>
      <c r="B23" s="146"/>
      <c r="C23" s="147">
        <v>-4.9</v>
      </c>
      <c r="D23" s="146"/>
      <c r="E23" s="147">
        <v>1.3</v>
      </c>
      <c r="F23" s="146"/>
      <c r="G23" s="147">
        <v>3.7</v>
      </c>
      <c r="H23" s="146"/>
      <c r="I23" s="147">
        <v>6.5</v>
      </c>
      <c r="J23" s="146"/>
      <c r="K23" s="147">
        <v>4.7</v>
      </c>
      <c r="L23" s="146"/>
      <c r="M23" s="147">
        <v>3.8</v>
      </c>
      <c r="N23" s="146"/>
      <c r="O23" s="147">
        <v>2.5</v>
      </c>
      <c r="P23" s="146"/>
      <c r="Q23" s="147">
        <v>2</v>
      </c>
      <c r="R23" s="146"/>
      <c r="S23" s="147">
        <v>1</v>
      </c>
      <c r="T23" s="146"/>
      <c r="U23" s="147">
        <v>0.1</v>
      </c>
      <c r="V23" s="146"/>
      <c r="W23" s="147">
        <v>-1</v>
      </c>
    </row>
    <row r="24" ht="18" customHeight="1" spans="1:23">
      <c r="A24" s="148" t="s">
        <v>159</v>
      </c>
      <c r="B24" s="146"/>
      <c r="C24" s="147">
        <v>-4.8</v>
      </c>
      <c r="D24" s="146"/>
      <c r="E24" s="147">
        <v>1.1</v>
      </c>
      <c r="F24" s="146"/>
      <c r="G24" s="147">
        <v>-1</v>
      </c>
      <c r="H24" s="146"/>
      <c r="I24" s="147">
        <v>-1</v>
      </c>
      <c r="J24" s="146"/>
      <c r="K24" s="147">
        <v>2</v>
      </c>
      <c r="L24" s="146"/>
      <c r="M24" s="147">
        <v>4.8</v>
      </c>
      <c r="N24" s="146"/>
      <c r="O24" s="147">
        <v>4.9</v>
      </c>
      <c r="P24" s="146"/>
      <c r="Q24" s="147">
        <v>4.9</v>
      </c>
      <c r="R24" s="146"/>
      <c r="S24" s="147">
        <v>5.2</v>
      </c>
      <c r="T24" s="146"/>
      <c r="U24" s="147">
        <v>5.5</v>
      </c>
      <c r="V24" s="146"/>
      <c r="W24" s="147">
        <v>4.9</v>
      </c>
    </row>
    <row r="25" ht="18" customHeight="1" spans="1:23">
      <c r="A25" s="148" t="s">
        <v>160</v>
      </c>
      <c r="B25" s="146"/>
      <c r="C25" s="147">
        <v>55.7</v>
      </c>
      <c r="D25" s="146"/>
      <c r="E25" s="147">
        <v>34.3</v>
      </c>
      <c r="F25" s="146"/>
      <c r="G25" s="147">
        <v>15.4</v>
      </c>
      <c r="H25" s="146"/>
      <c r="I25" s="147">
        <v>-2</v>
      </c>
      <c r="J25" s="146"/>
      <c r="K25" s="147">
        <v>-19.6</v>
      </c>
      <c r="L25" s="146"/>
      <c r="M25" s="147">
        <v>-2.7</v>
      </c>
      <c r="N25" s="146"/>
      <c r="O25" s="147">
        <v>2.9</v>
      </c>
      <c r="P25" s="146"/>
      <c r="Q25" s="147">
        <v>1.6</v>
      </c>
      <c r="R25" s="146"/>
      <c r="S25" s="147">
        <v>2.8</v>
      </c>
      <c r="T25" s="146"/>
      <c r="U25" s="147">
        <v>4.4</v>
      </c>
      <c r="V25" s="146"/>
      <c r="W25" s="147">
        <v>3.5</v>
      </c>
    </row>
    <row r="26" ht="18" customHeight="1" spans="1:23">
      <c r="A26" s="148" t="s">
        <v>161</v>
      </c>
      <c r="B26" s="146"/>
      <c r="C26" s="147">
        <v>-1.4</v>
      </c>
      <c r="D26" s="146"/>
      <c r="E26" s="147">
        <v>-23.4</v>
      </c>
      <c r="F26" s="146"/>
      <c r="G26" s="147">
        <v>-22.4</v>
      </c>
      <c r="H26" s="146"/>
      <c r="I26" s="147">
        <v>-51.5</v>
      </c>
      <c r="J26" s="146"/>
      <c r="K26" s="147">
        <v>-47.9</v>
      </c>
      <c r="L26" s="146"/>
      <c r="M26" s="147">
        <v>-51.8</v>
      </c>
      <c r="N26" s="146"/>
      <c r="O26" s="147">
        <v>-52.4</v>
      </c>
      <c r="P26" s="146"/>
      <c r="Q26" s="147">
        <v>-52.7</v>
      </c>
      <c r="R26" s="146"/>
      <c r="S26" s="147">
        <v>-52.3</v>
      </c>
      <c r="T26" s="146"/>
      <c r="U26" s="147">
        <v>-52.6</v>
      </c>
      <c r="V26" s="146"/>
      <c r="W26" s="147">
        <v>-51</v>
      </c>
    </row>
    <row r="27" ht="18" customHeight="1" spans="1:23">
      <c r="A27" s="148" t="s">
        <v>162</v>
      </c>
      <c r="B27" s="146"/>
      <c r="C27" s="147">
        <v>9.5</v>
      </c>
      <c r="D27" s="146"/>
      <c r="E27" s="147">
        <v>-12.1</v>
      </c>
      <c r="F27" s="146"/>
      <c r="G27" s="147">
        <v>-13</v>
      </c>
      <c r="H27" s="146"/>
      <c r="I27" s="147">
        <v>-9.5</v>
      </c>
      <c r="J27" s="146"/>
      <c r="K27" s="147">
        <v>-8.4</v>
      </c>
      <c r="L27" s="146"/>
      <c r="M27" s="147">
        <v>-9.1</v>
      </c>
      <c r="N27" s="146"/>
      <c r="O27" s="147">
        <v>-10.3</v>
      </c>
      <c r="P27" s="146"/>
      <c r="Q27" s="147">
        <v>-13.7</v>
      </c>
      <c r="R27" s="146"/>
      <c r="S27" s="147">
        <v>-15.2</v>
      </c>
      <c r="T27" s="146"/>
      <c r="U27" s="147">
        <v>-14.1</v>
      </c>
      <c r="V27" s="146"/>
      <c r="W27" s="147">
        <v>-13.2</v>
      </c>
    </row>
    <row r="28" ht="18" customHeight="1" spans="1:23">
      <c r="A28" s="148" t="s">
        <v>163</v>
      </c>
      <c r="B28" s="146"/>
      <c r="C28" s="147">
        <v>-5.1</v>
      </c>
      <c r="D28" s="146"/>
      <c r="E28" s="147">
        <v>5.5</v>
      </c>
      <c r="F28" s="146"/>
      <c r="G28" s="147">
        <v>7.3</v>
      </c>
      <c r="H28" s="146"/>
      <c r="I28" s="147">
        <v>15.5</v>
      </c>
      <c r="J28" s="146"/>
      <c r="K28" s="147">
        <v>18.7</v>
      </c>
      <c r="L28" s="146"/>
      <c r="M28" s="147">
        <v>12.7</v>
      </c>
      <c r="N28" s="146"/>
      <c r="O28" s="147">
        <v>9.5</v>
      </c>
      <c r="P28" s="146"/>
      <c r="Q28" s="147">
        <v>9.8</v>
      </c>
      <c r="R28" s="146"/>
      <c r="S28" s="147">
        <v>9.5</v>
      </c>
      <c r="T28" s="146"/>
      <c r="U28" s="147">
        <v>9.6</v>
      </c>
      <c r="V28" s="146"/>
      <c r="W28" s="147">
        <v>11.4</v>
      </c>
    </row>
    <row r="29" ht="18" customHeight="1" spans="1:23">
      <c r="A29" s="148" t="s">
        <v>164</v>
      </c>
      <c r="B29" s="146"/>
      <c r="C29" s="147">
        <v>-22.6</v>
      </c>
      <c r="D29" s="146"/>
      <c r="E29" s="147">
        <v>18.5</v>
      </c>
      <c r="F29" s="146"/>
      <c r="G29" s="147">
        <v>19.9</v>
      </c>
      <c r="H29" s="146"/>
      <c r="I29" s="147">
        <v>19.5</v>
      </c>
      <c r="J29" s="146"/>
      <c r="K29" s="147">
        <v>23.5</v>
      </c>
      <c r="L29" s="146"/>
      <c r="M29" s="147">
        <v>24.6</v>
      </c>
      <c r="N29" s="146"/>
      <c r="O29" s="147">
        <v>24.6</v>
      </c>
      <c r="P29" s="146"/>
      <c r="Q29" s="147">
        <v>23</v>
      </c>
      <c r="R29" s="146"/>
      <c r="S29" s="147">
        <v>24.8</v>
      </c>
      <c r="T29" s="146"/>
      <c r="U29" s="147">
        <v>26</v>
      </c>
      <c r="V29" s="146"/>
      <c r="W29" s="147">
        <v>25.3</v>
      </c>
    </row>
    <row r="30" ht="18" customHeight="1" spans="1:23">
      <c r="A30" s="148" t="s">
        <v>165</v>
      </c>
      <c r="B30" s="146"/>
      <c r="C30" s="147">
        <v>34.4</v>
      </c>
      <c r="D30" s="146"/>
      <c r="E30" s="147">
        <v>43.9</v>
      </c>
      <c r="F30" s="146"/>
      <c r="G30" s="147">
        <v>36.6</v>
      </c>
      <c r="H30" s="146"/>
      <c r="I30" s="147">
        <v>31</v>
      </c>
      <c r="J30" s="146"/>
      <c r="K30" s="147">
        <v>28.5</v>
      </c>
      <c r="L30" s="146"/>
      <c r="M30" s="147">
        <v>27.5</v>
      </c>
      <c r="N30" s="146"/>
      <c r="O30" s="147">
        <v>27.4</v>
      </c>
      <c r="P30" s="146"/>
      <c r="Q30" s="147">
        <v>29.1</v>
      </c>
      <c r="R30" s="146"/>
      <c r="S30" s="147">
        <v>27.7</v>
      </c>
      <c r="T30" s="146"/>
      <c r="U30" s="147">
        <v>27.9</v>
      </c>
      <c r="V30" s="146"/>
      <c r="W30" s="147">
        <v>27.6</v>
      </c>
    </row>
    <row r="31" ht="18" customHeight="1" spans="1:23">
      <c r="A31" s="148" t="s">
        <v>166</v>
      </c>
      <c r="B31" s="146"/>
      <c r="C31" s="147">
        <v>10.5</v>
      </c>
      <c r="D31" s="146"/>
      <c r="E31" s="147">
        <v>-3.7</v>
      </c>
      <c r="F31" s="146"/>
      <c r="G31" s="147">
        <v>-3</v>
      </c>
      <c r="H31" s="146"/>
      <c r="I31" s="147">
        <v>-15.2</v>
      </c>
      <c r="J31" s="146"/>
      <c r="K31" s="147">
        <v>-14.4</v>
      </c>
      <c r="L31" s="146"/>
      <c r="M31" s="147">
        <v>-15</v>
      </c>
      <c r="N31" s="146"/>
      <c r="O31" s="147">
        <v>-14.6</v>
      </c>
      <c r="P31" s="146"/>
      <c r="Q31" s="147">
        <v>-15.7</v>
      </c>
      <c r="R31" s="146"/>
      <c r="S31" s="147">
        <v>-16.9</v>
      </c>
      <c r="T31" s="146"/>
      <c r="U31" s="147">
        <v>-17.8</v>
      </c>
      <c r="V31" s="146"/>
      <c r="W31" s="147">
        <v>-18.1</v>
      </c>
    </row>
    <row r="32" ht="18" customHeight="1" spans="1:23">
      <c r="A32" s="148" t="s">
        <v>167</v>
      </c>
      <c r="B32" s="146"/>
      <c r="C32" s="147">
        <v>51.9</v>
      </c>
      <c r="D32" s="146"/>
      <c r="E32" s="147">
        <v>89.3</v>
      </c>
      <c r="F32" s="146"/>
      <c r="G32" s="147">
        <v>67.3</v>
      </c>
      <c r="H32" s="146"/>
      <c r="I32" s="147">
        <v>63.1</v>
      </c>
      <c r="J32" s="146"/>
      <c r="K32" s="147">
        <v>54.1</v>
      </c>
      <c r="L32" s="146"/>
      <c r="M32" s="147">
        <v>58</v>
      </c>
      <c r="N32" s="146"/>
      <c r="O32" s="147">
        <v>59.3</v>
      </c>
      <c r="P32" s="146"/>
      <c r="Q32" s="147">
        <v>51.3</v>
      </c>
      <c r="R32" s="146"/>
      <c r="S32" s="147">
        <v>58.4</v>
      </c>
      <c r="T32" s="146"/>
      <c r="U32" s="147">
        <v>52.5</v>
      </c>
      <c r="V32" s="146"/>
      <c r="W32" s="147">
        <v>55.6</v>
      </c>
    </row>
    <row r="33" ht="21.75" customHeight="1" spans="1:167">
      <c r="A33" s="149" t="s">
        <v>168</v>
      </c>
      <c r="B33" s="219"/>
      <c r="C33" s="197">
        <v>1.27407575718273</v>
      </c>
      <c r="D33" s="219"/>
      <c r="E33" s="197">
        <v>-9.09820486118313</v>
      </c>
      <c r="F33" s="219"/>
      <c r="G33" s="197">
        <v>-10.0703628400838</v>
      </c>
      <c r="H33" s="219"/>
      <c r="I33" s="197">
        <v>-11</v>
      </c>
      <c r="J33" s="219"/>
      <c r="K33" s="197">
        <v>-9.06168545356137</v>
      </c>
      <c r="L33" s="219"/>
      <c r="M33" s="197">
        <v>-5.44067337113628</v>
      </c>
      <c r="N33" s="219"/>
      <c r="O33" s="197">
        <v>-5.76389704208501</v>
      </c>
      <c r="P33" s="219"/>
      <c r="Q33" s="197">
        <v>-5.57655312646197</v>
      </c>
      <c r="R33" s="219"/>
      <c r="S33" s="197">
        <v>-4.77376111316174</v>
      </c>
      <c r="T33" s="219"/>
      <c r="U33" s="197">
        <v>-5.34537219671718</v>
      </c>
      <c r="V33" s="219"/>
      <c r="W33" s="197">
        <v>-4.13996092495896</v>
      </c>
    </row>
    <row r="34" ht="18" customHeight="1" spans="1:167">
      <c r="A34" s="148" t="s">
        <v>169</v>
      </c>
      <c r="B34" s="146"/>
      <c r="C34" s="147">
        <v>0.8</v>
      </c>
      <c r="D34" s="146"/>
      <c r="E34" s="147">
        <v>-10</v>
      </c>
      <c r="F34" s="146"/>
      <c r="G34" s="147">
        <v>-10.4</v>
      </c>
      <c r="H34" s="146"/>
      <c r="I34" s="147">
        <v>-11.5</v>
      </c>
      <c r="J34" s="146"/>
      <c r="K34" s="147">
        <v>-9.6</v>
      </c>
      <c r="L34" s="146"/>
      <c r="M34" s="147">
        <v>-5.7</v>
      </c>
      <c r="N34" s="146"/>
      <c r="O34" s="147">
        <v>-6</v>
      </c>
      <c r="P34" s="146"/>
      <c r="Q34" s="147">
        <v>-6.2</v>
      </c>
      <c r="R34" s="146"/>
      <c r="S34" s="147">
        <v>-5.3</v>
      </c>
      <c r="T34" s="146"/>
      <c r="U34" s="147">
        <v>-5.9</v>
      </c>
      <c r="V34" s="146"/>
      <c r="W34" s="147">
        <v>-4.6</v>
      </c>
    </row>
    <row r="35" ht="18" customHeight="1" spans="1:167">
      <c r="A35" s="148" t="s">
        <v>170</v>
      </c>
      <c r="B35" s="146"/>
      <c r="C35" s="147">
        <v>25.9</v>
      </c>
      <c r="D35" s="146"/>
      <c r="E35" s="147">
        <v>1.9</v>
      </c>
      <c r="F35" s="146"/>
      <c r="G35" s="147">
        <v>9.7</v>
      </c>
      <c r="H35" s="146"/>
      <c r="I35" s="147">
        <v>6.9</v>
      </c>
      <c r="J35" s="146"/>
      <c r="K35" s="147">
        <v>8.3</v>
      </c>
      <c r="L35" s="146"/>
      <c r="M35" s="147">
        <v>9.5</v>
      </c>
      <c r="N35" s="146"/>
      <c r="O35" s="147">
        <v>8.5</v>
      </c>
      <c r="P35" s="146"/>
      <c r="Q35" s="147">
        <v>11.7</v>
      </c>
      <c r="R35" s="146"/>
      <c r="S35" s="147">
        <v>14.3</v>
      </c>
      <c r="T35" s="146"/>
      <c r="U35" s="147">
        <v>16</v>
      </c>
      <c r="V35" s="146"/>
      <c r="W35" s="147">
        <v>19.2</v>
      </c>
    </row>
    <row r="36" ht="18" customHeight="1" spans="1:167">
      <c r="A36" s="152" t="s">
        <v>171</v>
      </c>
      <c r="B36" s="153"/>
      <c r="C36" s="154">
        <v>4.7</v>
      </c>
      <c r="D36" s="153"/>
      <c r="E36" s="154">
        <v>0.8</v>
      </c>
      <c r="F36" s="153"/>
      <c r="G36" s="154">
        <v>-9.6</v>
      </c>
      <c r="H36" s="153"/>
      <c r="I36" s="154">
        <v>-7.4</v>
      </c>
      <c r="J36" s="153"/>
      <c r="K36" s="154">
        <v>-4.6</v>
      </c>
      <c r="L36" s="153"/>
      <c r="M36" s="154">
        <v>-4.3</v>
      </c>
      <c r="N36" s="153"/>
      <c r="O36" s="154">
        <v>-5.1</v>
      </c>
      <c r="P36" s="153"/>
      <c r="Q36" s="154">
        <v>-0.3</v>
      </c>
      <c r="R36" s="153"/>
      <c r="S36" s="154">
        <v>-1.4</v>
      </c>
      <c r="T36" s="153"/>
      <c r="U36" s="154">
        <v>-1.9</v>
      </c>
      <c r="V36" s="153"/>
      <c r="W36" s="154">
        <v>-2.2</v>
      </c>
    </row>
    <row r="37" s="134" customFormat="1" ht="44" customHeight="1" spans="1:167">
      <c r="A37" s="155" t="s">
        <v>137</v>
      </c>
      <c r="B37" s="155"/>
      <c r="C37" s="155"/>
      <c r="D37" s="155"/>
      <c r="E37" s="155"/>
      <c r="F37" s="155"/>
      <c r="G37" s="155"/>
      <c r="H37" s="155"/>
      <c r="I37" s="155"/>
      <c r="J37" s="155"/>
      <c r="K37" s="155"/>
      <c r="L37" s="155"/>
      <c r="M37" s="155"/>
      <c r="N37" s="155"/>
      <c r="O37" s="155"/>
      <c r="P37" s="155"/>
      <c r="Q37" s="155"/>
      <c r="R37" s="155"/>
      <c r="S37" s="155"/>
      <c r="T37" s="155"/>
      <c r="U37" s="155"/>
      <c r="V37" s="155"/>
      <c r="W37" s="155"/>
      <c r="X37" s="133"/>
      <c r="Y37" s="133"/>
      <c r="Z37" s="133"/>
      <c r="AA37" s="133"/>
      <c r="AB37" s="133"/>
      <c r="AC37" s="133"/>
      <c r="AD37" s="133"/>
      <c r="AE37" s="133"/>
      <c r="AF37" s="133"/>
      <c r="AG37" s="133"/>
      <c r="AH37" s="133"/>
      <c r="AI37" s="133"/>
      <c r="AJ37" s="133"/>
      <c r="AK37" s="133"/>
      <c r="AL37" s="133"/>
      <c r="AM37" s="133"/>
      <c r="AN37" s="133"/>
      <c r="AO37" s="133"/>
      <c r="AP37" s="133"/>
      <c r="AQ37" s="133"/>
      <c r="AR37" s="133"/>
      <c r="AS37" s="133"/>
      <c r="AT37" s="133"/>
      <c r="AU37" s="133"/>
      <c r="AV37" s="133"/>
      <c r="AW37" s="133"/>
      <c r="AX37" s="133"/>
      <c r="AY37" s="133"/>
      <c r="AZ37" s="133"/>
      <c r="BA37" s="133"/>
      <c r="BB37" s="133"/>
      <c r="BC37" s="133"/>
      <c r="BD37" s="133"/>
      <c r="BE37" s="133"/>
      <c r="BF37" s="133"/>
      <c r="BG37" s="133"/>
      <c r="BH37" s="133"/>
      <c r="BI37" s="133"/>
      <c r="BJ37" s="133"/>
      <c r="BK37" s="133"/>
      <c r="BL37" s="133"/>
      <c r="BM37" s="133"/>
      <c r="BN37" s="133"/>
      <c r="BO37" s="133"/>
      <c r="BP37" s="133"/>
      <c r="BQ37" s="133"/>
      <c r="BR37" s="133"/>
      <c r="BS37" s="133"/>
      <c r="BT37" s="133"/>
      <c r="BU37" s="133"/>
      <c r="BV37" s="133"/>
      <c r="BW37" s="133"/>
      <c r="BX37" s="133"/>
      <c r="BY37" s="133"/>
      <c r="BZ37" s="133"/>
      <c r="CA37" s="133"/>
      <c r="CB37" s="133"/>
      <c r="CC37" s="133"/>
      <c r="CD37" s="133"/>
      <c r="CE37" s="133"/>
      <c r="CF37" s="133"/>
      <c r="CG37" s="133"/>
      <c r="CH37" s="133"/>
      <c r="CI37" s="133"/>
      <c r="CJ37" s="133"/>
      <c r="CK37" s="133"/>
      <c r="CL37" s="133"/>
      <c r="CM37" s="133"/>
      <c r="CN37" s="133"/>
      <c r="CO37" s="133"/>
      <c r="CP37" s="133"/>
      <c r="CQ37" s="133"/>
      <c r="CR37" s="133"/>
      <c r="CS37" s="133"/>
      <c r="CT37" s="133"/>
      <c r="CU37" s="133"/>
      <c r="CV37" s="133"/>
      <c r="CW37" s="133"/>
      <c r="CX37" s="133"/>
      <c r="CY37" s="133"/>
      <c r="CZ37" s="133"/>
      <c r="DA37" s="133"/>
      <c r="DB37" s="133"/>
      <c r="DC37" s="133"/>
      <c r="DD37" s="133"/>
      <c r="DE37" s="133"/>
      <c r="DF37" s="133"/>
      <c r="DG37" s="133"/>
      <c r="DH37" s="133"/>
      <c r="DI37" s="133"/>
      <c r="DJ37" s="133"/>
      <c r="DK37" s="133"/>
      <c r="DL37" s="133"/>
      <c r="DM37" s="133"/>
      <c r="DN37" s="133"/>
      <c r="DO37" s="133"/>
      <c r="DP37" s="133"/>
      <c r="DQ37" s="133"/>
      <c r="DR37" s="133"/>
      <c r="DS37" s="133"/>
      <c r="DT37" s="133"/>
      <c r="DU37" s="133"/>
      <c r="DV37" s="133"/>
      <c r="DW37" s="133"/>
      <c r="DX37" s="133"/>
      <c r="DY37" s="133"/>
      <c r="DZ37" s="133"/>
      <c r="EA37" s="133"/>
      <c r="EB37" s="133"/>
      <c r="EC37" s="133"/>
      <c r="ED37" s="133"/>
      <c r="EE37" s="133"/>
      <c r="EF37" s="133"/>
      <c r="EG37" s="133"/>
      <c r="EH37" s="133"/>
      <c r="EI37" s="133"/>
      <c r="EJ37" s="133"/>
      <c r="EK37" s="133"/>
      <c r="EL37" s="133"/>
      <c r="EM37" s="133"/>
      <c r="EN37" s="133"/>
      <c r="EO37" s="133"/>
      <c r="EP37" s="133"/>
      <c r="EQ37" s="133"/>
      <c r="ER37" s="133"/>
      <c r="ES37" s="133"/>
      <c r="ET37" s="133"/>
      <c r="EU37" s="133"/>
      <c r="EV37" s="133"/>
      <c r="EW37" s="133"/>
      <c r="EX37" s="133"/>
      <c r="EY37" s="133"/>
      <c r="EZ37" s="133"/>
      <c r="FA37" s="133"/>
      <c r="FB37" s="133"/>
      <c r="FC37" s="133"/>
      <c r="FD37" s="133"/>
      <c r="FE37" s="133"/>
      <c r="FF37" s="133"/>
      <c r="FG37" s="133"/>
      <c r="FH37" s="133"/>
      <c r="FI37" s="133"/>
      <c r="FJ37" s="133"/>
      <c r="FK37" s="133"/>
    </row>
    <row r="38" ht="41" customHeight="1"/>
  </sheetData>
  <mergeCells count="14">
    <mergeCell ref="A1:W1"/>
    <mergeCell ref="B2:C2"/>
    <mergeCell ref="D2:E2"/>
    <mergeCell ref="F2:G2"/>
    <mergeCell ref="H2:I2"/>
    <mergeCell ref="J2:K2"/>
    <mergeCell ref="L2:M2"/>
    <mergeCell ref="N2:O2"/>
    <mergeCell ref="P2:Q2"/>
    <mergeCell ref="R2:S2"/>
    <mergeCell ref="T2:U2"/>
    <mergeCell ref="V2:W2"/>
    <mergeCell ref="A37:W37"/>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V21"/>
  <sheetViews>
    <sheetView zoomScale="80" zoomScaleNormal="80" workbookViewId="0">
      <pane xSplit="2" ySplit="3" topLeftCell="N4" activePane="bottomRight" state="frozen"/>
      <selection/>
      <selection pane="topRight"/>
      <selection pane="bottomLeft"/>
      <selection pane="bottomRight" activeCell="U4" sqref="U4:V20"/>
    </sheetView>
  </sheetViews>
  <sheetFormatPr defaultColWidth="9" defaultRowHeight="14.25"/>
  <cols>
    <col min="1" max="1" width="17.025" style="133" customWidth="1"/>
    <col min="2" max="2" width="7.625" style="133" customWidth="1"/>
    <col min="3" max="3" width="11.4" style="133" customWidth="1"/>
    <col min="4" max="20" width="10.775" style="133" customWidth="1"/>
    <col min="21" max="21" width="10.375" style="133"/>
    <col min="22" max="22" width="9.375" style="133"/>
    <col min="23" max="16384" width="9" style="133"/>
  </cols>
  <sheetData>
    <row r="1" ht="28.5" customHeight="1" spans="1:22">
      <c r="A1" s="135" t="s">
        <v>172</v>
      </c>
      <c r="B1" s="135"/>
      <c r="C1" s="135"/>
      <c r="D1" s="135"/>
      <c r="E1" s="135"/>
      <c r="F1" s="135"/>
      <c r="G1" s="135"/>
      <c r="H1" s="135"/>
      <c r="I1" s="135"/>
      <c r="J1" s="135"/>
      <c r="K1" s="135"/>
      <c r="L1" s="135"/>
      <c r="M1" s="135"/>
      <c r="N1" s="135"/>
      <c r="O1" s="135"/>
      <c r="P1" s="135"/>
      <c r="Q1" s="135"/>
      <c r="R1" s="135"/>
      <c r="S1" s="135"/>
      <c r="T1" s="135"/>
      <c r="U1" s="135"/>
      <c r="V1" s="135"/>
    </row>
    <row r="2" ht="21" customHeight="1" spans="1:22">
      <c r="A2" s="283" t="s">
        <v>173</v>
      </c>
      <c r="B2" s="284" t="s">
        <v>2</v>
      </c>
      <c r="C2" s="137" t="s">
        <v>3</v>
      </c>
      <c r="D2" s="138"/>
      <c r="E2" s="137" t="s">
        <v>4</v>
      </c>
      <c r="F2" s="138"/>
      <c r="G2" s="137" t="s">
        <v>5</v>
      </c>
      <c r="H2" s="138"/>
      <c r="I2" s="137" t="s">
        <v>6</v>
      </c>
      <c r="J2" s="138"/>
      <c r="K2" s="137" t="s">
        <v>7</v>
      </c>
      <c r="L2" s="138"/>
      <c r="M2" s="137" t="s">
        <v>8</v>
      </c>
      <c r="N2" s="138"/>
      <c r="O2" s="137" t="s">
        <v>9</v>
      </c>
      <c r="P2" s="138"/>
      <c r="Q2" s="137" t="s">
        <v>10</v>
      </c>
      <c r="R2" s="138"/>
      <c r="S2" s="137" t="s">
        <v>11</v>
      </c>
      <c r="T2" s="138"/>
      <c r="U2" s="137" t="s">
        <v>12</v>
      </c>
      <c r="V2" s="138"/>
    </row>
    <row r="3" ht="21" customHeight="1" spans="1:22">
      <c r="A3" s="291"/>
      <c r="B3" s="292"/>
      <c r="C3" s="140" t="s">
        <v>14</v>
      </c>
      <c r="D3" s="141" t="s">
        <v>15</v>
      </c>
      <c r="E3" s="140" t="s">
        <v>14</v>
      </c>
      <c r="F3" s="141" t="s">
        <v>15</v>
      </c>
      <c r="G3" s="140" t="s">
        <v>14</v>
      </c>
      <c r="H3" s="141" t="s">
        <v>15</v>
      </c>
      <c r="I3" s="140" t="s">
        <v>14</v>
      </c>
      <c r="J3" s="141" t="s">
        <v>15</v>
      </c>
      <c r="K3" s="140" t="s">
        <v>14</v>
      </c>
      <c r="L3" s="141" t="s">
        <v>15</v>
      </c>
      <c r="M3" s="140" t="s">
        <v>14</v>
      </c>
      <c r="N3" s="141" t="s">
        <v>15</v>
      </c>
      <c r="O3" s="140" t="s">
        <v>14</v>
      </c>
      <c r="P3" s="141" t="s">
        <v>15</v>
      </c>
      <c r="Q3" s="140" t="s">
        <v>14</v>
      </c>
      <c r="R3" s="141" t="s">
        <v>15</v>
      </c>
      <c r="S3" s="140" t="s">
        <v>14</v>
      </c>
      <c r="T3" s="141" t="s">
        <v>15</v>
      </c>
      <c r="U3" s="140" t="s">
        <v>14</v>
      </c>
      <c r="V3" s="141" t="s">
        <v>15</v>
      </c>
    </row>
    <row r="4" ht="34" customHeight="1" spans="1:22">
      <c r="A4" s="285" t="s">
        <v>174</v>
      </c>
      <c r="B4" s="286" t="s">
        <v>175</v>
      </c>
      <c r="C4" s="250">
        <v>826</v>
      </c>
      <c r="D4" s="147">
        <v>1.1</v>
      </c>
      <c r="E4" s="250">
        <v>792</v>
      </c>
      <c r="F4" s="147">
        <v>-3.4</v>
      </c>
      <c r="G4" s="250">
        <v>792</v>
      </c>
      <c r="H4" s="147">
        <v>-3.2967032967033</v>
      </c>
      <c r="I4" s="250">
        <v>792</v>
      </c>
      <c r="J4" s="147">
        <v>-3.2967032967033</v>
      </c>
      <c r="K4" s="250">
        <v>792</v>
      </c>
      <c r="L4" s="147">
        <v>-3.2967032967033</v>
      </c>
      <c r="M4" s="250">
        <v>793</v>
      </c>
      <c r="N4" s="147">
        <v>-3.17460317460318</v>
      </c>
      <c r="O4" s="250">
        <v>793</v>
      </c>
      <c r="P4" s="147">
        <v>-3.17460317460318</v>
      </c>
      <c r="Q4" s="250">
        <v>794</v>
      </c>
      <c r="R4" s="147">
        <v>-3.17073170731707</v>
      </c>
      <c r="S4" s="250">
        <v>795</v>
      </c>
      <c r="T4" s="147">
        <v>-3.04878048780488</v>
      </c>
      <c r="U4" s="250">
        <v>795</v>
      </c>
      <c r="V4" s="147">
        <v>-3.04878048780488</v>
      </c>
    </row>
    <row r="5" ht="34" customHeight="1" spans="1:22">
      <c r="A5" s="148" t="s">
        <v>176</v>
      </c>
      <c r="B5" s="288" t="s">
        <v>175</v>
      </c>
      <c r="C5" s="250">
        <v>267</v>
      </c>
      <c r="D5" s="147">
        <v>15.6</v>
      </c>
      <c r="E5" s="250">
        <v>295</v>
      </c>
      <c r="F5" s="147">
        <v>1.4</v>
      </c>
      <c r="G5" s="250">
        <v>323</v>
      </c>
      <c r="H5" s="147">
        <v>-3.3</v>
      </c>
      <c r="I5" s="250">
        <v>288</v>
      </c>
      <c r="J5" s="147">
        <v>-3.7</v>
      </c>
      <c r="K5" s="250">
        <v>285</v>
      </c>
      <c r="L5" s="147">
        <v>3.3</v>
      </c>
      <c r="M5" s="250">
        <v>293</v>
      </c>
      <c r="N5" s="147">
        <v>4.6</v>
      </c>
      <c r="O5" s="250">
        <v>295</v>
      </c>
      <c r="P5" s="147">
        <v>8.5</v>
      </c>
      <c r="Q5" s="250">
        <v>282</v>
      </c>
      <c r="R5" s="147">
        <v>7.2</v>
      </c>
      <c r="S5" s="250">
        <v>282</v>
      </c>
      <c r="T5" s="147">
        <v>7.6</v>
      </c>
      <c r="U5" s="250">
        <v>282</v>
      </c>
      <c r="V5" s="147">
        <v>11.9</v>
      </c>
    </row>
    <row r="6" ht="34" customHeight="1" spans="1:22">
      <c r="A6" s="148" t="s">
        <v>177</v>
      </c>
      <c r="B6" s="288" t="s">
        <v>17</v>
      </c>
      <c r="C6" s="146">
        <v>50.86</v>
      </c>
      <c r="D6" s="147">
        <v>16.9</v>
      </c>
      <c r="E6" s="146">
        <v>10.93</v>
      </c>
      <c r="F6" s="147">
        <v>39.4</v>
      </c>
      <c r="G6" s="146">
        <v>16.07</v>
      </c>
      <c r="H6" s="147">
        <v>43.3</v>
      </c>
      <c r="I6" s="146">
        <v>22.74</v>
      </c>
      <c r="J6" s="147">
        <v>57.8</v>
      </c>
      <c r="K6" s="146">
        <v>27.44212</v>
      </c>
      <c r="L6" s="147">
        <v>18.1</v>
      </c>
      <c r="M6" s="146">
        <v>33.21</v>
      </c>
      <c r="N6" s="147">
        <v>24.3</v>
      </c>
      <c r="O6" s="146">
        <v>45.89</v>
      </c>
      <c r="P6" s="147">
        <v>60.6</v>
      </c>
      <c r="Q6" s="146">
        <v>49.29</v>
      </c>
      <c r="R6" s="147">
        <v>52.2</v>
      </c>
      <c r="S6" s="146">
        <v>57.48</v>
      </c>
      <c r="T6" s="147">
        <v>55.9</v>
      </c>
      <c r="U6" s="146">
        <v>63.94</v>
      </c>
      <c r="V6" s="147">
        <v>57.9</v>
      </c>
    </row>
    <row r="7" ht="34" customHeight="1" spans="1:22">
      <c r="A7" s="148" t="s">
        <v>178</v>
      </c>
      <c r="B7" s="288" t="s">
        <v>17</v>
      </c>
      <c r="C7" s="146">
        <v>1328.1</v>
      </c>
      <c r="D7" s="147">
        <v>-3.6</v>
      </c>
      <c r="E7" s="146">
        <v>1321.59</v>
      </c>
      <c r="F7" s="147">
        <v>-5.7</v>
      </c>
      <c r="G7" s="146">
        <v>1345.69</v>
      </c>
      <c r="H7" s="147">
        <v>-3.4</v>
      </c>
      <c r="I7" s="146">
        <v>1347.85</v>
      </c>
      <c r="J7" s="147">
        <v>-2.9</v>
      </c>
      <c r="K7" s="146">
        <v>1325.4473</v>
      </c>
      <c r="L7" s="147">
        <v>-6.5</v>
      </c>
      <c r="M7" s="146">
        <v>1333.93</v>
      </c>
      <c r="N7" s="147">
        <v>-6.6</v>
      </c>
      <c r="O7" s="146">
        <v>1316.68</v>
      </c>
      <c r="P7" s="147">
        <v>-9.3</v>
      </c>
      <c r="Q7" s="146">
        <v>1347.66</v>
      </c>
      <c r="R7" s="147">
        <v>-6.5</v>
      </c>
      <c r="S7" s="146">
        <v>1335.91</v>
      </c>
      <c r="T7" s="147">
        <v>-5</v>
      </c>
      <c r="U7" s="146">
        <v>1340.88</v>
      </c>
      <c r="V7" s="147">
        <v>-2.8</v>
      </c>
    </row>
    <row r="8" ht="34" customHeight="1" spans="1:22">
      <c r="A8" s="148" t="s">
        <v>179</v>
      </c>
      <c r="B8" s="288" t="s">
        <v>17</v>
      </c>
      <c r="C8" s="146">
        <v>320.51</v>
      </c>
      <c r="D8" s="147">
        <v>-1.7</v>
      </c>
      <c r="E8" s="146">
        <v>328.29</v>
      </c>
      <c r="F8" s="147">
        <v>0.6</v>
      </c>
      <c r="G8" s="146">
        <v>343.21</v>
      </c>
      <c r="H8" s="147">
        <v>10</v>
      </c>
      <c r="I8" s="146">
        <v>329.90332</v>
      </c>
      <c r="J8" s="147">
        <v>1.4</v>
      </c>
      <c r="K8" s="146">
        <v>334.56</v>
      </c>
      <c r="L8" s="147">
        <v>-4.1</v>
      </c>
      <c r="M8" s="146">
        <v>328.6</v>
      </c>
      <c r="N8" s="147">
        <v>-9.4</v>
      </c>
      <c r="O8" s="146">
        <v>308.9</v>
      </c>
      <c r="P8" s="147">
        <v>-10.4</v>
      </c>
      <c r="Q8" s="146">
        <v>317.25</v>
      </c>
      <c r="R8" s="147">
        <v>-6.6</v>
      </c>
      <c r="S8" s="146">
        <v>317.47</v>
      </c>
      <c r="T8" s="147">
        <v>-5.4</v>
      </c>
      <c r="U8" s="146">
        <v>304.47</v>
      </c>
      <c r="V8" s="147">
        <v>-5.1</v>
      </c>
    </row>
    <row r="9" ht="34" customHeight="1" spans="1:22">
      <c r="A9" s="148" t="s">
        <v>180</v>
      </c>
      <c r="B9" s="288" t="s">
        <v>17</v>
      </c>
      <c r="C9" s="146">
        <v>98.78</v>
      </c>
      <c r="D9" s="147">
        <v>6.1</v>
      </c>
      <c r="E9" s="146">
        <v>101.47</v>
      </c>
      <c r="F9" s="147">
        <v>0.3</v>
      </c>
      <c r="G9" s="146">
        <v>99.73</v>
      </c>
      <c r="H9" s="147">
        <v>-7</v>
      </c>
      <c r="I9" s="146">
        <v>89.34</v>
      </c>
      <c r="J9" s="147">
        <v>-13.5</v>
      </c>
      <c r="K9" s="146">
        <v>86.94</v>
      </c>
      <c r="L9" s="147">
        <v>-16</v>
      </c>
      <c r="M9" s="146">
        <v>84.95</v>
      </c>
      <c r="N9" s="147">
        <v>-13.6</v>
      </c>
      <c r="O9" s="146">
        <v>82.71</v>
      </c>
      <c r="P9" s="147">
        <v>-17.4</v>
      </c>
      <c r="Q9" s="146">
        <v>84.65</v>
      </c>
      <c r="R9" s="147">
        <v>-15.7</v>
      </c>
      <c r="S9" s="146">
        <v>85.51</v>
      </c>
      <c r="T9" s="147">
        <v>-8.8</v>
      </c>
      <c r="U9" s="146">
        <v>85.53</v>
      </c>
      <c r="V9" s="147">
        <v>-7.9</v>
      </c>
    </row>
    <row r="10" ht="34" customHeight="1" spans="1:22">
      <c r="A10" s="148" t="s">
        <v>181</v>
      </c>
      <c r="B10" s="288" t="s">
        <v>17</v>
      </c>
      <c r="C10" s="146">
        <v>4460.16</v>
      </c>
      <c r="D10" s="147">
        <v>4</v>
      </c>
      <c r="E10" s="146">
        <v>4529.29</v>
      </c>
      <c r="F10" s="147">
        <v>3</v>
      </c>
      <c r="G10" s="146">
        <v>4545.31</v>
      </c>
      <c r="H10" s="147">
        <v>3.5</v>
      </c>
      <c r="I10" s="146">
        <v>4557.18</v>
      </c>
      <c r="J10" s="147">
        <v>3.6</v>
      </c>
      <c r="K10" s="146">
        <v>4544.34</v>
      </c>
      <c r="L10" s="147">
        <v>2</v>
      </c>
      <c r="M10" s="146">
        <v>4617.13</v>
      </c>
      <c r="N10" s="147">
        <v>2.4</v>
      </c>
      <c r="O10" s="146">
        <v>4591.3</v>
      </c>
      <c r="P10" s="147">
        <v>1</v>
      </c>
      <c r="Q10" s="146">
        <v>4625.91</v>
      </c>
      <c r="R10" s="147">
        <v>1.5</v>
      </c>
      <c r="S10" s="146">
        <v>4623</v>
      </c>
      <c r="T10" s="147">
        <v>1.8</v>
      </c>
      <c r="U10" s="146">
        <v>4632.81</v>
      </c>
      <c r="V10" s="147">
        <v>2.5</v>
      </c>
    </row>
    <row r="11" ht="34" customHeight="1" spans="1:22">
      <c r="A11" s="148" t="s">
        <v>182</v>
      </c>
      <c r="B11" s="288" t="s">
        <v>17</v>
      </c>
      <c r="C11" s="146">
        <v>2923.8</v>
      </c>
      <c r="D11" s="147">
        <v>6</v>
      </c>
      <c r="E11" s="146">
        <v>2953.7</v>
      </c>
      <c r="F11" s="147">
        <v>5.1</v>
      </c>
      <c r="G11" s="146">
        <v>2966.14</v>
      </c>
      <c r="H11" s="147">
        <v>6</v>
      </c>
      <c r="I11" s="146">
        <v>2962.69</v>
      </c>
      <c r="J11" s="147">
        <v>5.9</v>
      </c>
      <c r="K11" s="146">
        <v>2953.06</v>
      </c>
      <c r="L11" s="147">
        <v>3.6</v>
      </c>
      <c r="M11" s="146">
        <v>3007.48</v>
      </c>
      <c r="N11" s="147">
        <v>3.5</v>
      </c>
      <c r="O11" s="146">
        <v>2989.03</v>
      </c>
      <c r="P11" s="147">
        <v>2</v>
      </c>
      <c r="Q11" s="146">
        <v>3010.57</v>
      </c>
      <c r="R11" s="147">
        <v>2.5</v>
      </c>
      <c r="S11" s="146">
        <v>2993.14</v>
      </c>
      <c r="T11" s="147">
        <v>2.6</v>
      </c>
      <c r="U11" s="146">
        <v>3010.28</v>
      </c>
      <c r="V11" s="147">
        <v>4</v>
      </c>
    </row>
    <row r="12" ht="34" customHeight="1" spans="1:22">
      <c r="A12" s="148" t="s">
        <v>183</v>
      </c>
      <c r="B12" s="288" t="s">
        <v>17</v>
      </c>
      <c r="C12" s="146">
        <v>3252.69</v>
      </c>
      <c r="D12" s="147">
        <v>-5</v>
      </c>
      <c r="E12" s="146">
        <v>502.99</v>
      </c>
      <c r="F12" s="147">
        <v>-10</v>
      </c>
      <c r="G12" s="146">
        <v>762.14</v>
      </c>
      <c r="H12" s="147">
        <v>-8.2</v>
      </c>
      <c r="I12" s="146">
        <v>1028.35</v>
      </c>
      <c r="J12" s="147">
        <v>-3.6</v>
      </c>
      <c r="K12" s="146">
        <v>1299.27</v>
      </c>
      <c r="L12" s="147">
        <v>-0.5</v>
      </c>
      <c r="M12" s="146">
        <v>1570.44</v>
      </c>
      <c r="N12" s="147">
        <v>-0.6</v>
      </c>
      <c r="O12" s="146">
        <v>1836.58</v>
      </c>
      <c r="P12" s="147">
        <v>-1.7</v>
      </c>
      <c r="Q12" s="146">
        <v>2110.78</v>
      </c>
      <c r="R12" s="147">
        <v>-2.4</v>
      </c>
      <c r="S12" s="146">
        <v>2384.26</v>
      </c>
      <c r="T12" s="147">
        <v>-2.2</v>
      </c>
      <c r="U12" s="146">
        <v>2651.7</v>
      </c>
      <c r="V12" s="147">
        <v>-2.3</v>
      </c>
    </row>
    <row r="13" ht="34" customHeight="1" spans="1:22">
      <c r="A13" s="148" t="s">
        <v>184</v>
      </c>
      <c r="B13" s="288" t="s">
        <v>17</v>
      </c>
      <c r="C13" s="146">
        <v>2744.01</v>
      </c>
      <c r="D13" s="147">
        <v>-5.5</v>
      </c>
      <c r="E13" s="146">
        <v>409.01</v>
      </c>
      <c r="F13" s="147">
        <v>-11.6</v>
      </c>
      <c r="G13" s="146">
        <v>625.3</v>
      </c>
      <c r="H13" s="147">
        <v>-9.3</v>
      </c>
      <c r="I13" s="146">
        <v>842.69796</v>
      </c>
      <c r="J13" s="147">
        <v>-5.4</v>
      </c>
      <c r="K13" s="146">
        <v>1064.31</v>
      </c>
      <c r="L13" s="147">
        <v>-2.7</v>
      </c>
      <c r="M13" s="146">
        <v>1284.56</v>
      </c>
      <c r="N13" s="147">
        <v>-3.4</v>
      </c>
      <c r="O13" s="146">
        <v>1509.22</v>
      </c>
      <c r="P13" s="147">
        <v>-3.6</v>
      </c>
      <c r="Q13" s="146">
        <v>1733.44</v>
      </c>
      <c r="R13" s="147">
        <v>-4.6</v>
      </c>
      <c r="S13" s="146">
        <v>1961.91</v>
      </c>
      <c r="T13" s="147">
        <v>-4.5</v>
      </c>
      <c r="U13" s="146">
        <v>2182.58</v>
      </c>
      <c r="V13" s="147">
        <v>-4.5</v>
      </c>
    </row>
    <row r="14" ht="34" customHeight="1" spans="1:22">
      <c r="A14" s="148" t="s">
        <v>185</v>
      </c>
      <c r="B14" s="288" t="s">
        <v>17</v>
      </c>
      <c r="C14" s="146">
        <v>34.69</v>
      </c>
      <c r="D14" s="147">
        <v>1.8</v>
      </c>
      <c r="E14" s="146">
        <v>5.1</v>
      </c>
      <c r="F14" s="147">
        <v>-5.2</v>
      </c>
      <c r="G14" s="146">
        <v>7.52</v>
      </c>
      <c r="H14" s="147">
        <v>-7.4</v>
      </c>
      <c r="I14" s="146">
        <v>10.10711</v>
      </c>
      <c r="J14" s="147">
        <v>-5.2</v>
      </c>
      <c r="K14" s="146">
        <v>12.7</v>
      </c>
      <c r="L14" s="147">
        <v>-6.9</v>
      </c>
      <c r="M14" s="146">
        <v>15.16</v>
      </c>
      <c r="N14" s="147">
        <v>-7.8</v>
      </c>
      <c r="O14" s="146">
        <v>17.53</v>
      </c>
      <c r="P14" s="147">
        <v>-10.3</v>
      </c>
      <c r="Q14" s="146">
        <v>20.27</v>
      </c>
      <c r="R14" s="147">
        <v>-9</v>
      </c>
      <c r="S14" s="146">
        <v>23.41</v>
      </c>
      <c r="T14" s="147">
        <v>-6.7</v>
      </c>
      <c r="U14" s="146">
        <v>26.46</v>
      </c>
      <c r="V14" s="147">
        <v>-5.4</v>
      </c>
    </row>
    <row r="15" ht="34" customHeight="1" spans="1:22">
      <c r="A15" s="148" t="s">
        <v>186</v>
      </c>
      <c r="B15" s="288" t="s">
        <v>17</v>
      </c>
      <c r="C15" s="146">
        <v>78</v>
      </c>
      <c r="D15" s="147">
        <v>2.3</v>
      </c>
      <c r="E15" s="146">
        <v>13.55</v>
      </c>
      <c r="F15" s="147">
        <v>14.2</v>
      </c>
      <c r="G15" s="146">
        <v>18.59</v>
      </c>
      <c r="H15" s="147">
        <v>2</v>
      </c>
      <c r="I15" s="146">
        <v>24.8788</v>
      </c>
      <c r="J15" s="147">
        <v>5</v>
      </c>
      <c r="K15" s="146">
        <v>31.41</v>
      </c>
      <c r="L15" s="147">
        <v>4.8</v>
      </c>
      <c r="M15" s="146">
        <v>38.01</v>
      </c>
      <c r="N15" s="147">
        <v>6.1</v>
      </c>
      <c r="O15" s="146">
        <v>44.68</v>
      </c>
      <c r="P15" s="147">
        <v>7.6</v>
      </c>
      <c r="Q15" s="146">
        <v>50.5</v>
      </c>
      <c r="R15" s="147">
        <v>6.7</v>
      </c>
      <c r="S15" s="146">
        <v>57.05</v>
      </c>
      <c r="T15" s="147">
        <v>6.2</v>
      </c>
      <c r="U15" s="146">
        <v>63.6</v>
      </c>
      <c r="V15" s="147">
        <v>5.7</v>
      </c>
    </row>
    <row r="16" ht="34" customHeight="1" spans="1:22">
      <c r="A16" s="148" t="s">
        <v>187</v>
      </c>
      <c r="B16" s="288" t="s">
        <v>17</v>
      </c>
      <c r="C16" s="146">
        <v>36.83</v>
      </c>
      <c r="D16" s="147">
        <v>-8.8</v>
      </c>
      <c r="E16" s="146">
        <v>4.65</v>
      </c>
      <c r="F16" s="147">
        <v>-26.5</v>
      </c>
      <c r="G16" s="146">
        <v>9.71</v>
      </c>
      <c r="H16" s="147">
        <v>1.5</v>
      </c>
      <c r="I16" s="146">
        <v>12.48098</v>
      </c>
      <c r="J16" s="147">
        <v>-1.4</v>
      </c>
      <c r="K16" s="146">
        <v>15.49</v>
      </c>
      <c r="L16" s="147">
        <v>-0.9</v>
      </c>
      <c r="M16" s="146">
        <v>19.08</v>
      </c>
      <c r="N16" s="147">
        <v>2.4</v>
      </c>
      <c r="O16" s="146">
        <v>22.27</v>
      </c>
      <c r="P16" s="147">
        <v>3.1</v>
      </c>
      <c r="Q16" s="146">
        <v>25.75</v>
      </c>
      <c r="R16" s="147">
        <v>4.3</v>
      </c>
      <c r="S16" s="146">
        <v>29.41</v>
      </c>
      <c r="T16" s="147">
        <v>4.8</v>
      </c>
      <c r="U16" s="146">
        <v>33.09</v>
      </c>
      <c r="V16" s="147">
        <v>7</v>
      </c>
    </row>
    <row r="17" ht="34" customHeight="1" spans="1:22">
      <c r="A17" s="148" t="s">
        <v>188</v>
      </c>
      <c r="B17" s="288" t="s">
        <v>17</v>
      </c>
      <c r="C17" s="146">
        <v>125.36</v>
      </c>
      <c r="D17" s="147">
        <v>-13</v>
      </c>
      <c r="E17" s="146">
        <v>27.2</v>
      </c>
      <c r="F17" s="147">
        <v>-10.9</v>
      </c>
      <c r="G17" s="146">
        <v>41.05</v>
      </c>
      <c r="H17" s="147">
        <v>-10.4</v>
      </c>
      <c r="I17" s="146">
        <v>57.28418</v>
      </c>
      <c r="J17" s="147">
        <v>-1.1</v>
      </c>
      <c r="K17" s="146">
        <v>72.74</v>
      </c>
      <c r="L17" s="147">
        <v>11.5</v>
      </c>
      <c r="M17" s="146">
        <v>88.73</v>
      </c>
      <c r="N17" s="147">
        <v>21.7</v>
      </c>
      <c r="O17" s="146">
        <v>90.57</v>
      </c>
      <c r="P17" s="147">
        <v>-0.8</v>
      </c>
      <c r="Q17" s="146">
        <v>110.46</v>
      </c>
      <c r="R17" s="147">
        <v>10.2</v>
      </c>
      <c r="S17" s="146">
        <v>119.09</v>
      </c>
      <c r="T17" s="147">
        <v>14.7</v>
      </c>
      <c r="U17" s="146">
        <v>128.44</v>
      </c>
      <c r="V17" s="147">
        <v>14.5</v>
      </c>
    </row>
    <row r="18" ht="34" customHeight="1" spans="1:22">
      <c r="A18" s="148" t="s">
        <v>189</v>
      </c>
      <c r="B18" s="288" t="s">
        <v>17</v>
      </c>
      <c r="C18" s="150">
        <v>217.42</v>
      </c>
      <c r="D18" s="151">
        <v>1</v>
      </c>
      <c r="E18" s="150">
        <v>41.64</v>
      </c>
      <c r="F18" s="151">
        <v>5.7</v>
      </c>
      <c r="G18" s="150">
        <v>59.06</v>
      </c>
      <c r="H18" s="151">
        <v>5.3</v>
      </c>
      <c r="I18" s="150">
        <v>80.04196</v>
      </c>
      <c r="J18" s="151">
        <v>19.8</v>
      </c>
      <c r="K18" s="150">
        <v>101.25</v>
      </c>
      <c r="L18" s="151">
        <v>23.9</v>
      </c>
      <c r="M18" s="150">
        <v>121.78</v>
      </c>
      <c r="N18" s="151">
        <v>20.9</v>
      </c>
      <c r="O18" s="150">
        <v>140.71</v>
      </c>
      <c r="P18" s="151">
        <v>16.1</v>
      </c>
      <c r="Q18" s="150">
        <v>159.68</v>
      </c>
      <c r="R18" s="151">
        <v>13.4</v>
      </c>
      <c r="S18" s="150">
        <v>180.44</v>
      </c>
      <c r="T18" s="151">
        <v>12.8</v>
      </c>
      <c r="U18" s="150">
        <v>201.27</v>
      </c>
      <c r="V18" s="151">
        <v>11.9</v>
      </c>
    </row>
    <row r="19" s="133" customFormat="1" ht="34" customHeight="1" spans="1:22">
      <c r="A19" s="148" t="s">
        <v>190</v>
      </c>
      <c r="B19" s="288" t="s">
        <v>17</v>
      </c>
      <c r="C19" s="146">
        <v>149.38</v>
      </c>
      <c r="D19" s="147">
        <v>122.8</v>
      </c>
      <c r="E19" s="146">
        <v>17.98</v>
      </c>
      <c r="F19" s="147">
        <v>-14.6</v>
      </c>
      <c r="G19" s="146">
        <v>26.03</v>
      </c>
      <c r="H19" s="147">
        <v>5.5</v>
      </c>
      <c r="I19" s="146">
        <v>34.52738</v>
      </c>
      <c r="J19" s="147">
        <v>16.4</v>
      </c>
      <c r="K19" s="146">
        <v>43.28</v>
      </c>
      <c r="L19" s="147">
        <v>14.8</v>
      </c>
      <c r="M19" s="146">
        <v>54.83</v>
      </c>
      <c r="N19" s="147">
        <v>32.1</v>
      </c>
      <c r="O19" s="146">
        <v>64.14</v>
      </c>
      <c r="P19" s="147">
        <v>28</v>
      </c>
      <c r="Q19" s="146">
        <v>72.72</v>
      </c>
      <c r="R19" s="147">
        <v>29.1</v>
      </c>
      <c r="S19" s="146">
        <v>81.5</v>
      </c>
      <c r="T19" s="147">
        <v>102.8</v>
      </c>
      <c r="U19" s="146">
        <v>88.46</v>
      </c>
      <c r="V19" s="147">
        <v>43.6</v>
      </c>
    </row>
    <row r="20" s="133" customFormat="1" ht="34" customHeight="1" spans="1:22">
      <c r="A20" s="152" t="s">
        <v>191</v>
      </c>
      <c r="B20" s="290" t="s">
        <v>192</v>
      </c>
      <c r="C20" s="153">
        <v>10.12</v>
      </c>
      <c r="D20" s="154">
        <v>-4</v>
      </c>
      <c r="E20" s="153">
        <v>10</v>
      </c>
      <c r="F20" s="154">
        <v>-2</v>
      </c>
      <c r="G20" s="153">
        <v>9.89</v>
      </c>
      <c r="H20" s="154">
        <v>-2.8</v>
      </c>
      <c r="I20" s="153">
        <v>9.7474</v>
      </c>
      <c r="J20" s="154">
        <v>-4.3</v>
      </c>
      <c r="K20" s="153">
        <v>9.64</v>
      </c>
      <c r="L20" s="154">
        <v>-4.6</v>
      </c>
      <c r="M20" s="153">
        <v>9.71</v>
      </c>
      <c r="N20" s="154">
        <v>-4</v>
      </c>
      <c r="O20" s="153">
        <v>9.68</v>
      </c>
      <c r="P20" s="154">
        <v>-4.4</v>
      </c>
      <c r="Q20" s="153">
        <v>9.68</v>
      </c>
      <c r="R20" s="154">
        <v>-4.6</v>
      </c>
      <c r="S20" s="153">
        <v>9.61</v>
      </c>
      <c r="T20" s="154">
        <v>-5</v>
      </c>
      <c r="U20" s="153">
        <v>9.61</v>
      </c>
      <c r="V20" s="154">
        <v>-5.7</v>
      </c>
    </row>
    <row r="21" ht="36" customHeight="1" spans="1:22">
      <c r="A21" s="155"/>
      <c r="B21" s="155"/>
      <c r="C21" s="155"/>
      <c r="D21" s="155"/>
      <c r="E21" s="155"/>
      <c r="F21" s="155"/>
      <c r="G21" s="155"/>
      <c r="H21" s="155"/>
      <c r="I21" s="155"/>
      <c r="J21" s="155"/>
      <c r="K21" s="155"/>
      <c r="L21" s="155"/>
      <c r="M21" s="155"/>
      <c r="N21" s="155"/>
      <c r="O21" s="155"/>
      <c r="P21" s="155"/>
      <c r="Q21" s="155"/>
      <c r="R21" s="155"/>
      <c r="S21" s="155"/>
      <c r="T21" s="155"/>
      <c r="U21" s="155"/>
      <c r="V21" s="155"/>
    </row>
  </sheetData>
  <mergeCells count="14">
    <mergeCell ref="A1:V1"/>
    <mergeCell ref="C2:D2"/>
    <mergeCell ref="E2:F2"/>
    <mergeCell ref="G2:H2"/>
    <mergeCell ref="I2:J2"/>
    <mergeCell ref="K2:L2"/>
    <mergeCell ref="M2:N2"/>
    <mergeCell ref="O2:P2"/>
    <mergeCell ref="Q2:R2"/>
    <mergeCell ref="S2:T2"/>
    <mergeCell ref="U2:V2"/>
    <mergeCell ref="A21:V21"/>
    <mergeCell ref="A2:A3"/>
    <mergeCell ref="B2:B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L16"/>
  <sheetViews>
    <sheetView zoomScale="80" zoomScaleNormal="80" workbookViewId="0">
      <pane xSplit="2" ySplit="2" topLeftCell="G3" activePane="bottomRight" state="frozen"/>
      <selection/>
      <selection pane="topRight"/>
      <selection pane="bottomLeft"/>
      <selection pane="bottomRight" activeCell="L3" sqref="L3:L16"/>
    </sheetView>
  </sheetViews>
  <sheetFormatPr defaultColWidth="9" defaultRowHeight="14.25"/>
  <cols>
    <col min="1" max="1" width="25.0416666666667" style="133" customWidth="1"/>
    <col min="2" max="2" width="8.975" style="133" customWidth="1"/>
    <col min="3" max="4" width="13.7416666666667" style="133" customWidth="1"/>
    <col min="5" max="11" width="15.3083333333333" style="133" customWidth="1"/>
    <col min="12" max="12" width="15" style="133" customWidth="1"/>
    <col min="13" max="16384" width="9" style="133"/>
  </cols>
  <sheetData>
    <row r="1" ht="42" customHeight="1" spans="1:12">
      <c r="A1" s="135" t="s">
        <v>193</v>
      </c>
      <c r="B1" s="135"/>
      <c r="C1" s="135"/>
      <c r="D1" s="135"/>
      <c r="E1" s="135"/>
      <c r="F1" s="135"/>
      <c r="G1" s="135"/>
      <c r="H1" s="135"/>
      <c r="I1" s="135"/>
      <c r="J1" s="135"/>
      <c r="K1" s="135"/>
      <c r="L1" s="135"/>
    </row>
    <row r="2" ht="43.35" customHeight="1" spans="1:12">
      <c r="A2" s="283" t="s">
        <v>173</v>
      </c>
      <c r="B2" s="284" t="s">
        <v>2</v>
      </c>
      <c r="C2" s="138" t="s">
        <v>3</v>
      </c>
      <c r="D2" s="138" t="s">
        <v>4</v>
      </c>
      <c r="E2" s="138" t="s">
        <v>5</v>
      </c>
      <c r="F2" s="138" t="s">
        <v>6</v>
      </c>
      <c r="G2" s="138" t="s">
        <v>7</v>
      </c>
      <c r="H2" s="138" t="s">
        <v>8</v>
      </c>
      <c r="I2" s="138" t="s">
        <v>9</v>
      </c>
      <c r="J2" s="138" t="s">
        <v>10</v>
      </c>
      <c r="K2" s="138" t="s">
        <v>11</v>
      </c>
      <c r="L2" s="138" t="s">
        <v>12</v>
      </c>
    </row>
    <row r="3" ht="35" customHeight="1" spans="1:12">
      <c r="A3" s="285" t="s">
        <v>194</v>
      </c>
      <c r="B3" s="286" t="s">
        <v>30</v>
      </c>
      <c r="C3" s="287">
        <v>2.89</v>
      </c>
      <c r="D3" s="287">
        <v>3.6</v>
      </c>
      <c r="E3" s="287">
        <v>3.62</v>
      </c>
      <c r="F3" s="287">
        <v>3.78</v>
      </c>
      <c r="G3" s="287">
        <v>3.85</v>
      </c>
      <c r="H3" s="287">
        <v>3.88</v>
      </c>
      <c r="I3" s="287">
        <v>3.4</v>
      </c>
      <c r="J3" s="287">
        <v>3.62</v>
      </c>
      <c r="K3" s="287">
        <v>3.47</v>
      </c>
      <c r="L3" s="287">
        <v>3.36</v>
      </c>
    </row>
    <row r="4" ht="35" customHeight="1" spans="1:12">
      <c r="A4" s="148" t="s">
        <v>195</v>
      </c>
      <c r="B4" s="288" t="s">
        <v>196</v>
      </c>
      <c r="C4" s="147">
        <v>-0.55</v>
      </c>
      <c r="D4" s="147">
        <v>-0.57</v>
      </c>
      <c r="E4" s="147">
        <v>-0.55</v>
      </c>
      <c r="F4" s="147">
        <v>-0.17</v>
      </c>
      <c r="G4" s="147">
        <v>0.31</v>
      </c>
      <c r="H4" s="147">
        <v>0.61</v>
      </c>
      <c r="I4" s="147">
        <v>-0.1</v>
      </c>
      <c r="J4" s="147">
        <v>0.26</v>
      </c>
      <c r="K4" s="147">
        <v>0.37</v>
      </c>
      <c r="L4" s="147">
        <v>0.34</v>
      </c>
    </row>
    <row r="5" ht="35" customHeight="1" spans="1:12">
      <c r="A5" s="148" t="s">
        <v>197</v>
      </c>
      <c r="B5" s="288" t="s">
        <v>30</v>
      </c>
      <c r="C5" s="289">
        <v>100.53</v>
      </c>
      <c r="D5" s="289">
        <v>99.32</v>
      </c>
      <c r="E5" s="289">
        <v>99.1</v>
      </c>
      <c r="F5" s="289">
        <v>99.73</v>
      </c>
      <c r="G5" s="289">
        <v>99.23</v>
      </c>
      <c r="H5" s="289">
        <v>100.29</v>
      </c>
      <c r="I5" s="289">
        <v>99.22</v>
      </c>
      <c r="J5" s="289">
        <v>99.65</v>
      </c>
      <c r="K5" s="289">
        <v>100.52</v>
      </c>
      <c r="L5" s="289">
        <v>99.69</v>
      </c>
    </row>
    <row r="6" ht="35" customHeight="1" spans="1:12">
      <c r="A6" s="148" t="s">
        <v>195</v>
      </c>
      <c r="B6" s="288" t="s">
        <v>196</v>
      </c>
      <c r="C6" s="147">
        <v>-5.5</v>
      </c>
      <c r="D6" s="147">
        <v>-5.96</v>
      </c>
      <c r="E6" s="147">
        <v>-6.77</v>
      </c>
      <c r="F6" s="147">
        <v>-6.1</v>
      </c>
      <c r="G6" s="147">
        <v>-5.74</v>
      </c>
      <c r="H6" s="147">
        <v>-2.42</v>
      </c>
      <c r="I6" s="147">
        <v>-3.35</v>
      </c>
      <c r="J6" s="147">
        <v>-2.64</v>
      </c>
      <c r="K6" s="147">
        <v>-0.4</v>
      </c>
      <c r="L6" s="147">
        <v>-2.08</v>
      </c>
    </row>
    <row r="7" ht="35" customHeight="1" spans="1:12">
      <c r="A7" s="148" t="s">
        <v>198</v>
      </c>
      <c r="B7" s="288" t="s">
        <v>30</v>
      </c>
      <c r="C7" s="289">
        <v>65.55</v>
      </c>
      <c r="D7" s="289">
        <v>65.21</v>
      </c>
      <c r="E7" s="289">
        <v>65.26</v>
      </c>
      <c r="F7" s="289">
        <v>65.01</v>
      </c>
      <c r="G7" s="289">
        <v>64.98</v>
      </c>
      <c r="H7" s="289">
        <v>65.14</v>
      </c>
      <c r="I7" s="289">
        <v>65.1</v>
      </c>
      <c r="J7" s="289">
        <v>65.08</v>
      </c>
      <c r="K7" s="289">
        <v>64.74</v>
      </c>
      <c r="L7" s="289">
        <v>64.98</v>
      </c>
    </row>
    <row r="8" ht="35" customHeight="1" spans="1:12">
      <c r="A8" s="148" t="s">
        <v>195</v>
      </c>
      <c r="B8" s="288" t="s">
        <v>196</v>
      </c>
      <c r="C8" s="147">
        <v>1.2</v>
      </c>
      <c r="D8" s="147">
        <v>1.29</v>
      </c>
      <c r="E8" s="147">
        <v>1.54</v>
      </c>
      <c r="F8" s="147">
        <v>1.4</v>
      </c>
      <c r="G8" s="147">
        <v>0.99</v>
      </c>
      <c r="H8" s="147">
        <v>0.72</v>
      </c>
      <c r="I8" s="147">
        <v>0.63</v>
      </c>
      <c r="J8" s="147">
        <v>0.65</v>
      </c>
      <c r="K8" s="147">
        <v>0.46</v>
      </c>
      <c r="L8" s="147">
        <v>0.98</v>
      </c>
    </row>
    <row r="9" ht="35" customHeight="1" spans="1:12">
      <c r="A9" s="148" t="s">
        <v>199</v>
      </c>
      <c r="B9" s="288" t="s">
        <v>200</v>
      </c>
      <c r="C9" s="289">
        <v>2.4</v>
      </c>
      <c r="D9" s="289">
        <v>2.28</v>
      </c>
      <c r="E9" s="289">
        <v>2.29</v>
      </c>
      <c r="F9" s="289">
        <v>2.31</v>
      </c>
      <c r="G9" s="289">
        <v>2.36</v>
      </c>
      <c r="H9" s="289">
        <v>2.37</v>
      </c>
      <c r="I9" s="289">
        <v>2.39</v>
      </c>
      <c r="J9" s="289">
        <v>2.37</v>
      </c>
      <c r="K9" s="289">
        <v>2.39</v>
      </c>
      <c r="L9" s="289">
        <v>2.39</v>
      </c>
    </row>
    <row r="10" ht="35" customHeight="1" spans="1:12">
      <c r="A10" s="148" t="s">
        <v>195</v>
      </c>
      <c r="B10" s="288" t="s">
        <v>196</v>
      </c>
      <c r="C10" s="147">
        <v>0</v>
      </c>
      <c r="D10" s="147">
        <v>-0.11</v>
      </c>
      <c r="E10" s="147">
        <v>-0.09</v>
      </c>
      <c r="F10" s="147">
        <v>0</v>
      </c>
      <c r="G10" s="147">
        <v>0.13</v>
      </c>
      <c r="H10" s="147">
        <v>0.13</v>
      </c>
      <c r="I10" s="147">
        <v>0.14</v>
      </c>
      <c r="J10" s="147">
        <v>0.09</v>
      </c>
      <c r="K10" s="147">
        <v>0.08</v>
      </c>
      <c r="L10" s="147">
        <v>0.05</v>
      </c>
    </row>
    <row r="11" ht="35" customHeight="1" spans="1:12">
      <c r="A11" s="148" t="s">
        <v>201</v>
      </c>
      <c r="B11" s="288" t="s">
        <v>30</v>
      </c>
      <c r="C11" s="289">
        <v>4.29</v>
      </c>
      <c r="D11" s="289">
        <v>6.26</v>
      </c>
      <c r="E11" s="289">
        <v>6.17</v>
      </c>
      <c r="F11" s="289">
        <v>6.4</v>
      </c>
      <c r="G11" s="289">
        <v>6.43</v>
      </c>
      <c r="H11" s="289">
        <v>6.5</v>
      </c>
      <c r="I11" s="289">
        <v>5.64</v>
      </c>
      <c r="J11" s="289">
        <v>5.99</v>
      </c>
      <c r="K11" s="289">
        <v>5.71</v>
      </c>
      <c r="L11" s="289">
        <v>5.53</v>
      </c>
    </row>
    <row r="12" ht="35" customHeight="1" spans="1:12">
      <c r="A12" s="148" t="s">
        <v>195</v>
      </c>
      <c r="B12" s="288" t="s">
        <v>196</v>
      </c>
      <c r="C12" s="147">
        <v>-0.4</v>
      </c>
      <c r="D12" s="147">
        <v>0.01</v>
      </c>
      <c r="E12" s="147">
        <v>-0.11</v>
      </c>
      <c r="F12" s="147">
        <v>0.3</v>
      </c>
      <c r="G12" s="147">
        <v>0.81</v>
      </c>
      <c r="H12" s="147">
        <v>1.33</v>
      </c>
      <c r="I12" s="147">
        <v>0.14</v>
      </c>
      <c r="J12" s="147">
        <v>0.79</v>
      </c>
      <c r="K12" s="147">
        <v>0.94</v>
      </c>
      <c r="L12" s="147">
        <v>0.9</v>
      </c>
    </row>
    <row r="13" ht="35" customHeight="1" spans="1:12">
      <c r="A13" s="148" t="s">
        <v>202</v>
      </c>
      <c r="B13" s="288" t="s">
        <v>30</v>
      </c>
      <c r="C13" s="289">
        <v>99.44</v>
      </c>
      <c r="D13" s="289">
        <v>98.46</v>
      </c>
      <c r="E13" s="289">
        <v>98.22</v>
      </c>
      <c r="F13" s="289">
        <v>99.88</v>
      </c>
      <c r="G13" s="289">
        <v>99.88</v>
      </c>
      <c r="H13" s="289">
        <v>99.77</v>
      </c>
      <c r="I13" s="289">
        <v>99.77</v>
      </c>
      <c r="J13" s="289">
        <v>99.92</v>
      </c>
      <c r="K13" s="289">
        <v>99.9</v>
      </c>
      <c r="L13" s="289">
        <v>100.01</v>
      </c>
    </row>
    <row r="14" ht="35" customHeight="1" spans="1:12">
      <c r="A14" s="148" t="s">
        <v>195</v>
      </c>
      <c r="B14" s="288" t="s">
        <v>196</v>
      </c>
      <c r="C14" s="147">
        <v>-1</v>
      </c>
      <c r="D14" s="147">
        <v>-1.65</v>
      </c>
      <c r="E14" s="147">
        <v>-0.71</v>
      </c>
      <c r="F14" s="147">
        <v>-0.21</v>
      </c>
      <c r="G14" s="147">
        <v>1.33</v>
      </c>
      <c r="H14" s="147">
        <v>0.62</v>
      </c>
      <c r="I14" s="147">
        <v>0.44</v>
      </c>
      <c r="J14" s="147">
        <v>0.77</v>
      </c>
      <c r="K14" s="147">
        <v>0.36</v>
      </c>
      <c r="L14" s="147">
        <v>0.34</v>
      </c>
    </row>
    <row r="15" ht="35" customHeight="1" spans="1:12">
      <c r="A15" s="148" t="s">
        <v>203</v>
      </c>
      <c r="B15" s="288" t="s">
        <v>204</v>
      </c>
      <c r="C15" s="289">
        <v>79.56618</v>
      </c>
      <c r="D15" s="289">
        <v>75.478263</v>
      </c>
      <c r="E15" s="289">
        <v>77.65</v>
      </c>
      <c r="F15" s="289">
        <v>79.07</v>
      </c>
      <c r="G15" s="289">
        <v>81.34</v>
      </c>
      <c r="H15" s="289">
        <v>81.3</v>
      </c>
      <c r="I15" s="289">
        <v>82.01</v>
      </c>
      <c r="J15" s="289">
        <v>82.1</v>
      </c>
      <c r="K15" s="289">
        <v>85.46</v>
      </c>
      <c r="L15" s="289">
        <v>85.202918</v>
      </c>
    </row>
    <row r="16" ht="35" customHeight="1" spans="1:12">
      <c r="A16" s="152" t="s">
        <v>195</v>
      </c>
      <c r="B16" s="290" t="s">
        <v>196</v>
      </c>
      <c r="C16" s="154">
        <v>-1.2</v>
      </c>
      <c r="D16" s="154">
        <v>-1.95</v>
      </c>
      <c r="E16" s="154">
        <v>-1.64</v>
      </c>
      <c r="F16" s="154">
        <v>4.01</v>
      </c>
      <c r="G16" s="154">
        <v>6.9</v>
      </c>
      <c r="H16" s="154">
        <v>6.8</v>
      </c>
      <c r="I16" s="154">
        <v>6.51</v>
      </c>
      <c r="J16" s="154">
        <v>5.77</v>
      </c>
      <c r="K16" s="154">
        <v>7.9</v>
      </c>
      <c r="L16" s="154">
        <v>8.81</v>
      </c>
    </row>
  </sheetData>
  <mergeCells count="1">
    <mergeCell ref="A1:L1"/>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docProps/app.xml><?xml version="1.0" encoding="utf-8"?>
<Properties xmlns="http://schemas.openxmlformats.org/officeDocument/2006/extended-properties" xmlns:vt="http://schemas.openxmlformats.org/officeDocument/2006/docPropsVTypes">
  <Company>yz</Company>
  <Application>Microsoft Excel</Application>
  <HeadingPairs>
    <vt:vector size="2" baseType="variant">
      <vt:variant>
        <vt:lpstr>工作表</vt:lpstr>
      </vt:variant>
      <vt:variant>
        <vt:i4>34</vt:i4>
      </vt:variant>
    </vt:vector>
  </HeadingPairs>
  <TitlesOfParts>
    <vt:vector size="34" baseType="lpstr">
      <vt:lpstr>-------</vt:lpstr>
      <vt:lpstr>主要指标（一）</vt:lpstr>
      <vt:lpstr>主要指标（二）</vt:lpstr>
      <vt:lpstr>分县区</vt:lpstr>
      <vt:lpstr>农业</vt:lpstr>
      <vt:lpstr>工业增加值</vt:lpstr>
      <vt:lpstr>分行业工业增加值</vt:lpstr>
      <vt:lpstr>规上工业主要经济指标</vt:lpstr>
      <vt:lpstr>规上工业经济效益指标</vt:lpstr>
      <vt:lpstr>主要工业产品产量</vt:lpstr>
      <vt:lpstr>工业综合能源消费</vt:lpstr>
      <vt:lpstr>交通运输及邮政</vt:lpstr>
      <vt:lpstr>固定资产投资</vt:lpstr>
      <vt:lpstr>社会消费品零售总额</vt:lpstr>
      <vt:lpstr>财政收支</vt:lpstr>
      <vt:lpstr>金融</vt:lpstr>
      <vt:lpstr>进出口总额</vt:lpstr>
      <vt:lpstr>居民收入和消费价格</vt:lpstr>
      <vt:lpstr>分县地区生产总值及第一产业增加值</vt:lpstr>
      <vt:lpstr>分县第二产业增加值及第三产业增加值</vt:lpstr>
      <vt:lpstr>分县农业总产值及规上工业增加值</vt:lpstr>
      <vt:lpstr>分县规上工业利润总额和营业收入</vt:lpstr>
      <vt:lpstr>分县社零和投资</vt:lpstr>
      <vt:lpstr>分县工业投资和房地产投资</vt:lpstr>
      <vt:lpstr>分县工业技术改造和制造业投资</vt:lpstr>
      <vt:lpstr>分县财政收支</vt:lpstr>
      <vt:lpstr>分市5（旧）</vt:lpstr>
      <vt:lpstr>工业序列（原）</vt:lpstr>
      <vt:lpstr>投资序列(原)</vt:lpstr>
      <vt:lpstr>消费序列（原）</vt:lpstr>
      <vt:lpstr>出口序列（原）</vt:lpstr>
      <vt:lpstr>地方预算收入序列（原）</vt:lpstr>
      <vt:lpstr>工业用电量序列 （原）</vt:lpstr>
      <vt:lpstr>价格序列（原）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mmtjj07</dc:creator>
  <cp:lastModifiedBy>陈冠</cp:lastModifiedBy>
  <cp:revision>1</cp:revision>
  <dcterms:created xsi:type="dcterms:W3CDTF">2006-03-07T17:13:00Z</dcterms:created>
  <cp:lastPrinted>2020-03-23T21:18:00Z</cp:lastPrinted>
  <dcterms:modified xsi:type="dcterms:W3CDTF">2025-12-24T09:59:57Z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KSOReadingLayout">
    <vt:bool>true</vt:bool>
  </property>
  <property fmtid="{D5CDD505-2E9C-101B-9397-08002B2CF9AE}" pid="4" name="ICV">
    <vt:lpwstr>EE766BC111B84087B6E74443992127FA_13</vt:lpwstr>
  </property>
  <property fmtid="{D5CDD505-2E9C-101B-9397-08002B2CF9AE}" pid="5" name="commondata">
    <vt:lpwstr>eyJoZGlkIjoiOGExZmYwZDZlNzUzOTBiYzE1NWNjNTMxZDdiOWUzZmIifQ==</vt:lpwstr>
  </property>
  <property fmtid="{D5CDD505-2E9C-101B-9397-08002B2CF9AE}" pid="6" name="CalculationRule">
    <vt:i4>0</vt:i4>
  </property>
</Properties>
</file>