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00" windowHeight="12375" tabRatio="886" firstSheet="1" activeTab="1"/>
  </bookViews>
  <sheets>
    <sheet name="-------" sheetId="138" state="hidden" r:id="rId1"/>
    <sheet name="主要指标（一）" sheetId="312" r:id="rId2"/>
    <sheet name="主要指标（二）" sheetId="313" r:id="rId3"/>
    <sheet name="分县区" sheetId="399" r:id="rId4"/>
    <sheet name="农业" sheetId="145" r:id="rId5"/>
    <sheet name="工业增加值" sheetId="277" r:id="rId6"/>
    <sheet name="分行业工业增加值" sheetId="285" r:id="rId7"/>
    <sheet name="规上工业主要经济指标" sheetId="292" r:id="rId8"/>
    <sheet name="规上工业经济效益指标" sheetId="296" r:id="rId9"/>
    <sheet name="主要工业产品产量" sheetId="300" r:id="rId10"/>
    <sheet name="工业综合能源消费" sheetId="306" r:id="rId11"/>
    <sheet name="交通运输及邮政" sheetId="314" r:id="rId12"/>
    <sheet name="固定资产投资" sheetId="322" r:id="rId13"/>
    <sheet name="社会消费品零售总额" sheetId="327" r:id="rId14"/>
    <sheet name="财政收支" sheetId="331" r:id="rId15"/>
    <sheet name="金融" sheetId="335" r:id="rId16"/>
    <sheet name="进出口总额" sheetId="341" r:id="rId17"/>
    <sheet name="居民收入和消费价格" sheetId="345" r:id="rId18"/>
    <sheet name="分县地区生产总值及第一产业增加值" sheetId="349" r:id="rId19"/>
    <sheet name="分县第二产业增加值及第三产业增加值" sheetId="397" r:id="rId20"/>
    <sheet name="分县农业总产值及规上工业增加值" sheetId="398" r:id="rId21"/>
    <sheet name="分县规上工业利润总额和营业收入" sheetId="353" r:id="rId22"/>
    <sheet name="分县社零和投资" sheetId="354" r:id="rId23"/>
    <sheet name="分县工业投资和房地产投资" sheetId="396" r:id="rId24"/>
    <sheet name="分县工业技术改造和制造业投资" sheetId="400" r:id="rId25"/>
    <sheet name="分县财政收支" sheetId="356" r:id="rId26"/>
    <sheet name="分市5（旧）" sheetId="194" state="hidden" r:id="rId27"/>
    <sheet name="工业序列（原）" sheetId="158" state="hidden" r:id="rId28"/>
    <sheet name="投资序列(原)" sheetId="157" state="hidden" r:id="rId29"/>
    <sheet name="消费序列（原）" sheetId="156" state="hidden" r:id="rId30"/>
    <sheet name="出口序列（原）" sheetId="155" state="hidden" r:id="rId31"/>
    <sheet name="地方预算收入序列（原）" sheetId="154" state="hidden" r:id="rId32"/>
    <sheet name="工业用电量序列 （原）" sheetId="198" state="hidden" r:id="rId33"/>
    <sheet name="价格序列（原）" sheetId="153" state="hidden" r:id="rId34"/>
    <sheet name="Sheet16" sheetId="252" r:id="rId35"/>
  </sheets>
  <externalReferences>
    <externalReference r:id="rId36"/>
    <externalReference r:id="rId37"/>
    <externalReference r:id="rId38"/>
    <externalReference r:id="rId39"/>
    <externalReference r:id="rId40"/>
  </externalReferences>
  <definedNames>
    <definedName name="_21114" localSheetId="32">#REF!</definedName>
    <definedName name="_Fill" localSheetId="32">[1]eqpmad2!#REF!</definedName>
    <definedName name="A" localSheetId="32">#REF!</definedName>
    <definedName name="aa" localSheetId="32">#REF!</definedName>
    <definedName name="data" localSheetId="32">#REF!</definedName>
    <definedName name="Database" localSheetId="32" hidden="1">#REF!</definedName>
    <definedName name="database2" localSheetId="32">#REF!</definedName>
    <definedName name="database3" localSheetId="32">#REF!</definedName>
    <definedName name="dss" localSheetId="32">#REF!</definedName>
    <definedName name="E206." localSheetId="32">#REF!</definedName>
    <definedName name="eee" localSheetId="32">#REF!</definedName>
    <definedName name="fff" localSheetId="32">#REF!</definedName>
    <definedName name="hhhh" localSheetId="32">#REF!</definedName>
    <definedName name="kkkk" localSheetId="32">#REF!</definedName>
    <definedName name="_xlnm.Print_Area" localSheetId="32">#REF!</definedName>
    <definedName name="Print_Area_MI" localSheetId="32">#REF!</definedName>
    <definedName name="rrrr" localSheetId="32">#REF!</definedName>
    <definedName name="s" localSheetId="32">#REF!</definedName>
    <definedName name="sfeggsafasfas" localSheetId="32">#REF!</definedName>
    <definedName name="Sheet1" localSheetId="32">#REF!</definedName>
    <definedName name="Sheet10" localSheetId="32">#REF!</definedName>
    <definedName name="Sheet11" localSheetId="32">#REF!</definedName>
    <definedName name="Sheet12" localSheetId="32">#REF!</definedName>
    <definedName name="Sheet3" localSheetId="32">#REF!</definedName>
    <definedName name="Sheet4" localSheetId="32">#REF!</definedName>
    <definedName name="Sheet5" localSheetId="32">#REF!</definedName>
    <definedName name="Sheet6" localSheetId="32">#REF!</definedName>
    <definedName name="Sheet7" localSheetId="32">#REF!</definedName>
    <definedName name="Sheet8" localSheetId="32">#REF!</definedName>
    <definedName name="Sheet9" localSheetId="32">#REF!</definedName>
    <definedName name="ss" localSheetId="32">#REF!</definedName>
    <definedName name="ttt" localSheetId="32">#REF!</definedName>
    <definedName name="tttt" localSheetId="32">#REF!</definedName>
    <definedName name="UFPrn20010712083924" localSheetId="32">#REF!</definedName>
    <definedName name="UFPrn20020224093130" localSheetId="32">#REF!</definedName>
    <definedName name="UFPrn20020224094757" localSheetId="32">#REF!</definedName>
    <definedName name="UFPrn20020224101302" localSheetId="32">#REF!</definedName>
    <definedName name="UFPrn20020224101600" localSheetId="32">#REF!</definedName>
    <definedName name="UFPrn20020228143318" localSheetId="32">#REF!</definedName>
    <definedName name="UFPrn20020303094007" localSheetId="32">#REF!</definedName>
    <definedName name="www" localSheetId="32">#REF!</definedName>
    <definedName name="yyyy" localSheetId="32">#REF!</definedName>
    <definedName name="备___注" localSheetId="32">#REF!</definedName>
    <definedName name="拨款汇总_合计" localSheetId="32">SUM([2]汇总!#REF!)</definedName>
    <definedName name="财力" localSheetId="32">#REF!</definedName>
    <definedName name="存货合计" localSheetId="32">#REF!</definedName>
    <definedName name="存货明细" localSheetId="32">#REF!</definedName>
    <definedName name="大幅度" localSheetId="32">#REF!</definedName>
    <definedName name="地区名称" localSheetId="32">[3]封面!#REF!</definedName>
    <definedName name="合___计" localSheetId="32">#REF!</definedName>
    <definedName name="汇率" localSheetId="32">#REF!</definedName>
    <definedName name="全额差额比例" localSheetId="32">'[4]C01-1'!#REF!</definedName>
    <definedName name="生产列1" localSheetId="32">#REF!</definedName>
    <definedName name="生产列11" localSheetId="32">#REF!</definedName>
    <definedName name="生产列15" localSheetId="32">#REF!</definedName>
    <definedName name="生产列16" localSheetId="32">#REF!</definedName>
    <definedName name="生产列17" localSheetId="32">#REF!</definedName>
    <definedName name="生产列19" localSheetId="32">#REF!</definedName>
    <definedName name="生产列2" localSheetId="32">#REF!</definedName>
    <definedName name="生产列20" localSheetId="32">#REF!</definedName>
    <definedName name="生产列3" localSheetId="32">#REF!</definedName>
    <definedName name="生产列4" localSheetId="32">#REF!</definedName>
    <definedName name="生产列5" localSheetId="32">#REF!</definedName>
    <definedName name="生产列6" localSheetId="32">#REF!</definedName>
    <definedName name="生产列7" localSheetId="32">#REF!</definedName>
    <definedName name="生产列8" localSheetId="32">#REF!</definedName>
    <definedName name="生产列9" localSheetId="32">#REF!</definedName>
    <definedName name="生产期" localSheetId="32">#REF!</definedName>
    <definedName name="生产期1" localSheetId="32">#REF!</definedName>
    <definedName name="生产期11" localSheetId="32">#REF!</definedName>
    <definedName name="生产期123" localSheetId="32">#REF!</definedName>
    <definedName name="生产期15" localSheetId="32">#REF!</definedName>
    <definedName name="生产期16" localSheetId="32">#REF!</definedName>
    <definedName name="生产期17" localSheetId="32">#REF!</definedName>
    <definedName name="生产期19" localSheetId="32">#REF!</definedName>
    <definedName name="生产期2" localSheetId="32">#REF!</definedName>
    <definedName name="生产期20" localSheetId="32">#REF!</definedName>
    <definedName name="生产期3" localSheetId="32">#REF!</definedName>
    <definedName name="生产期4" localSheetId="32">#REF!</definedName>
    <definedName name="生产期5" localSheetId="32">#REF!</definedName>
    <definedName name="生产期6" localSheetId="32">#REF!</definedName>
    <definedName name="生产期7" localSheetId="32">#REF!</definedName>
    <definedName name="生产期8" localSheetId="32">#REF!</definedName>
    <definedName name="生产期9" localSheetId="32">#REF!</definedName>
    <definedName name="是" localSheetId="32">#REF!</definedName>
    <definedName name="索引号" localSheetId="32">#REF!</definedName>
    <definedName name="未审合计" localSheetId="32">#REF!</definedName>
    <definedName name="未审数" localSheetId="32">#REF!</definedName>
    <definedName name="位次d" localSheetId="32">[5]四月份月报!#REF!</definedName>
    <definedName name="中国" localSheetId="32">#REF!</definedName>
    <definedName name="전" localSheetId="32">#REF!</definedName>
    <definedName name="주택사업본부" localSheetId="32">#REF!</definedName>
    <definedName name="철구사업본부" localSheetId="32">#REF!</definedName>
    <definedName name="_xlnm._FilterDatabase" localSheetId="32">#REF!</definedName>
    <definedName name="同比下限值">#REF!</definedName>
    <definedName name="同比上限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<sst xmlns="http://schemas.openxmlformats.org/spreadsheetml/2006/main" count="1355" uniqueCount="498">
  <si>
    <t>主要经济指标完成情况（一）</t>
  </si>
  <si>
    <t>指   标</t>
  </si>
  <si>
    <t>单位</t>
  </si>
  <si>
    <t>2024年</t>
  </si>
  <si>
    <t>2025年1-2月</t>
  </si>
  <si>
    <t>2025年1-3月</t>
  </si>
  <si>
    <t>2025年1-4月</t>
  </si>
  <si>
    <t>绝对值</t>
  </si>
  <si>
    <t>增速(%)</t>
  </si>
  <si>
    <t>一、地区生产总值</t>
  </si>
  <si>
    <t>亿元</t>
  </si>
  <si>
    <t>-</t>
  </si>
  <si>
    <t xml:space="preserve">    其中：第一产业</t>
  </si>
  <si>
    <t xml:space="preserve">          第二产业</t>
  </si>
  <si>
    <t xml:space="preserve">            其中：建筑业</t>
  </si>
  <si>
    <t xml:space="preserve">          第三产业</t>
  </si>
  <si>
    <t xml:space="preserve">            其中：交运仓储邮政业</t>
  </si>
  <si>
    <t xml:space="preserve">                  批发和零售业</t>
  </si>
  <si>
    <t xml:space="preserve">                  住宿和餐饮业</t>
  </si>
  <si>
    <t xml:space="preserve">                  金融业</t>
  </si>
  <si>
    <t xml:space="preserve">                  房地产业</t>
  </si>
  <si>
    <t xml:space="preserve">                  其他服务业</t>
  </si>
  <si>
    <t xml:space="preserve">   三次产业结构</t>
  </si>
  <si>
    <t>%</t>
  </si>
  <si>
    <t>19.1:32.2:48.7</t>
  </si>
  <si>
    <t>13.2:33.2:53.6</t>
  </si>
  <si>
    <t>二、规模以上工业增加值</t>
  </si>
  <si>
    <t xml:space="preserve"> 其中：轻工业</t>
  </si>
  <si>
    <t xml:space="preserve">       重工业</t>
  </si>
  <si>
    <t xml:space="preserve"> 其中：外商及港澳台投资企业</t>
  </si>
  <si>
    <t xml:space="preserve"> 其中：国有及国有控股企业</t>
  </si>
  <si>
    <t xml:space="preserve"> 其中：石油和天然气开采业</t>
  </si>
  <si>
    <t xml:space="preserve">       石油、煤炭及其燃料加工业</t>
  </si>
  <si>
    <t xml:space="preserve">       黑色金属冶炼和压延加工业</t>
  </si>
  <si>
    <t xml:space="preserve">       造纸和纸制品业      </t>
  </si>
  <si>
    <t>三、规模以上工业出口交货值</t>
  </si>
  <si>
    <t>四、固定资产投资</t>
  </si>
  <si>
    <t xml:space="preserve">    其中：项目投资</t>
  </si>
  <si>
    <t xml:space="preserve">          房地产开发投资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</si>
  <si>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3.金融机构存、贷款余额为月末数；
4.据省要求，不得对外公布规模以上工业增加值、固定资产投资相关数据的绝对量，只公布增速。</t>
  </si>
  <si>
    <t>主要经济指标完成情况（二）</t>
  </si>
  <si>
    <t>五、商品房销售面积</t>
  </si>
  <si>
    <t>万平方米</t>
  </si>
  <si>
    <t>六、商品房销售额</t>
  </si>
  <si>
    <t>七、社会消费品零售总额</t>
  </si>
  <si>
    <t xml:space="preserve">    其中：城镇</t>
  </si>
  <si>
    <t xml:space="preserve">          乡村</t>
  </si>
  <si>
    <t xml:space="preserve">    其中：商品零售</t>
  </si>
  <si>
    <t xml:space="preserve">          餐饮收入</t>
  </si>
  <si>
    <t>八、进出口总额</t>
  </si>
  <si>
    <t xml:space="preserve">    其中：出口总额</t>
  </si>
  <si>
    <t xml:space="preserve">          进口总额</t>
  </si>
  <si>
    <t>九、实际利用外资</t>
  </si>
  <si>
    <t>十、地方一般公共预算收入</t>
  </si>
  <si>
    <t xml:space="preserve">    其中：税收收入</t>
  </si>
  <si>
    <t>十一、地方一般公共预算支出</t>
  </si>
  <si>
    <t>十二、金融机构本外币存款余额</t>
  </si>
  <si>
    <t xml:space="preserve">    其中：住户存款余额</t>
  </si>
  <si>
    <t>十三、金融机构本外币贷款余额</t>
  </si>
  <si>
    <t>十四、居民消费价格指数</t>
  </si>
  <si>
    <t>十五、全社会用电量</t>
  </si>
  <si>
    <t>亿千瓦时</t>
  </si>
  <si>
    <t xml:space="preserve">    其中：工业用电量</t>
  </si>
  <si>
    <t xml:space="preserve">          #制造业用电量</t>
  </si>
  <si>
    <t>十六、公路运输总周转量</t>
  </si>
  <si>
    <t>亿吨公里</t>
  </si>
  <si>
    <t>十七、水路运输总周转量</t>
  </si>
  <si>
    <t>十八、全市港口货物吞吐量</t>
  </si>
  <si>
    <t>亿吨</t>
  </si>
  <si>
    <t>十九、全市港口集装箱吞吐量</t>
  </si>
  <si>
    <t>万TEU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</si>
  <si>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3.金融机构存、贷款余额为月末数；
4.地方一般公共预算收入、税收收入增速为自然口径。</t>
  </si>
  <si>
    <t>2025年1-4月全市各县（市、区）主要经济指标完成情况</t>
  </si>
  <si>
    <t>地区生产总值
（一季度）</t>
  </si>
  <si>
    <t>规模以上工业增加值</t>
  </si>
  <si>
    <t>固定资产投资</t>
  </si>
  <si>
    <t>社会消费品零售总额</t>
  </si>
  <si>
    <t>地方一般公共预算收入</t>
  </si>
  <si>
    <t>绝对值
（亿元)</t>
  </si>
  <si>
    <t>增长
(%)</t>
  </si>
  <si>
    <t xml:space="preserve">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</si>
  <si>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</si>
  <si>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</si>
  <si>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</si>
  <si>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</si>
  <si>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</si>
  <si>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</si>
  <si>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</si>
  <si>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</si>
  <si>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</si>
  <si>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 xml:space="preserve">     经开区</t>
  </si>
  <si>
    <t>注：据省要求，不得对外公布规模以上工业增加值、固定资产投资相关数据的绝对量，只公布增速。</t>
  </si>
  <si>
    <t>农业生产情况</t>
  </si>
  <si>
    <t>单 位</t>
  </si>
  <si>
    <t>一、农林牧渔业总产值</t>
  </si>
  <si>
    <t xml:space="preserve">        农  业</t>
  </si>
  <si>
    <t xml:space="preserve">        林  业</t>
  </si>
  <si>
    <t xml:space="preserve">        畜牧业</t>
  </si>
  <si>
    <t xml:space="preserve">        渔  业</t>
  </si>
  <si>
    <t xml:space="preserve">        农林牧渔专业及辅助性活动</t>
  </si>
  <si>
    <t>二、农林牧渔业增加值</t>
  </si>
  <si>
    <t>三、主要农产品产量</t>
  </si>
  <si>
    <t xml:space="preserve">        粮  食 </t>
  </si>
  <si>
    <t>万吨</t>
  </si>
  <si>
    <t xml:space="preserve">          其中：稻谷</t>
  </si>
  <si>
    <t xml:space="preserve">        蔬  菜 </t>
  </si>
  <si>
    <t xml:space="preserve">        园林水果 </t>
  </si>
  <si>
    <t xml:space="preserve">          其中：香蕉</t>
  </si>
  <si>
    <t xml:space="preserve">                菠萝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</si>
  <si>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</si>
  <si>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</si>
  <si>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</si>
  <si>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</si>
  <si>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</si>
  <si>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>注：农业总产值和增加值按季度核算，增长速度按可比价格计算；</t>
  </si>
  <si>
    <t>一、工业增加值（亿元）</t>
  </si>
  <si>
    <t xml:space="preserve">   其中：轻工业</t>
  </si>
  <si>
    <t xml:space="preserve">         重工业</t>
  </si>
  <si>
    <t xml:space="preserve">   其中：国有企业</t>
  </si>
  <si>
    <t xml:space="preserve">         集体企业</t>
  </si>
  <si>
    <t xml:space="preserve">         股份制企业</t>
  </si>
  <si>
    <t xml:space="preserve">         外商及港澳台企业</t>
  </si>
  <si>
    <t xml:space="preserve">         其他经济类型企业</t>
  </si>
  <si>
    <t xml:space="preserve">   其中：国有及国有控股企业</t>
  </si>
  <si>
    <t xml:space="preserve">   其中：大型企业</t>
  </si>
  <si>
    <t xml:space="preserve">         中型企业</t>
  </si>
  <si>
    <t xml:space="preserve">         小型企业</t>
  </si>
  <si>
    <t xml:space="preserve">         微型企业</t>
  </si>
  <si>
    <t>注：据省要求，不得对外公布规模以上工业增加值相关数据的绝对量，只公布增速。</t>
  </si>
  <si>
    <t>规模以上工业主要行业增加值</t>
  </si>
  <si>
    <t>规模以上工业合计（亿元）</t>
  </si>
  <si>
    <t>采矿业</t>
  </si>
  <si>
    <t>制造业</t>
  </si>
  <si>
    <t xml:space="preserve">  农副食品加工业     </t>
  </si>
  <si>
    <t xml:space="preserve">  食品制造业         </t>
  </si>
  <si>
    <t xml:space="preserve">  酒、饮料和精制茶制造业 </t>
  </si>
  <si>
    <t xml:space="preserve">  烟草制品业         </t>
  </si>
  <si>
    <t xml:space="preserve">  纺织业             </t>
  </si>
  <si>
    <t xml:space="preserve">  纺织服装、服饰业</t>
  </si>
  <si>
    <t xml:space="preserve">  皮革毛皮羽毛制品业 </t>
  </si>
  <si>
    <t xml:space="preserve">  木材、竹、藤、棕、草制品业 </t>
  </si>
  <si>
    <t xml:space="preserve">  家具制造业         </t>
  </si>
  <si>
    <t xml:space="preserve">  造纸及纸制品业     </t>
  </si>
  <si>
    <t xml:space="preserve">  印刷、记录媒介复制业</t>
  </si>
  <si>
    <t xml:space="preserve">  文教体育娱乐用品制造业</t>
  </si>
  <si>
    <t xml:space="preserve">  石油、煤炭及其燃料加工业</t>
  </si>
  <si>
    <t xml:space="preserve">  化学原料及化学制造业</t>
  </si>
  <si>
    <t xml:space="preserve">  医药制造业</t>
  </si>
  <si>
    <t xml:space="preserve">  橡胶和塑料制品业</t>
  </si>
  <si>
    <t xml:space="preserve">  非金属矿制品业</t>
  </si>
  <si>
    <t xml:space="preserve">  黑色金属冶炼压延加工业</t>
  </si>
  <si>
    <t xml:space="preserve">  有色金属冶炼压延加工业</t>
  </si>
  <si>
    <t xml:space="preserve">  金属制品业</t>
  </si>
  <si>
    <t xml:space="preserve">  通用机械制造业</t>
  </si>
  <si>
    <t xml:space="preserve">  专用设备制造业</t>
  </si>
  <si>
    <t xml:space="preserve">  汽车制造业</t>
  </si>
  <si>
    <t xml:space="preserve">  铁路船舶和其他运输设备制造业</t>
  </si>
  <si>
    <t xml:space="preserve">  电气机械及器材制造业</t>
  </si>
  <si>
    <t xml:space="preserve">  通信设备、计算机制造业</t>
  </si>
  <si>
    <t>电力、热力、燃气及水生产和供应业</t>
  </si>
  <si>
    <t xml:space="preserve">  电力、热力生产和供应业</t>
  </si>
  <si>
    <t xml:space="preserve">  燃气生产和供应业</t>
  </si>
  <si>
    <t xml:space="preserve">  自来水的生产和供应业</t>
  </si>
  <si>
    <t>规模以上工业企业主要经济指标</t>
  </si>
  <si>
    <t>指  标</t>
  </si>
  <si>
    <t>企业单位数</t>
  </si>
  <si>
    <t>个</t>
  </si>
  <si>
    <t xml:space="preserve">  其中：亏损企业</t>
  </si>
  <si>
    <t>亏损企业亏损额</t>
  </si>
  <si>
    <t>流动资产合计</t>
  </si>
  <si>
    <t xml:space="preserve">  其中：存货</t>
  </si>
  <si>
    <t xml:space="preserve">    其中：产成品</t>
  </si>
  <si>
    <t>资产合计</t>
  </si>
  <si>
    <t>负债合计</t>
  </si>
  <si>
    <t>营业收入</t>
  </si>
  <si>
    <t>营业成本</t>
  </si>
  <si>
    <t>销售费用</t>
  </si>
  <si>
    <t>管理费用</t>
  </si>
  <si>
    <t>财务费用</t>
  </si>
  <si>
    <t>利润总额</t>
  </si>
  <si>
    <t>税金及附加</t>
  </si>
  <si>
    <t>应交增值税</t>
  </si>
  <si>
    <t>平均用工人数</t>
  </si>
  <si>
    <t>万人</t>
  </si>
  <si>
    <t>注：2022年2月（含）前确定的部分国家代报企业7个，不计入企业个数。</t>
  </si>
  <si>
    <t>规模以上工业经济效益指标</t>
  </si>
  <si>
    <t>资产利润率</t>
  </si>
  <si>
    <t xml:space="preserve">  比上年同期增（减）</t>
  </si>
  <si>
    <t>百分点</t>
  </si>
  <si>
    <t>资本保值增值率</t>
  </si>
  <si>
    <t>资产负债率</t>
  </si>
  <si>
    <t>流动资产周转率</t>
  </si>
  <si>
    <t>次</t>
  </si>
  <si>
    <t>成本费用利润率</t>
  </si>
  <si>
    <t>产品销售率</t>
  </si>
  <si>
    <t>全员劳动生产率</t>
  </si>
  <si>
    <t>万元/人</t>
  </si>
  <si>
    <t>主要工业产品产量</t>
  </si>
  <si>
    <t xml:space="preserve">饲料    </t>
  </si>
  <si>
    <t xml:space="preserve">食用植物油    </t>
  </si>
  <si>
    <t xml:space="preserve">成品糖        </t>
  </si>
  <si>
    <t>食品添加剂</t>
  </si>
  <si>
    <t>鲜冷藏冻肉</t>
  </si>
  <si>
    <t xml:space="preserve">饮料酒         </t>
  </si>
  <si>
    <t>千升</t>
  </si>
  <si>
    <t xml:space="preserve">  啤酒   </t>
  </si>
  <si>
    <t>饮料</t>
  </si>
  <si>
    <t xml:space="preserve">冷冻水产品    </t>
  </si>
  <si>
    <t xml:space="preserve">卷烟        </t>
  </si>
  <si>
    <t>亿支</t>
  </si>
  <si>
    <t>鞋</t>
  </si>
  <si>
    <t>万双</t>
  </si>
  <si>
    <t>服装</t>
  </si>
  <si>
    <t>万件</t>
  </si>
  <si>
    <t>纸浆</t>
  </si>
  <si>
    <t xml:space="preserve">人造板        </t>
  </si>
  <si>
    <t>万立方米</t>
  </si>
  <si>
    <t xml:space="preserve">家具          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</si>
  <si>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</si>
  <si>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</si>
  <si>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</si>
  <si>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</si>
  <si>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</si>
  <si>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</si>
  <si>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石油沥青</t>
  </si>
  <si>
    <t>液化石油气</t>
  </si>
  <si>
    <t xml:space="preserve">水泥         </t>
  </si>
  <si>
    <t xml:space="preserve">商品混凝土   </t>
  </si>
  <si>
    <t>生铁</t>
  </si>
  <si>
    <t>粗钢</t>
  </si>
  <si>
    <t>钢材</t>
  </si>
  <si>
    <t xml:space="preserve">电饭锅       </t>
  </si>
  <si>
    <t>万个</t>
  </si>
  <si>
    <t xml:space="preserve">灯具照明装置 </t>
  </si>
  <si>
    <t>万台(套)</t>
  </si>
  <si>
    <t xml:space="preserve">发电量       </t>
  </si>
  <si>
    <t>工业综合能源消费量及六大高耗能行业用电量</t>
  </si>
  <si>
    <t>综合能源消费量（万吨标准煤）</t>
  </si>
  <si>
    <t xml:space="preserve">  采矿业</t>
  </si>
  <si>
    <t xml:space="preserve">  制造业</t>
  </si>
  <si>
    <t xml:space="preserve">  电力、热力、燃气及水生产和供应业</t>
  </si>
  <si>
    <t>六大高耗能行业综合能源消费量（万吨标准煤）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</si>
  <si>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</si>
  <si>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</si>
  <si>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</si>
  <si>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 </t>
  </si>
  <si>
    <t>六大高耗能行业用电量（万千瓦时）</t>
  </si>
  <si>
    <t>六大高耗能行业增加值（亿元）</t>
  </si>
  <si>
    <t>注：1.本表统计口径为规模以上工业，工业综合能源消费量(按当量值计算)为企业在工业生产活动中实际消费的各种能源的总和净值，用电量数据为联网直报企业填报数。
2.据省要求，不得对外公布规模以上工业增加值相关数据的绝对量，只公布增速。</t>
  </si>
  <si>
    <t>交通运输及邮政</t>
  </si>
  <si>
    <t>港  口</t>
  </si>
  <si>
    <t xml:space="preserve">  全市港口货物吞吐量</t>
  </si>
  <si>
    <t xml:space="preserve">    其中：湛江港(集团)股份有限公司</t>
  </si>
  <si>
    <t xml:space="preserve">  全市港口集装箱吞吐量</t>
  </si>
  <si>
    <t>公 路</t>
  </si>
  <si>
    <t xml:space="preserve"> </t>
  </si>
  <si>
    <t xml:space="preserve">  货运量</t>
  </si>
  <si>
    <t xml:space="preserve">  货物周转量</t>
  </si>
  <si>
    <t xml:space="preserve">  客运量</t>
  </si>
  <si>
    <t xml:space="preserve">  旅客周转量</t>
  </si>
  <si>
    <t>亿人公里</t>
  </si>
  <si>
    <t>水 路</t>
  </si>
  <si>
    <t>邮  政</t>
  </si>
  <si>
    <t xml:space="preserve">  邮政行业业务收入</t>
  </si>
  <si>
    <t xml:space="preserve">    其中：邮政寄递服务</t>
  </si>
  <si>
    <t xml:space="preserve">          快递业务</t>
  </si>
  <si>
    <t xml:space="preserve">  邮政行业业务总量</t>
  </si>
  <si>
    <t xml:space="preserve">  邮政寄递服务业务量</t>
  </si>
  <si>
    <t xml:space="preserve">  快递业务量</t>
  </si>
  <si>
    <t xml:space="preserve">    其中：同城</t>
  </si>
  <si>
    <t xml:space="preserve">          异地</t>
  </si>
  <si>
    <t xml:space="preserve">           #国际、港澳台</t>
  </si>
  <si>
    <t xml:space="preserve">  项目投资</t>
  </si>
  <si>
    <t xml:space="preserve">    基础设施 </t>
  </si>
  <si>
    <t xml:space="preserve">      #城市建设</t>
  </si>
  <si>
    <t xml:space="preserve">      交通运输基础设施投资</t>
  </si>
  <si>
    <t xml:space="preserve">    工业</t>
  </si>
  <si>
    <t xml:space="preserve">      #制造业</t>
  </si>
  <si>
    <t xml:space="preserve">      工业技术改造</t>
  </si>
  <si>
    <t xml:space="preserve">  房地产开发</t>
  </si>
  <si>
    <t xml:space="preserve">  按产业分：第一产业</t>
  </si>
  <si>
    <t xml:space="preserve">            第二产业</t>
  </si>
  <si>
    <t xml:space="preserve">            第三产业</t>
  </si>
  <si>
    <t>投资项目施工个数</t>
  </si>
  <si>
    <t xml:space="preserve">  亿元以上项目个数</t>
  </si>
  <si>
    <t xml:space="preserve">  工业投资项目个数</t>
  </si>
  <si>
    <t xml:space="preserve">  基础设施投资项目个数</t>
  </si>
  <si>
    <t xml:space="preserve">   #交通运输基础设施投资项目个数</t>
  </si>
  <si>
    <t>房地产开发投资项目个数</t>
  </si>
  <si>
    <t>房地产开发投资房屋施工面积</t>
  </si>
  <si>
    <t xml:space="preserve">  #住宅</t>
  </si>
  <si>
    <t>商品房销售面积</t>
  </si>
  <si>
    <t>商品房销售额</t>
  </si>
  <si>
    <t>注：据省要求，不得对外公布固定资产投资相关数据的绝对量，只公布增速。</t>
  </si>
  <si>
    <t>社会消费品零售总额（亿元）</t>
  </si>
  <si>
    <t>按经营地分</t>
  </si>
  <si>
    <t xml:space="preserve">  城镇</t>
  </si>
  <si>
    <t xml:space="preserve">  乡村</t>
  </si>
  <si>
    <t>按消费类型分</t>
  </si>
  <si>
    <t xml:space="preserve">  商品零售</t>
  </si>
  <si>
    <t xml:space="preserve">  餐饮收入</t>
  </si>
  <si>
    <t>限额以上单位商品零售</t>
  </si>
  <si>
    <t xml:space="preserve">  粮油、食品类</t>
  </si>
  <si>
    <t xml:space="preserve">  饮料类</t>
  </si>
  <si>
    <t xml:space="preserve">  烟酒类</t>
  </si>
  <si>
    <t xml:space="preserve">  服装鞋帽针纺织品类</t>
  </si>
  <si>
    <t xml:space="preserve">  化妆品类</t>
  </si>
  <si>
    <t xml:space="preserve">  金银珠宝类</t>
  </si>
  <si>
    <t xml:space="preserve">  日用品类</t>
  </si>
  <si>
    <t xml:space="preserve">  五金电料类</t>
  </si>
  <si>
    <t xml:space="preserve">  体育娱乐用品类</t>
  </si>
  <si>
    <t xml:space="preserve">  书报杂志类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</si>
  <si>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</si>
  <si>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</si>
  <si>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</si>
  <si>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</si>
  <si>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</si>
  <si>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</si>
  <si>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</si>
  <si>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机电产品及设备类</t>
  </si>
  <si>
    <t xml:space="preserve">  汽车类</t>
  </si>
  <si>
    <t>财政收支情况</t>
  </si>
  <si>
    <t>地方一般公共预算收入（亿元）</t>
  </si>
  <si>
    <t xml:space="preserve">  税收收入</t>
  </si>
  <si>
    <t xml:space="preserve">     ＃增值税</t>
  </si>
  <si>
    <t xml:space="preserve">       企业所得税</t>
  </si>
  <si>
    <t xml:space="preserve">       个人所得税</t>
  </si>
  <si>
    <t xml:space="preserve">       城市维护建设税</t>
  </si>
  <si>
    <t xml:space="preserve">       房产税</t>
  </si>
  <si>
    <t xml:space="preserve">       土地增值税</t>
  </si>
  <si>
    <t xml:space="preserve">       契税</t>
  </si>
  <si>
    <t xml:space="preserve">  非税收入</t>
  </si>
  <si>
    <t>地方一般公共预算支出（亿元）</t>
  </si>
  <si>
    <t xml:space="preserve">  ＃一般公共服务</t>
  </si>
  <si>
    <t xml:space="preserve">    科学技术</t>
  </si>
  <si>
    <t xml:space="preserve">    民生支出合计</t>
  </si>
  <si>
    <t xml:space="preserve">      ＃教育</t>
  </si>
  <si>
    <t xml:space="preserve">        文化旅游体育与传媒</t>
  </si>
  <si>
    <t xml:space="preserve">        社会保障和就业</t>
  </si>
  <si>
    <t xml:space="preserve">        卫生健康</t>
  </si>
  <si>
    <t xml:space="preserve">        节能环保</t>
  </si>
  <si>
    <t xml:space="preserve">        城乡社区事务</t>
  </si>
  <si>
    <t xml:space="preserve">        农林水事务</t>
  </si>
  <si>
    <t xml:space="preserve">        交通运输</t>
  </si>
  <si>
    <t xml:space="preserve">        住房保障支出</t>
  </si>
  <si>
    <t xml:space="preserve">        粮油物资储备事务</t>
  </si>
  <si>
    <t>注：1.本表数据来源市财政局；
2.地方一般公共预算收入相关数据增速为自然口径；
3.部分数据由于小数位取舍不同而产生的计算误差，均未作机械调整。</t>
  </si>
  <si>
    <t>金   融</t>
  </si>
  <si>
    <t>一、金融机构本外币各项存款余额</t>
  </si>
  <si>
    <t>（一）境内存款</t>
  </si>
  <si>
    <t xml:space="preserve">   1.住户存款</t>
  </si>
  <si>
    <t xml:space="preserve">   2.非金融企业存款</t>
  </si>
  <si>
    <t xml:space="preserve">   3.广义政府存款</t>
  </si>
  <si>
    <t xml:space="preserve">   4.非银行业金融机构存款</t>
  </si>
  <si>
    <t>（二）境外存款</t>
  </si>
  <si>
    <t>二、金融机构本外币各项贷款余额</t>
  </si>
  <si>
    <t>（一）境内贷款</t>
  </si>
  <si>
    <t xml:space="preserve">   1.住户贷款</t>
  </si>
  <si>
    <t xml:space="preserve">   2.非金融企业及机关团体贷款</t>
  </si>
  <si>
    <t xml:space="preserve">   3.非银行业金融机构贷款</t>
  </si>
  <si>
    <t>（二）境外贷款</t>
  </si>
  <si>
    <t>三、金融机构人民币各项存款余额</t>
  </si>
  <si>
    <t xml:space="preserve">     其中：活期存款</t>
  </si>
  <si>
    <t xml:space="preserve">     其中：机关团体存款</t>
  </si>
  <si>
    <t>四、金融机构人民币各项贷款余额</t>
  </si>
  <si>
    <t xml:space="preserve">     其中：中长期贷款</t>
  </si>
  <si>
    <t xml:space="preserve">     其中：短期贷款</t>
  </si>
  <si>
    <t xml:space="preserve">          中长期贷款</t>
  </si>
  <si>
    <t>注：本表数据来源中国人民银行湛江市分行。</t>
  </si>
  <si>
    <t>外贸进出口总额和利用外资</t>
  </si>
  <si>
    <t>一、外贸进出口总额（亿元）</t>
  </si>
  <si>
    <t xml:space="preserve">   (一)出口总额</t>
  </si>
  <si>
    <t xml:space="preserve">   1.按主要贸易方式分</t>
  </si>
  <si>
    <t xml:space="preserve">       一般贸易</t>
  </si>
  <si>
    <t xml:space="preserve">       加工贸易</t>
  </si>
  <si>
    <t xml:space="preserve">       保税物流</t>
  </si>
  <si>
    <t xml:space="preserve">   2.按主要经济类型分</t>
  </si>
  <si>
    <t xml:space="preserve">       国有企业</t>
  </si>
  <si>
    <t xml:space="preserve">       民营企业</t>
  </si>
  <si>
    <t xml:space="preserve">       外商投资企业</t>
  </si>
  <si>
    <t xml:space="preserve">   3.按主要国家（地区）分</t>
  </si>
  <si>
    <t xml:space="preserve">      中 国 香 港</t>
  </si>
  <si>
    <t xml:space="preserve">       日     本</t>
  </si>
  <si>
    <t xml:space="preserve">       美     国</t>
  </si>
  <si>
    <t xml:space="preserve">       欧     盟(27国）</t>
  </si>
  <si>
    <t xml:space="preserve">  (二)进口总额</t>
  </si>
  <si>
    <t xml:space="preserve">  按主要贸易方式分</t>
  </si>
  <si>
    <t xml:space="preserve">    一般贸易</t>
  </si>
  <si>
    <t xml:space="preserve">    加工贸易</t>
  </si>
  <si>
    <t xml:space="preserve">    保税物流</t>
  </si>
  <si>
    <t>二、利用外资</t>
  </si>
  <si>
    <t xml:space="preserve">    外商直接投资项目（个）</t>
  </si>
  <si>
    <t xml:space="preserve">    合同利用外商直接投资（亿元）</t>
  </si>
  <si>
    <t xml:space="preserve">    实际利用外商直接投资（亿元）</t>
  </si>
  <si>
    <t>注：本表数据来源湛江海关和市商务局。</t>
  </si>
  <si>
    <t>居民人均可支配收入</t>
  </si>
  <si>
    <t>居民人均可支配收入（元）</t>
  </si>
  <si>
    <t xml:space="preserve">  其中：城镇居民人均可支配收入</t>
  </si>
  <si>
    <t xml:space="preserve">       农村居民人均可支配收入</t>
  </si>
  <si>
    <t>居民消费价格指数</t>
  </si>
  <si>
    <t>上年同月=100</t>
  </si>
  <si>
    <t>上年同期=100</t>
  </si>
  <si>
    <t>一、居民消费价格总指数（%）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</si>
  <si>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</si>
  <si>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</si>
  <si>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</si>
  <si>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</si>
  <si>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</si>
  <si>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</si>
  <si>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</si>
  <si>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</si>
  <si>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</si>
  <si>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</si>
  <si>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</si>
  <si>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</si>
  <si>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</si>
  <si>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</si>
  <si>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</si>
  <si>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二、服务项目价格指数（%）</t>
  </si>
  <si>
    <t>注:本表数据来源国家统计局湛江调查队。</t>
  </si>
  <si>
    <t>各县（市、区）地区生产总值和第一产业增加值</t>
  </si>
  <si>
    <t>地区生产总值（亿元）</t>
  </si>
  <si>
    <t xml:space="preserve">   全  市</t>
  </si>
  <si>
    <t xml:space="preserve">   全市总计中：经开区</t>
  </si>
  <si>
    <t>第一产业增加值（亿元）</t>
  </si>
  <si>
    <t>注：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。</t>
  </si>
  <si>
    <t>各县（市、区）第二产业增加值和第三产业增加值</t>
  </si>
  <si>
    <t>第二产业增加值（亿元）</t>
  </si>
  <si>
    <t>第三产业增加值（亿元）</t>
  </si>
  <si>
    <t>各县（市、区）农林牧渔业总产值和规上工业增加值</t>
  </si>
  <si>
    <t>农林牧渔业总产值（亿元）</t>
  </si>
  <si>
    <t>规模以上工业增加值（亿元）</t>
  </si>
  <si>
    <t xml:space="preserve">注：1.本表中经开区规上工业增加值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，下表同。
2.据省要求，不得对外公布规模以上工业增加值相关数据的绝对量，只公布增速。
</t>
  </si>
  <si>
    <t>各县（市、区）规上工业企业利润总额和营业收入</t>
  </si>
  <si>
    <t>规模以上工业企业利润总额（亿元）</t>
  </si>
  <si>
    <t>规模以上工业企业营业收入（亿元）</t>
  </si>
  <si>
    <t>各县（市、区）社会消费品零售总额和固定资产投资</t>
  </si>
  <si>
    <t>固定资产投资（亿元）</t>
  </si>
  <si>
    <r>
      <rPr>
        <sz val="11"/>
        <rFont val="宋体"/>
        <charset val="134"/>
        <scheme val="minor"/>
      </rPr>
      <t xml:space="preserve">   </t>
    </r>
    <r>
      <rPr>
        <sz val="11"/>
        <rFont val="宋体"/>
        <charset val="134"/>
      </rPr>
      <t xml:space="preserve">  经开区</t>
    </r>
  </si>
  <si>
    <t>注：1.表中社会消费品零售 总额经开区为全市单列其中数，其他县（市、区）之和等于全市数；
    2.表中固定资产投资赤坎区、霞山区数据含跨区数据；
    3.据省要求，不得对外公布固定资产投资相关数据的绝对量，只公布增速。</t>
  </si>
  <si>
    <t>各县（市、区）工业投资和房地产开发投资</t>
  </si>
  <si>
    <t>工业投资（亿元）</t>
  </si>
  <si>
    <t>房地产开发投资（亿元）</t>
  </si>
  <si>
    <t>注：1.表中固定资产投资赤坎区、霞山区数据含跨区数据；
    2.据省要求，不得对外公布固定资产投资相关数据的绝对量，只公布增速。</t>
  </si>
  <si>
    <t>各县（市、区）工业技术改造投资和制造业投资</t>
  </si>
  <si>
    <t>工业技术改造投资（亿元）</t>
  </si>
  <si>
    <t>制造业投资（亿元）</t>
  </si>
  <si>
    <t>各县（市、区）财政收支</t>
  </si>
  <si>
    <t>注：1.本表数据来源市财政局；2.地方一般公共预算收入相关数据增速为自然口径。</t>
  </si>
  <si>
    <t>全国及全省各市主要经济指标完成情况（五）</t>
  </si>
  <si>
    <t>单位：亿元</t>
  </si>
  <si>
    <t xml:space="preserve"> 市    别 </t>
  </si>
  <si>
    <t>地税收入</t>
  </si>
  <si>
    <t>国税收入</t>
  </si>
  <si>
    <t>1-5月</t>
  </si>
  <si>
    <t>增长（%）</t>
  </si>
  <si>
    <t>增速排位</t>
  </si>
  <si>
    <t>全  国</t>
  </si>
  <si>
    <t>全  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</si>
  <si>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</si>
  <si>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</si>
  <si>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</si>
  <si>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</si>
  <si>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</si>
  <si>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</si>
  <si>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</si>
  <si>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</si>
  <si>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</si>
  <si>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</si>
  <si>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</si>
  <si>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</si>
  <si>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</si>
  <si>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</si>
  <si>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</si>
  <si>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</si>
  <si>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</si>
  <si>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</si>
  <si>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</si>
  <si>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</si>
  <si>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</si>
  <si>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规模以上工业增加值序列</t>
  </si>
  <si>
    <t xml:space="preserve">  单位：万元</t>
  </si>
  <si>
    <t>时间</t>
  </si>
  <si>
    <t xml:space="preserve">  累计</t>
  </si>
  <si>
    <t>累计增长%</t>
  </si>
  <si>
    <t>固定资产投资序列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</si>
  <si>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单位：万元</t>
    </r>
  </si>
  <si>
    <t>社会消费品零售总额序列</t>
  </si>
  <si>
    <t>出口序列</t>
  </si>
  <si>
    <t xml:space="preserve">    单位：万元</t>
  </si>
  <si>
    <t>外贸出口总额</t>
  </si>
  <si>
    <t>地方一般公共预算收入序列</t>
  </si>
  <si>
    <t>工业用电量序列</t>
  </si>
  <si>
    <t xml:space="preserve">  单位：亿千瓦时</t>
  </si>
  <si>
    <t>工业用电量</t>
  </si>
  <si>
    <t>（上年同期＝100）单位：%</t>
  </si>
  <si>
    <t>当月</t>
  </si>
  <si>
    <t>累计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</si>
</sst>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_-* #,##0_$_-;\-* #,##0_$_-;_-* &quot;-&quot;_$_-;_-@_-"/>
    <numFmt numFmtId="179" formatCode="0.0"/>
    <numFmt numFmtId="180" formatCode="_-* #,##0&quot;$&quot;_-;\-* #,##0&quot;$&quot;_-;_-* &quot;-&quot;&quot;$&quot;_-;_-@_-"/>
    <numFmt numFmtId="181" formatCode="0_);\(0\)"/>
    <numFmt numFmtId="182" formatCode="_-&quot;$&quot;\ * #,##0_-;_-&quot;$&quot;\ * #,##0\-;_-&quot;$&quot;\ * &quot;-&quot;_-;_-@_-"/>
    <numFmt numFmtId="183" formatCode="_-* #,##0.00_$_-;\-* #,##0.00_$_-;_-* &quot;-&quot;??_$_-;_-@_-"/>
    <numFmt numFmtId="184" formatCode="\$#,##0.00;\(\$#,##0.00\)"/>
    <numFmt numFmtId="185" formatCode="&quot;$&quot;\ #,##0.00_-;[Red]&quot;$&quot;\ #,##0.00\-"/>
    <numFmt numFmtId="186" formatCode="_-* #,##0.00_-;\-* #,##0.00_-;_-* &quot;-&quot;??_-;_-@_-"/>
    <numFmt numFmtId="187" formatCode="#,##0.0_);\(#,##0.0\)"/>
    <numFmt numFmtId="188" formatCode="&quot;$&quot;#,##0.00_);[Red]\(&quot;$&quot;#,##0.00\)"/>
    <numFmt numFmtId="189" formatCode="_-&quot;$&quot;\ * #,##0.00_-;_-&quot;$&quot;\ * #,##0.00\-;_-&quot;$&quot;\ * &quot;-&quot;??_-;_-@_-"/>
    <numFmt numFmtId="190" formatCode="yy\.mm\.dd"/>
    <numFmt numFmtId="191" formatCode="\$#,##0;\(\$#,##0\)"/>
    <numFmt numFmtId="192" formatCode="_(&quot;$&quot;* #,##0_);_(&quot;$&quot;* \(#,##0\);_(&quot;$&quot;* &quot;-&quot;_);_(@_)"/>
    <numFmt numFmtId="193" formatCode="_-* #,##0.00&quot;$&quot;_-;\-* #,##0.00&quot;$&quot;_-;_-* &quot;-&quot;??&quot;$&quot;_-;_-@_-"/>
    <numFmt numFmtId="194" formatCode="#,##0;\(#,##0\)"/>
    <numFmt numFmtId="195" formatCode="0.00_)"/>
    <numFmt numFmtId="196" formatCode="#\ ??/??"/>
    <numFmt numFmtId="197" formatCode="&quot;$&quot;#,##0_);[Red]\(&quot;$&quot;#,##0\)"/>
    <numFmt numFmtId="198" formatCode="#,##0;\-#,##0;&quot;-&quot;"/>
    <numFmt numFmtId="199" formatCode="&quot;$&quot;\ #,##0_-;[Red]&quot;$&quot;\ #,##0\-"/>
    <numFmt numFmtId="200" formatCode="_-&quot;$&quot;* #,##0_-;\-&quot;$&quot;* #,##0_-;_-&quot;$&quot;* &quot;-&quot;_-;_-@_-"/>
    <numFmt numFmtId="201" formatCode="_(&quot;$&quot;* #,##0.00_);_(&quot;$&quot;* \(#,##0.00\);_(&quot;$&quot;* &quot;-&quot;??_);_(@_)"/>
    <numFmt numFmtId="202" formatCode="0.0_);[Red]\(0.0\)"/>
    <numFmt numFmtId="203" formatCode="0.0_ "/>
    <numFmt numFmtId="204" formatCode="0_);[Red]\(0\)"/>
    <numFmt numFmtId="205" formatCode="0.00_ "/>
    <numFmt numFmtId="206" formatCode="0;_؄"/>
    <numFmt numFmtId="207" formatCode="0_ "/>
    <numFmt numFmtId="208" formatCode="0.00_);[Red]\(0.00\)"/>
  </numFmts>
  <fonts count="100">
    <font>
      <sz val="12"/>
      <name val="宋体"/>
      <charset val="134"/>
    </font>
    <font>
      <sz val="8"/>
      <name val="宋体"/>
      <charset val="134"/>
    </font>
    <font>
      <sz val="10"/>
      <name val="Arial"/>
      <charset val="0"/>
    </font>
    <font>
      <b/>
      <sz val="18"/>
      <name val="方正小标宋简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color indexed="10"/>
      <name val="黑体"/>
      <charset val="134"/>
    </font>
    <font>
      <b/>
      <sz val="12"/>
      <name val="宋体"/>
      <charset val="134"/>
    </font>
    <font>
      <b/>
      <sz val="9"/>
      <name val="Times New Roman"/>
      <charset val="0"/>
    </font>
    <font>
      <sz val="9"/>
      <name val="Times New Roman"/>
      <charset val="0"/>
    </font>
    <font>
      <sz val="10.5"/>
      <name val="Times New Roman"/>
      <charset val="0"/>
    </font>
    <font>
      <sz val="14"/>
      <name val="仿宋_GB2312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u/>
      <sz val="11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color indexed="52"/>
      <name val="楷体_GB2312"/>
      <charset val="134"/>
    </font>
    <font>
      <sz val="12"/>
      <color indexed="20"/>
      <name val="宋体"/>
      <charset val="134"/>
    </font>
    <font>
      <sz val="10.5"/>
      <color indexed="17"/>
      <name val="宋体"/>
      <charset val="134"/>
    </font>
    <font>
      <sz val="12"/>
      <color indexed="16"/>
      <name val="宋体"/>
      <charset val="134"/>
    </font>
    <font>
      <sz val="12"/>
      <color indexed="8"/>
      <name val="宋体"/>
      <charset val="134"/>
    </font>
    <font>
      <sz val="12"/>
      <color indexed="17"/>
      <name val="宋体"/>
      <charset val="134"/>
    </font>
    <font>
      <sz val="12"/>
      <color indexed="20"/>
      <name val="楷体_GB2312"/>
      <charset val="134"/>
    </font>
    <font>
      <b/>
      <sz val="18"/>
      <name val="Arial"/>
      <charset val="0"/>
    </font>
    <font>
      <sz val="12"/>
      <color indexed="17"/>
      <name val="楷体_GB2312"/>
      <charset val="134"/>
    </font>
    <font>
      <sz val="10"/>
      <name val="Times New Roman"/>
      <charset val="0"/>
    </font>
    <font>
      <sz val="12"/>
      <color indexed="9"/>
      <name val="宋体"/>
      <charset val="134"/>
    </font>
    <font>
      <sz val="10.5"/>
      <color indexed="20"/>
      <name val="宋体"/>
      <charset val="134"/>
    </font>
    <font>
      <sz val="12"/>
      <color indexed="8"/>
      <name val="楷体_GB2312"/>
      <charset val="134"/>
    </font>
    <font>
      <sz val="12"/>
      <color indexed="9"/>
      <name val="楷体_GB2312"/>
      <charset val="134"/>
    </font>
    <font>
      <b/>
      <sz val="12"/>
      <name val="Arial"/>
      <charset val="0"/>
    </font>
    <font>
      <b/>
      <sz val="18"/>
      <color indexed="62"/>
      <name val="宋体"/>
      <charset val="134"/>
    </font>
    <font>
      <b/>
      <sz val="10"/>
      <name val="Arial"/>
      <charset val="0"/>
    </font>
    <font>
      <b/>
      <sz val="11"/>
      <color indexed="56"/>
      <name val="楷体_GB2312"/>
      <charset val="134"/>
    </font>
    <font>
      <sz val="10"/>
      <color indexed="17"/>
      <name val="宋体"/>
      <charset val="134"/>
    </font>
    <font>
      <sz val="12"/>
      <color indexed="60"/>
      <name val="楷体_GB2312"/>
      <charset val="134"/>
    </font>
    <font>
      <sz val="10"/>
      <name val="Geneva"/>
      <charset val="0"/>
    </font>
    <font>
      <sz val="10"/>
      <color indexed="20"/>
      <name val="宋体"/>
      <charset val="134"/>
    </font>
    <font>
      <b/>
      <sz val="12"/>
      <color indexed="8"/>
      <name val="宋体"/>
      <charset val="134"/>
    </font>
    <font>
      <sz val="8"/>
      <name val="Times New Roman"/>
      <charset val="0"/>
    </font>
    <font>
      <sz val="10"/>
      <name val="Helv"/>
      <charset val="134"/>
    </font>
    <font>
      <sz val="12"/>
      <name val="Courier"/>
      <charset val="0"/>
    </font>
    <font>
      <sz val="8"/>
      <name val="Arial"/>
      <charset val="0"/>
    </font>
    <font>
      <sz val="10"/>
      <color indexed="8"/>
      <name val="Arial"/>
      <charset val="0"/>
    </font>
    <font>
      <b/>
      <sz val="9"/>
      <name val="Arial"/>
      <charset val="0"/>
    </font>
    <font>
      <b/>
      <sz val="10"/>
      <name val="Tms Rmn"/>
      <charset val="0"/>
    </font>
    <font>
      <sz val="12"/>
      <name val="????"/>
      <charset val="0"/>
    </font>
    <font>
      <sz val="10"/>
      <color indexed="8"/>
      <name val="MS Sans Serif"/>
      <charset val="0"/>
    </font>
    <font>
      <sz val="12"/>
      <name val="官帕眉"/>
      <charset val="134"/>
    </font>
    <font>
      <b/>
      <sz val="14"/>
      <name val="楷体"/>
      <charset val="134"/>
    </font>
    <font>
      <b/>
      <sz val="12"/>
      <color indexed="52"/>
      <name val="楷体_GB2312"/>
      <charset val="134"/>
    </font>
    <font>
      <sz val="12"/>
      <name val="Times New Roman"/>
      <charset val="0"/>
    </font>
    <font>
      <sz val="12"/>
      <color indexed="9"/>
      <name val="Helv"/>
      <charset val="134"/>
    </font>
    <font>
      <sz val="10"/>
      <name val="楷体"/>
      <charset val="134"/>
    </font>
    <font>
      <b/>
      <sz val="12"/>
      <color indexed="8"/>
      <name val="楷体_GB2312"/>
      <charset val="134"/>
    </font>
    <font>
      <sz val="12"/>
      <color indexed="10"/>
      <name val="楷体_GB2312"/>
      <charset val="134"/>
    </font>
    <font>
      <b/>
      <sz val="15"/>
      <color indexed="56"/>
      <name val="楷体_GB2312"/>
      <charset val="134"/>
    </font>
    <font>
      <sz val="10"/>
      <name val="Arial"/>
      <charset val="134"/>
    </font>
    <font>
      <b/>
      <sz val="10"/>
      <name val="MS Sans Serif"/>
      <charset val="0"/>
    </font>
    <font>
      <sz val="12"/>
      <name val="바탕체"/>
      <charset val="134"/>
    </font>
    <font>
      <b/>
      <sz val="12"/>
      <color indexed="63"/>
      <name val="楷体_GB2312"/>
      <charset val="134"/>
    </font>
    <font>
      <sz val="12"/>
      <name val="Arial"/>
      <charset val="0"/>
    </font>
    <font>
      <b/>
      <sz val="13"/>
      <color indexed="56"/>
      <name val="楷体_GB2312"/>
      <charset val="134"/>
    </font>
    <font>
      <b/>
      <sz val="12"/>
      <color indexed="9"/>
      <name val="楷体_GB2312"/>
      <charset val="134"/>
    </font>
    <font>
      <sz val="10"/>
      <name val="Courier"/>
      <charset val="0"/>
    </font>
    <font>
      <i/>
      <sz val="12"/>
      <color indexed="23"/>
      <name val="楷体_GB2312"/>
      <charset val="134"/>
    </font>
    <font>
      <sz val="12"/>
      <color indexed="62"/>
      <name val="楷体_GB2312"/>
      <charset val="134"/>
    </font>
    <font>
      <sz val="12"/>
      <name val="Helv"/>
      <charset val="134"/>
    </font>
    <font>
      <sz val="7"/>
      <name val="Small Fonts"/>
      <charset val="0"/>
    </font>
    <font>
      <sz val="10"/>
      <name val="MS Sans Serif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4"/>
        <bgColor indexed="64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indexed="12"/>
        <bgColor indexed="64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29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181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0" fillId="3" borderId="4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49" fillId="8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79" fontId="18" fillId="0" borderId="15">
      <alignment vertical="center"/>
      <protection locked="0"/>
    </xf>
    <xf numFmtId="0" fontId="51" fillId="21" borderId="0" applyNumberFormat="0" applyBorder="0" applyAlignment="0" applyProtection="0">
      <alignment vertical="center"/>
    </xf>
    <xf numFmtId="0" fontId="0" fillId="0" borderId="0"/>
    <xf numFmtId="0" fontId="5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3" fillId="0" borderId="0" applyProtection="0"/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0" borderId="0"/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9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59" fillId="1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60" fillId="0" borderId="16">
      <alignment horizontal="left"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56" fillId="4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182" fontId="0" fillId="0" borderId="0" applyFont="0" applyFill="0" applyBorder="0" applyAlignment="0" applyProtection="0"/>
    <xf numFmtId="0" fontId="40" fillId="0" borderId="56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3" fillId="0" borderId="50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50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0" fillId="0" borderId="0"/>
    <xf numFmtId="0" fontId="59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0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4" fillId="1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0" fillId="0" borderId="5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56" fillId="6" borderId="0" applyNumberFormat="0" applyBorder="0" applyAlignment="0" applyProtection="0"/>
    <xf numFmtId="0" fontId="56" fillId="24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1" fillId="21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51" fillId="7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5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" fontId="2" fillId="0" borderId="2" applyFill="0" applyProtection="0">
      <alignment horizont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6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68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6" fillId="25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5" fillId="0" borderId="0">
      <alignment vertical="center"/>
    </xf>
    <xf numFmtId="0" fontId="5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4" fontId="69" fillId="0" borderId="0">
      <alignment horizontal="center" wrapText="1"/>
      <protection locked="0"/>
    </xf>
    <xf numFmtId="0" fontId="4" fillId="0" borderId="0">
      <alignment vertical="center"/>
    </xf>
    <xf numFmtId="0" fontId="45" fillId="0" borderId="0">
      <alignment vertical="center"/>
    </xf>
    <xf numFmtId="0" fontId="5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0" fillId="0" borderId="0"/>
    <xf numFmtId="0" fontId="37" fillId="5" borderId="52" applyNumberFormat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179" fontId="18" fillId="0" borderId="15">
      <alignment vertical="center"/>
      <protection locked="0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58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1" fillId="0" borderId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184" fontId="55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8" fillId="6" borderId="54" applyNumberFormat="0" applyAlignment="0" applyProtection="0">
      <alignment vertical="center"/>
    </xf>
    <xf numFmtId="0" fontId="50" fillId="4" borderId="0" applyNumberFormat="0" applyBorder="0" applyAlignment="0" applyProtection="0"/>
    <xf numFmtId="0" fontId="0" fillId="0" borderId="0"/>
    <xf numFmtId="0" fontId="42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11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72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5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top"/>
    </xf>
    <xf numFmtId="0" fontId="36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7" fillId="19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40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/>
    <xf numFmtId="0" fontId="44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/>
    <xf numFmtId="0" fontId="75" fillId="28" borderId="5">
      <protection locked="0"/>
    </xf>
    <xf numFmtId="0" fontId="5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56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8" fillId="6" borderId="54" applyNumberFormat="0" applyAlignment="0" applyProtection="0">
      <alignment vertical="center"/>
    </xf>
    <xf numFmtId="179" fontId="18" fillId="0" borderId="15">
      <alignment vertical="center"/>
      <protection locked="0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50" fillId="21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66" fillId="0" borderId="0"/>
    <xf numFmtId="0" fontId="76" fillId="0" borderId="0"/>
    <xf numFmtId="0" fontId="56" fillId="12" borderId="0" applyNumberFormat="0" applyBorder="0" applyAlignment="0" applyProtection="0"/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0" fillId="3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7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70" fillId="0" borderId="0"/>
    <xf numFmtId="0" fontId="56" fillId="25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22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50" fillId="2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8" fillId="0" borderId="0"/>
    <xf numFmtId="181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69" fillId="0" borderId="0">
      <alignment horizontal="center" wrapText="1"/>
      <protection locked="0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0" borderId="55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79" fillId="0" borderId="7" applyNumberFormat="0" applyFill="0" applyProtection="0">
      <alignment horizontal="center"/>
    </xf>
    <xf numFmtId="0" fontId="36" fillId="5" borderId="53" applyNumberFormat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9" fillId="8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60" fillId="0" borderId="57" applyNumberFormat="0" applyAlignment="0" applyProtection="0">
      <alignment horizontal="left" vertical="center"/>
    </xf>
    <xf numFmtId="0" fontId="51" fillId="7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4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75" fillId="28" borderId="5">
      <protection locked="0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57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3" fontId="0" fillId="0" borderId="0" applyFont="0" applyFill="0" applyBorder="0" applyAlignment="0" applyProtection="0"/>
    <xf numFmtId="0" fontId="44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1" fillId="7" borderId="0" applyNumberFormat="0" applyBorder="0" applyAlignment="0" applyProtection="0"/>
    <xf numFmtId="0" fontId="45" fillId="0" borderId="0">
      <alignment vertical="center"/>
    </xf>
    <xf numFmtId="0" fontId="57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2" fillId="3" borderId="15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80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81" fillId="0" borderId="0"/>
    <xf numFmtId="0" fontId="56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59" fillId="20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1" fillId="7" borderId="0" applyNumberFormat="0" applyBorder="0" applyAlignment="0" applyProtection="0"/>
    <xf numFmtId="0" fontId="0" fillId="0" borderId="0">
      <alignment vertical="center"/>
    </xf>
    <xf numFmtId="0" fontId="37" fillId="5" borderId="52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81" fillId="0" borderId="0"/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187" fontId="82" fillId="29" borderId="0"/>
    <xf numFmtId="0" fontId="41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6" borderId="0" applyNumberFormat="0" applyBorder="0" applyAlignment="0" applyProtection="0"/>
    <xf numFmtId="38" fontId="0" fillId="0" borderId="0" applyFont="0" applyFill="0" applyBorder="0" applyAlignment="0" applyProtection="0"/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/>
    <xf numFmtId="0" fontId="64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5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45" fillId="15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6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7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9" fillId="24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/>
    <xf numFmtId="41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83" fillId="0" borderId="2" applyNumberFormat="0" applyFill="0" applyProtection="0">
      <alignment horizontal="center"/>
    </xf>
    <xf numFmtId="0" fontId="38" fillId="6" borderId="54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68" fillId="30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0"/>
    <xf numFmtId="0" fontId="5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56" fillId="26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35" fillId="4" borderId="52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0" fillId="0" borderId="0"/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0" borderId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38" fillId="6" borderId="54" applyNumberFormat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0" fillId="0" borderId="0"/>
    <xf numFmtId="0" fontId="47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6" fillId="6" borderId="0" applyNumberFormat="0" applyBorder="0" applyAlignment="0" applyProtection="0"/>
    <xf numFmtId="0" fontId="56" fillId="5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4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84" fillId="0" borderId="56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5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0" fillId="0" borderId="0"/>
    <xf numFmtId="0" fontId="44" fillId="15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81" fillId="0" borderId="0">
      <protection locked="0"/>
    </xf>
    <xf numFmtId="0" fontId="50" fillId="3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3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56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38" fillId="6" borderId="54" applyNumberForma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86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51" fillId="7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4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5" fillId="28" borderId="5">
      <protection locked="0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41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35" fillId="4" borderId="52" applyNumberFormat="0" applyAlignment="0" applyProtection="0">
      <alignment vertical="center"/>
    </xf>
    <xf numFmtId="0" fontId="81" fillId="0" borderId="0"/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87" fillId="0" borderId="0"/>
    <xf numFmtId="43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56" fillId="24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5" fillId="0" borderId="0"/>
    <xf numFmtId="179" fontId="18" fillId="0" borderId="15">
      <alignment vertical="center"/>
      <protection locked="0"/>
    </xf>
    <xf numFmtId="0" fontId="33" fillId="0" borderId="50" applyNumberFormat="0" applyFill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1" fontId="18" fillId="0" borderId="15">
      <alignment vertical="center"/>
      <protection locked="0"/>
    </xf>
    <xf numFmtId="0" fontId="56" fillId="12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0" fillId="7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53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4" borderId="0" applyNumberFormat="0" applyBorder="0" applyAlignment="0" applyProtection="0"/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8" fillId="0" borderId="1">
      <alignment horizont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81" fillId="0" borderId="0"/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70" fillId="0" borderId="0"/>
    <xf numFmtId="41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7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89" fillId="0" borderId="0"/>
    <xf numFmtId="0" fontId="44" fillId="17" borderId="0" applyNumberFormat="0" applyBorder="0" applyAlignment="0" applyProtection="0">
      <alignment vertical="center"/>
    </xf>
    <xf numFmtId="190" fontId="2" fillId="0" borderId="2" applyFill="0" applyProtection="0">
      <alignment horizontal="right"/>
    </xf>
    <xf numFmtId="0" fontId="50" fillId="3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70" fillId="0" borderId="0"/>
    <xf numFmtId="0" fontId="56" fillId="25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0" fillId="0" borderId="0">
      <protection locked="0"/>
    </xf>
    <xf numFmtId="0" fontId="45" fillId="19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179" fontId="18" fillId="0" borderId="15">
      <alignment vertical="center"/>
      <protection locked="0"/>
    </xf>
    <xf numFmtId="43" fontId="0" fillId="0" borderId="0" applyFont="0" applyFill="0" applyBorder="0" applyAlignment="0" applyProtection="0"/>
    <xf numFmtId="0" fontId="51" fillId="21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90" fillId="5" borderId="53" applyNumberFormat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57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81" fillId="0" borderId="0"/>
    <xf numFmtId="0" fontId="49" fillId="8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81" fillId="0" borderId="0"/>
    <xf numFmtId="0" fontId="4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0" fillId="0" borderId="0" applyProtection="0"/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4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2" fontId="91" fillId="0" borderId="0" applyProtection="0"/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6" fillId="26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5" fillId="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191" fontId="55" fillId="0" borderId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19" borderId="0" applyNumberFormat="0" applyBorder="0" applyAlignment="0" applyProtection="0">
      <alignment vertical="center"/>
    </xf>
    <xf numFmtId="0" fontId="92" fillId="0" borderId="50" applyNumberFormat="0" applyFill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192" fontId="0" fillId="0" borderId="0" applyFont="0" applyFill="0" applyBorder="0" applyAlignment="0" applyProtection="0"/>
    <xf numFmtId="0" fontId="45" fillId="21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44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4" fillId="13" borderId="0" applyNumberFormat="0" applyBorder="0" applyAlignment="0" applyProtection="0">
      <alignment vertical="center"/>
    </xf>
    <xf numFmtId="0" fontId="0" fillId="0" borderId="0"/>
    <xf numFmtId="0" fontId="39" fillId="0" borderId="55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0" fontId="49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68" fillId="3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51" fillId="7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93" fillId="6" borderId="54" applyNumberFormat="0" applyAlignment="0" applyProtection="0">
      <alignment vertical="center"/>
    </xf>
    <xf numFmtId="0" fontId="56" fillId="4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2" borderId="0" applyNumberFormat="0" applyFont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94" fontId="55" fillId="0" borderId="0"/>
    <xf numFmtId="0" fontId="5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41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0" fillId="0" borderId="0"/>
    <xf numFmtId="0" fontId="0" fillId="0" borderId="0"/>
    <xf numFmtId="0" fontId="91" fillId="0" borderId="0" applyProtection="0"/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195" fontId="94" fillId="0" borderId="0"/>
    <xf numFmtId="0" fontId="0" fillId="3" borderId="48" applyNumberFormat="0" applyFont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6" fillId="6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7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63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38" fillId="6" borderId="5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0" fillId="7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83" fillId="0" borderId="2" applyNumberFormat="0" applyFill="0" applyProtection="0">
      <alignment horizontal="left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6" fontId="0" fillId="0" borderId="0" applyFont="0" applyFill="0" applyProtection="0"/>
    <xf numFmtId="0" fontId="35" fillId="4" borderId="52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7" fillId="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1" fontId="18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56" fillId="12" borderId="0" applyNumberFormat="0" applyBorder="0" applyAlignment="0" applyProtection="0"/>
    <xf numFmtId="0" fontId="50" fillId="5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35" fillId="4" borderId="52" applyNumberFormat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56" fillId="4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81" fillId="0" borderId="0"/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81" fillId="0" borderId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56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4" fillId="24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0" fontId="58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197" fontId="0" fillId="0" borderId="0" applyFont="0" applyFill="0" applyBorder="0" applyAlignment="0" applyProtection="0"/>
    <xf numFmtId="0" fontId="49" fillId="8" borderId="0" applyNumberFormat="0" applyBorder="0" applyAlignment="0" applyProtection="0"/>
    <xf numFmtId="0" fontId="81" fillId="0" borderId="0"/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198" fontId="73" fillId="0" borderId="0" applyFill="0" applyBorder="0" applyAlignment="0"/>
    <xf numFmtId="0" fontId="42" fillId="19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24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96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56" fillId="4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97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24" borderId="0" applyNumberFormat="0" applyBorder="0" applyAlignment="0" applyProtection="0">
      <alignment vertical="center"/>
    </xf>
    <xf numFmtId="199" fontId="2" fillId="0" borderId="0"/>
    <xf numFmtId="37" fontId="98" fillId="0" borderId="0"/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87" fontId="97" fillId="33" borderId="0"/>
    <xf numFmtId="0" fontId="44" fillId="1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9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4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0" borderId="0">
      <alignment vertical="center"/>
    </xf>
    <xf numFmtId="0" fontId="56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0" fillId="0" borderId="0"/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/>
    <xf numFmtId="0" fontId="0" fillId="0" borderId="0"/>
    <xf numFmtId="0" fontId="45" fillId="1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38" fillId="6" borderId="54" applyNumberForma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2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" fillId="0" borderId="0"/>
    <xf numFmtId="0" fontId="56" fillId="26" borderId="0" applyNumberFormat="0" applyBorder="0" applyAlignment="0" applyProtection="0"/>
    <xf numFmtId="0" fontId="51" fillId="7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201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5" fillId="4" borderId="5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6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5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0" fillId="0" borderId="0"/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1" fillId="0" borderId="58" applyProtection="0"/>
    <xf numFmtId="0" fontId="44" fillId="15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81" fillId="0" borderId="0"/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99" fillId="0" borderId="0"/>
    <xf numFmtId="0" fontId="33" fillId="0" borderId="50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10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3" fillId="0" borderId="50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0" fillId="0" borderId="0"/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58" fillId="17" borderId="0" applyNumberFormat="0" applyBorder="0" applyAlignment="0" applyProtection="0">
      <alignment vertical="center"/>
    </xf>
    <xf numFmtId="0" fontId="0" fillId="0" borderId="0"/>
    <xf numFmtId="0" fontId="59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195" fontId="0" fillId="0" borderId="2" xfId="2420" applyNumberFormat="1" applyFont="1" applyFill="1" applyBorder="1" applyAlignment="1">
      <alignment horizontal="center" vertical="center"/>
    </xf>
    <xf numFmtId="195" fontId="0" fillId="0" borderId="3" xfId="242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02" fontId="0" fillId="0" borderId="5" xfId="0" applyNumberFormat="1" applyFont="1" applyFill="1" applyBorder="1" applyAlignment="1">
      <alignment horizontal="right" vertical="center"/>
    </xf>
    <xf numFmtId="203" fontId="0" fillId="0" borderId="6" xfId="242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3" fontId="0" fillId="0" borderId="0" xfId="2420" applyNumberFormat="1" applyFont="1" applyFill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/>
    </xf>
    <xf numFmtId="0" fontId="0" fillId="0" borderId="4" xfId="0" applyNumberFormat="1" applyBorder="1"/>
    <xf numFmtId="0" fontId="0" fillId="0" borderId="0" xfId="0" applyNumberFormat="1" applyBorder="1"/>
    <xf numFmtId="202" fontId="0" fillId="0" borderId="4" xfId="0" applyNumberFormat="1" applyFont="1" applyFill="1" applyBorder="1" applyAlignment="1">
      <alignment horizontal="right" vertical="center"/>
    </xf>
    <xf numFmtId="202" fontId="0" fillId="0" borderId="0" xfId="0" applyNumberFormat="1" applyFont="1" applyFill="1" applyBorder="1" applyAlignment="1">
      <alignment horizontal="right" vertical="center"/>
    </xf>
    <xf numFmtId="203" fontId="0" fillId="0" borderId="5" xfId="0" applyNumberFormat="1" applyBorder="1"/>
    <xf numFmtId="203" fontId="0" fillId="0" borderId="0" xfId="0" applyNumberFormat="1" applyBorder="1"/>
    <xf numFmtId="0" fontId="5" fillId="0" borderId="2" xfId="0" applyNumberFormat="1" applyFont="1" applyBorder="1" applyAlignment="1">
      <alignment horizontal="center"/>
    </xf>
    <xf numFmtId="203" fontId="0" fillId="0" borderId="7" xfId="0" applyNumberFormat="1" applyBorder="1"/>
    <xf numFmtId="203" fontId="0" fillId="0" borderId="3" xfId="0" applyNumberFormat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204" fontId="0" fillId="0" borderId="5" xfId="0" applyNumberFormat="1" applyFont="1" applyBorder="1" applyAlignment="1">
      <alignment horizontal="right" vertical="center"/>
    </xf>
    <xf numFmtId="205" fontId="0" fillId="0" borderId="5" xfId="0" applyNumberFormat="1" applyFont="1" applyBorder="1" applyAlignment="1">
      <alignment horizontal="right" vertical="center"/>
    </xf>
    <xf numFmtId="203" fontId="0" fillId="0" borderId="6" xfId="0" applyNumberFormat="1" applyFont="1" applyBorder="1" applyAlignment="1">
      <alignment horizontal="right" vertical="center"/>
    </xf>
    <xf numFmtId="203" fontId="0" fillId="0" borderId="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203" fontId="0" fillId="0" borderId="0" xfId="0" applyNumberFormat="1" applyFont="1" applyFill="1" applyBorder="1" applyAlignment="1">
      <alignment horizontal="right" vertical="center"/>
    </xf>
    <xf numFmtId="205" fontId="0" fillId="0" borderId="4" xfId="0" applyNumberFormat="1" applyFont="1" applyBorder="1" applyAlignment="1">
      <alignment horizontal="right" vertical="center"/>
    </xf>
    <xf numFmtId="203" fontId="0" fillId="0" borderId="0" xfId="0" applyNumberFormat="1" applyBorder="1" applyAlignment="1">
      <alignment horizontal="right"/>
    </xf>
    <xf numFmtId="205" fontId="0" fillId="0" borderId="4" xfId="0" applyNumberFormat="1" applyBorder="1"/>
    <xf numFmtId="203" fontId="0" fillId="0" borderId="0" xfId="2109" applyNumberFormat="1" applyFont="1" applyFill="1" applyBorder="1" applyAlignment="1">
      <alignment horizontal="right" vertical="center"/>
    </xf>
    <xf numFmtId="205" fontId="0" fillId="0" borderId="7" xfId="0" applyNumberFormat="1" applyFont="1" applyBorder="1" applyAlignment="1">
      <alignment horizontal="right" vertical="center"/>
    </xf>
    <xf numFmtId="203" fontId="0" fillId="0" borderId="3" xfId="2109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204" fontId="0" fillId="0" borderId="4" xfId="0" applyNumberFormat="1" applyFont="1" applyBorder="1" applyAlignment="1">
      <alignment horizontal="right" vertical="center"/>
    </xf>
    <xf numFmtId="0" fontId="0" fillId="0" borderId="5" xfId="0" applyNumberFormat="1" applyBorder="1"/>
    <xf numFmtId="0" fontId="0" fillId="0" borderId="7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Alignment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202" fontId="0" fillId="0" borderId="6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203" fontId="0" fillId="0" borderId="0" xfId="0" applyNumberFormat="1" applyBorder="1" applyAlignment="1">
      <alignment vertical="center"/>
    </xf>
    <xf numFmtId="204" fontId="0" fillId="0" borderId="2" xfId="0" applyNumberFormat="1" applyFont="1" applyBorder="1" applyAlignment="1">
      <alignment horizontal="right" vertical="center"/>
    </xf>
    <xf numFmtId="203" fontId="0" fillId="0" borderId="3" xfId="0" applyNumberFormat="1" applyBorder="1" applyAlignment="1">
      <alignment vertical="center"/>
    </xf>
    <xf numFmtId="204" fontId="0" fillId="0" borderId="5" xfId="2988" applyNumberFormat="1" applyFont="1" applyBorder="1" applyAlignment="1">
      <alignment horizontal="right" vertical="center"/>
    </xf>
    <xf numFmtId="204" fontId="0" fillId="0" borderId="5" xfId="2988" applyNumberFormat="1" applyFont="1" applyBorder="1" applyAlignment="1">
      <alignment horizontal="right" vertical="center" wrapText="1"/>
    </xf>
    <xf numFmtId="203" fontId="0" fillId="0" borderId="6" xfId="2420" applyNumberFormat="1" applyFont="1" applyFill="1" applyBorder="1" applyAlignment="1">
      <alignment horizontal="right" vertical="center" wrapText="1"/>
    </xf>
    <xf numFmtId="206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5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203" fontId="0" fillId="0" borderId="6" xfId="0" applyNumberFormat="1" applyBorder="1" applyAlignment="1">
      <alignment wrapText="1"/>
    </xf>
    <xf numFmtId="0" fontId="5" fillId="0" borderId="6" xfId="0" applyNumberFormat="1" applyFont="1" applyBorder="1" applyAlignment="1">
      <alignment horizontal="center" vertical="center"/>
    </xf>
    <xf numFmtId="207" fontId="0" fillId="0" borderId="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203" fontId="0" fillId="0" borderId="0" xfId="0" applyNumberFormat="1" applyBorder="1" applyAlignment="1">
      <alignment wrapText="1"/>
    </xf>
    <xf numFmtId="207" fontId="0" fillId="0" borderId="4" xfId="0" applyNumberFormat="1" applyBorder="1"/>
    <xf numFmtId="207" fontId="0" fillId="0" borderId="11" xfId="0" applyNumberFormat="1" applyBorder="1"/>
    <xf numFmtId="203" fontId="0" fillId="0" borderId="12" xfId="0" applyNumberFormat="1" applyBorder="1"/>
    <xf numFmtId="204" fontId="0" fillId="0" borderId="5" xfId="0" applyNumberFormat="1" applyFont="1" applyFill="1" applyBorder="1" applyAlignment="1">
      <alignment horizontal="right" vertical="center"/>
    </xf>
    <xf numFmtId="202" fontId="0" fillId="0" borderId="6" xfId="0" applyNumberFormat="1" applyFont="1" applyFill="1" applyBorder="1" applyAlignment="1">
      <alignment horizontal="right" vertical="center"/>
    </xf>
    <xf numFmtId="0" fontId="0" fillId="0" borderId="4" xfId="0" applyBorder="1"/>
    <xf numFmtId="0" fontId="0" fillId="0" borderId="6" xfId="0" applyBorder="1"/>
    <xf numFmtId="0" fontId="5" fillId="0" borderId="0" xfId="0" applyNumberFormat="1" applyFont="1" applyBorder="1" applyAlignment="1">
      <alignment horizontal="center" vertical="center"/>
    </xf>
    <xf numFmtId="0" fontId="0" fillId="2" borderId="7" xfId="0" applyFont="1" applyFill="1" applyBorder="1" applyAlignment="1">
      <alignment horizontal="right" vertical="center"/>
    </xf>
    <xf numFmtId="203" fontId="0" fillId="2" borderId="13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Font="1" applyBorder="1" applyAlignment="1">
      <alignment horizontal="right" vertical="center"/>
    </xf>
    <xf numFmtId="203" fontId="0" fillId="0" borderId="6" xfId="0" applyNumberFormat="1" applyBorder="1"/>
    <xf numFmtId="203" fontId="0" fillId="0" borderId="6" xfId="0" applyNumberFormat="1" applyFill="1" applyBorder="1"/>
    <xf numFmtId="0" fontId="5" fillId="0" borderId="0" xfId="0" applyFont="1" applyBorder="1" applyAlignment="1">
      <alignment horizontal="center"/>
    </xf>
    <xf numFmtId="203" fontId="0" fillId="0" borderId="0" xfId="0" applyNumberFormat="1"/>
    <xf numFmtId="0" fontId="5" fillId="0" borderId="0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0" fillId="0" borderId="0" xfId="2602" applyFont="1" applyFill="1">
      <alignment vertical="center"/>
    </xf>
    <xf numFmtId="0" fontId="0" fillId="0" borderId="0" xfId="2602" applyFill="1" applyAlignment="1">
      <alignment horizontal="center" vertical="center"/>
    </xf>
    <xf numFmtId="0" fontId="0" fillId="0" borderId="0" xfId="2602" applyFill="1">
      <alignment vertical="center"/>
    </xf>
    <xf numFmtId="0" fontId="3" fillId="0" borderId="0" xfId="2602" applyFont="1" applyFill="1" applyBorder="1" applyAlignment="1">
      <alignment horizontal="center" vertical="center"/>
    </xf>
    <xf numFmtId="0" fontId="5" fillId="0" borderId="14" xfId="2602" applyFont="1" applyFill="1" applyBorder="1" applyAlignment="1">
      <alignment horizontal="center" vertical="center"/>
    </xf>
    <xf numFmtId="0" fontId="0" fillId="0" borderId="15" xfId="2602" applyFont="1" applyFill="1" applyBorder="1" applyAlignment="1">
      <alignment horizontal="center" vertical="center" wrapText="1"/>
    </xf>
    <xf numFmtId="0" fontId="0" fillId="0" borderId="16" xfId="2602" applyFont="1" applyFill="1" applyBorder="1" applyAlignment="1">
      <alignment horizontal="center" vertical="center" wrapText="1"/>
    </xf>
    <xf numFmtId="0" fontId="0" fillId="0" borderId="17" xfId="2602" applyFont="1" applyFill="1" applyBorder="1" applyAlignment="1">
      <alignment horizontal="center" vertical="center" wrapText="1"/>
    </xf>
    <xf numFmtId="0" fontId="0" fillId="0" borderId="0" xfId="2602" applyFont="1" applyFill="1" applyAlignment="1">
      <alignment horizontal="center" vertical="center"/>
    </xf>
    <xf numFmtId="0" fontId="0" fillId="0" borderId="18" xfId="2602" applyFont="1" applyFill="1" applyBorder="1" applyAlignment="1" applyProtection="1">
      <alignment horizontal="center" vertical="center"/>
    </xf>
    <xf numFmtId="207" fontId="0" fillId="0" borderId="6" xfId="2602" applyNumberFormat="1" applyFont="1" applyFill="1" applyBorder="1" applyAlignment="1" applyProtection="1">
      <alignment horizontal="right" vertical="center"/>
    </xf>
    <xf numFmtId="204" fontId="0" fillId="0" borderId="19" xfId="2420" applyNumberFormat="1" applyFont="1" applyFill="1" applyBorder="1" applyAlignment="1">
      <alignment horizontal="right" vertical="center"/>
    </xf>
    <xf numFmtId="204" fontId="0" fillId="0" borderId="0" xfId="2420" applyNumberFormat="1" applyFont="1" applyFill="1" applyBorder="1" applyAlignment="1">
      <alignment horizontal="right" vertical="center"/>
    </xf>
    <xf numFmtId="208" fontId="0" fillId="0" borderId="20" xfId="2420" applyNumberFormat="1" applyFont="1" applyFill="1" applyBorder="1" applyAlignment="1">
      <alignment horizontal="right" vertical="center"/>
    </xf>
    <xf numFmtId="203" fontId="0" fillId="0" borderId="6" xfId="2602" applyNumberFormat="1" applyFont="1" applyFill="1" applyBorder="1" applyAlignment="1" applyProtection="1">
      <alignment horizontal="right" vertical="center"/>
    </xf>
    <xf numFmtId="207" fontId="0" fillId="0" borderId="21" xfId="2602" applyNumberFormat="1" applyFont="1" applyFill="1" applyBorder="1" applyAlignment="1" applyProtection="1">
      <alignment horizontal="right" vertical="center"/>
    </xf>
    <xf numFmtId="0" fontId="0" fillId="0" borderId="22" xfId="2602" applyFont="1" applyFill="1" applyBorder="1" applyAlignment="1" applyProtection="1">
      <alignment horizontal="center" vertical="center"/>
    </xf>
    <xf numFmtId="208" fontId="0" fillId="0" borderId="23" xfId="2420" applyNumberFormat="1" applyFont="1" applyFill="1" applyBorder="1" applyAlignment="1">
      <alignment horizontal="right" vertical="center"/>
    </xf>
    <xf numFmtId="203" fontId="0" fillId="0" borderId="10" xfId="2420" applyNumberFormat="1" applyFont="1" applyFill="1" applyBorder="1" applyAlignment="1">
      <alignment horizontal="right" vertical="center"/>
    </xf>
    <xf numFmtId="207" fontId="0" fillId="0" borderId="24" xfId="2602" applyNumberFormat="1" applyFont="1" applyFill="1" applyBorder="1" applyAlignment="1" applyProtection="1">
      <alignment horizontal="right" vertical="center"/>
    </xf>
    <xf numFmtId="203" fontId="0" fillId="0" borderId="10" xfId="2602" applyNumberFormat="1" applyFont="1" applyFill="1" applyBorder="1" applyAlignment="1" applyProtection="1">
      <alignment horizontal="right" vertical="center"/>
    </xf>
    <xf numFmtId="207" fontId="0" fillId="0" borderId="10" xfId="2602" applyNumberFormat="1" applyFont="1" applyFill="1" applyBorder="1" applyAlignment="1" applyProtection="1">
      <alignment horizontal="right" vertical="center"/>
    </xf>
    <xf numFmtId="0" fontId="0" fillId="0" borderId="0" xfId="2602" applyFill="1" applyBorder="1">
      <alignment vertical="center"/>
    </xf>
    <xf numFmtId="0" fontId="0" fillId="0" borderId="0" xfId="2602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/>
    <xf numFmtId="205" fontId="0" fillId="0" borderId="0" xfId="2602" applyNumberFormat="1" applyFill="1" applyAlignment="1">
      <alignment horizontal="center" vertical="center"/>
    </xf>
    <xf numFmtId="0" fontId="12" fillId="0" borderId="0" xfId="2602" applyFont="1" applyBorder="1" applyAlignment="1">
      <alignment horizontal="right" vertical="center" wrapText="1"/>
    </xf>
    <xf numFmtId="0" fontId="0" fillId="0" borderId="0" xfId="2468">
      <alignment vertical="center"/>
    </xf>
    <xf numFmtId="203" fontId="0" fillId="0" borderId="0" xfId="2602" applyNumberFormat="1" applyFill="1" applyAlignment="1">
      <alignment horizontal="center" vertical="center"/>
    </xf>
    <xf numFmtId="203" fontId="13" fillId="0" borderId="0" xfId="2420" applyNumberFormat="1" applyFont="1" applyFill="1" applyBorder="1" applyAlignment="1">
      <alignment horizontal="right" vertical="center"/>
    </xf>
    <xf numFmtId="203" fontId="0" fillId="0" borderId="0" xfId="2602" applyNumberFormat="1" applyFill="1">
      <alignment vertical="center"/>
    </xf>
    <xf numFmtId="0" fontId="12" fillId="0" borderId="0" xfId="2602" applyFont="1" applyAlignment="1">
      <alignment horizontal="right" vertical="center" wrapText="1"/>
    </xf>
    <xf numFmtId="0" fontId="0" fillId="0" borderId="0" xfId="0" applyFill="1"/>
    <xf numFmtId="0" fontId="0" fillId="0" borderId="0" xfId="641" applyFont="1" applyFill="1">
      <alignment vertical="center"/>
    </xf>
    <xf numFmtId="0" fontId="0" fillId="0" borderId="0" xfId="0" applyFont="1" applyFill="1"/>
    <xf numFmtId="0" fontId="14" fillId="0" borderId="0" xfId="0" applyFont="1" applyFill="1" applyAlignment="1">
      <alignment horizontal="center" vertical="center"/>
    </xf>
    <xf numFmtId="0" fontId="15" fillId="0" borderId="25" xfId="2988" applyFont="1" applyFill="1" applyBorder="1" applyAlignment="1">
      <alignment horizontal="center" vertical="center" wrapText="1"/>
    </xf>
    <xf numFmtId="0" fontId="15" fillId="0" borderId="26" xfId="1547" applyFont="1" applyFill="1" applyBorder="1" applyAlignment="1">
      <alignment horizontal="center" vertical="center"/>
    </xf>
    <xf numFmtId="0" fontId="15" fillId="0" borderId="27" xfId="1547" applyFont="1" applyFill="1" applyBorder="1" applyAlignment="1">
      <alignment horizontal="center" vertical="center"/>
    </xf>
    <xf numFmtId="0" fontId="16" fillId="0" borderId="28" xfId="2988" applyFont="1" applyFill="1" applyBorder="1" applyAlignment="1">
      <alignment horizontal="center" vertical="center" wrapText="1"/>
    </xf>
    <xf numFmtId="0" fontId="15" fillId="0" borderId="15" xfId="2988" applyFont="1" applyFill="1" applyBorder="1" applyAlignment="1">
      <alignment horizontal="center" vertical="center" wrapText="1"/>
    </xf>
    <xf numFmtId="0" fontId="15" fillId="0" borderId="17" xfId="2988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vertical="center" wrapText="1"/>
    </xf>
    <xf numFmtId="205" fontId="4" fillId="0" borderId="5" xfId="2602" applyNumberFormat="1" applyFont="1" applyFill="1" applyBorder="1" applyAlignment="1" applyProtection="1">
      <alignment horizontal="center" vertical="center" wrapText="1"/>
    </xf>
    <xf numFmtId="203" fontId="4" fillId="0" borderId="6" xfId="2602" applyNumberFormat="1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>
      <alignment vertical="center" wrapText="1"/>
    </xf>
    <xf numFmtId="205" fontId="18" fillId="0" borderId="5" xfId="2602" applyNumberFormat="1" applyFont="1" applyFill="1" applyBorder="1" applyAlignment="1" applyProtection="1">
      <alignment horizontal="right" vertical="center" wrapText="1"/>
    </xf>
    <xf numFmtId="203" fontId="18" fillId="0" borderId="6" xfId="2602" applyNumberFormat="1" applyFont="1" applyFill="1" applyBorder="1" applyAlignment="1" applyProtection="1">
      <alignment horizontal="right" vertical="center" wrapText="1"/>
    </xf>
    <xf numFmtId="205" fontId="17" fillId="0" borderId="4" xfId="0" applyNumberFormat="1" applyFont="1" applyFill="1" applyBorder="1" applyAlignment="1">
      <alignment vertical="center" wrapText="1"/>
    </xf>
    <xf numFmtId="205" fontId="16" fillId="0" borderId="4" xfId="0" applyNumberFormat="1" applyFont="1" applyFill="1" applyBorder="1" applyAlignment="1">
      <alignment vertical="center" wrapText="1"/>
    </xf>
    <xf numFmtId="205" fontId="18" fillId="0" borderId="5" xfId="2420" applyNumberFormat="1" applyFont="1" applyFill="1" applyBorder="1" applyAlignment="1">
      <alignment horizontal="right" vertical="center" wrapText="1"/>
    </xf>
    <xf numFmtId="203" fontId="18" fillId="0" borderId="6" xfId="2420" applyNumberFormat="1" applyFont="1" applyFill="1" applyBorder="1" applyAlignment="1">
      <alignment horizontal="right" vertical="center" wrapText="1"/>
    </xf>
    <xf numFmtId="205" fontId="17" fillId="0" borderId="8" xfId="0" applyNumberFormat="1" applyFont="1" applyFill="1" applyBorder="1" applyAlignment="1">
      <alignment vertical="center" wrapText="1"/>
    </xf>
    <xf numFmtId="205" fontId="18" fillId="0" borderId="9" xfId="2602" applyNumberFormat="1" applyFont="1" applyFill="1" applyBorder="1" applyAlignment="1" applyProtection="1">
      <alignment horizontal="right" vertical="center" wrapText="1"/>
    </xf>
    <xf numFmtId="203" fontId="18" fillId="0" borderId="10" xfId="2602" applyNumberFormat="1" applyFont="1" applyFill="1" applyBorder="1" applyAlignment="1" applyProtection="1">
      <alignment horizontal="right" vertical="center" wrapText="1"/>
    </xf>
    <xf numFmtId="0" fontId="0" fillId="0" borderId="0" xfId="641" applyFont="1" applyFill="1" applyAlignment="1">
      <alignment horizontal="left" vertical="center" wrapText="1"/>
    </xf>
    <xf numFmtId="203" fontId="18" fillId="0" borderId="6" xfId="2602" applyNumberFormat="1" applyFont="1" applyFill="1" applyBorder="1" applyAlignment="1" applyProtection="1">
      <alignment horizontal="center" vertical="center" wrapText="1"/>
    </xf>
    <xf numFmtId="205" fontId="18" fillId="0" borderId="5" xfId="2602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/>
    <xf numFmtId="0" fontId="0" fillId="0" borderId="0" xfId="641" applyFont="1" applyFill="1" applyBorder="1" applyAlignment="1">
      <alignment vertical="center"/>
    </xf>
    <xf numFmtId="205" fontId="4" fillId="0" borderId="19" xfId="0" applyNumberFormat="1" applyFont="1" applyFill="1" applyBorder="1" applyAlignment="1">
      <alignment horizontal="right" vertical="center" wrapText="1"/>
    </xf>
    <xf numFmtId="203" fontId="4" fillId="0" borderId="30" xfId="0" applyNumberFormat="1" applyFont="1" applyFill="1" applyBorder="1" applyAlignment="1">
      <alignment horizontal="right" vertical="center" wrapText="1"/>
    </xf>
    <xf numFmtId="205" fontId="18" fillId="0" borderId="5" xfId="0" applyNumberFormat="1" applyFont="1" applyFill="1" applyBorder="1" applyAlignment="1">
      <alignment horizontal="right" vertical="center" wrapText="1"/>
    </xf>
    <xf numFmtId="203" fontId="18" fillId="0" borderId="6" xfId="0" applyNumberFormat="1" applyFont="1" applyFill="1" applyBorder="1" applyAlignment="1">
      <alignment horizontal="right" vertical="center" wrapText="1"/>
    </xf>
    <xf numFmtId="203" fontId="18" fillId="0" borderId="6" xfId="641" applyNumberFormat="1" applyFont="1" applyFill="1" applyBorder="1" applyAlignment="1">
      <alignment horizontal="right" vertical="center" wrapText="1"/>
    </xf>
    <xf numFmtId="205" fontId="18" fillId="0" borderId="9" xfId="0" applyNumberFormat="1" applyFont="1" applyFill="1" applyBorder="1" applyAlignment="1">
      <alignment horizontal="right" vertical="center" wrapText="1"/>
    </xf>
    <xf numFmtId="203" fontId="18" fillId="0" borderId="10" xfId="641" applyNumberFormat="1" applyFont="1" applyFill="1" applyBorder="1" applyAlignment="1">
      <alignment horizontal="right" vertical="center" wrapText="1"/>
    </xf>
    <xf numFmtId="0" fontId="4" fillId="0" borderId="0" xfId="641" applyFont="1" applyFill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205" fontId="18" fillId="0" borderId="5" xfId="0" applyNumberFormat="1" applyFont="1" applyFill="1" applyBorder="1" applyAlignment="1">
      <alignment horizontal="center" vertical="center" wrapText="1"/>
    </xf>
    <xf numFmtId="203" fontId="18" fillId="0" borderId="6" xfId="0" applyNumberFormat="1" applyFont="1" applyFill="1" applyBorder="1" applyAlignment="1">
      <alignment horizontal="center" vertical="center" wrapText="1"/>
    </xf>
    <xf numFmtId="207" fontId="15" fillId="0" borderId="31" xfId="1547" applyNumberFormat="1" applyFont="1" applyFill="1" applyBorder="1" applyAlignment="1">
      <alignment horizontal="center" vertical="center" wrapText="1"/>
    </xf>
    <xf numFmtId="203" fontId="15" fillId="0" borderId="32" xfId="1547" applyNumberFormat="1" applyFont="1" applyFill="1" applyBorder="1" applyAlignment="1">
      <alignment horizontal="center" vertical="center" wrapText="1"/>
    </xf>
    <xf numFmtId="207" fontId="15" fillId="0" borderId="31" xfId="1547" applyNumberFormat="1" applyFont="1" applyFill="1" applyBorder="1" applyAlignment="1">
      <alignment horizontal="right" vertical="center" wrapText="1"/>
    </xf>
    <xf numFmtId="203" fontId="15" fillId="0" borderId="32" xfId="1547" applyNumberFormat="1" applyFont="1" applyFill="1" applyBorder="1" applyAlignment="1">
      <alignment horizontal="right" vertical="center" wrapText="1"/>
    </xf>
    <xf numFmtId="207" fontId="18" fillId="0" borderId="33" xfId="0" applyNumberFormat="1" applyFont="1" applyFill="1" applyBorder="1" applyAlignment="1">
      <alignment horizontal="center" vertical="center" wrapText="1"/>
    </xf>
    <xf numFmtId="203" fontId="18" fillId="0" borderId="34" xfId="0" applyNumberFormat="1" applyFont="1" applyFill="1" applyBorder="1" applyAlignment="1">
      <alignment horizontal="center" vertical="center" wrapText="1"/>
    </xf>
    <xf numFmtId="207" fontId="18" fillId="0" borderId="33" xfId="0" applyNumberFormat="1" applyFont="1" applyFill="1" applyBorder="1" applyAlignment="1">
      <alignment horizontal="right" vertical="center" wrapText="1"/>
    </xf>
    <xf numFmtId="203" fontId="18" fillId="0" borderId="34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>
      <alignment vertical="center" wrapText="1"/>
    </xf>
    <xf numFmtId="207" fontId="18" fillId="0" borderId="35" xfId="0" applyNumberFormat="1" applyFont="1" applyFill="1" applyBorder="1" applyAlignment="1">
      <alignment horizontal="center" vertical="center" wrapText="1"/>
    </xf>
    <xf numFmtId="203" fontId="18" fillId="0" borderId="36" xfId="0" applyNumberFormat="1" applyFont="1" applyFill="1" applyBorder="1" applyAlignment="1">
      <alignment horizontal="center" vertical="center" wrapText="1"/>
    </xf>
    <xf numFmtId="207" fontId="18" fillId="0" borderId="35" xfId="0" applyNumberFormat="1" applyFont="1" applyFill="1" applyBorder="1" applyAlignment="1">
      <alignment horizontal="right" vertical="center" wrapText="1"/>
    </xf>
    <xf numFmtId="203" fontId="18" fillId="0" borderId="36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justify" vertical="center"/>
    </xf>
    <xf numFmtId="0" fontId="19" fillId="0" borderId="28" xfId="2988" applyFont="1" applyFill="1" applyBorder="1" applyAlignment="1">
      <alignment horizontal="center" vertical="center" wrapText="1"/>
    </xf>
    <xf numFmtId="205" fontId="19" fillId="0" borderId="15" xfId="0" applyNumberFormat="1" applyFont="1" applyFill="1" applyBorder="1" applyAlignment="1">
      <alignment horizontal="center" vertical="center" wrapText="1"/>
    </xf>
    <xf numFmtId="205" fontId="20" fillId="0" borderId="17" xfId="0" applyNumberFormat="1" applyFont="1" applyFill="1" applyBorder="1" applyAlignment="1">
      <alignment horizontal="center" vertical="center" wrapText="1"/>
    </xf>
    <xf numFmtId="203" fontId="15" fillId="0" borderId="5" xfId="2602" applyNumberFormat="1" applyFont="1" applyFill="1" applyBorder="1" applyAlignment="1" applyProtection="1">
      <alignment horizontal="right" vertical="center" wrapText="1"/>
    </xf>
    <xf numFmtId="203" fontId="15" fillId="0" borderId="6" xfId="2602" applyNumberFormat="1" applyFont="1" applyFill="1" applyBorder="1" applyAlignment="1" applyProtection="1">
      <alignment horizontal="right" vertical="center" wrapText="1"/>
    </xf>
    <xf numFmtId="203" fontId="18" fillId="0" borderId="5" xfId="2602" applyNumberFormat="1" applyFont="1" applyFill="1" applyBorder="1" applyAlignment="1" applyProtection="1">
      <alignment horizontal="right" vertical="center" wrapText="1"/>
    </xf>
    <xf numFmtId="203" fontId="18" fillId="0" borderId="5" xfId="2420" applyNumberFormat="1" applyFont="1" applyFill="1" applyBorder="1" applyAlignment="1">
      <alignment horizontal="right" vertical="center" wrapText="1"/>
    </xf>
    <xf numFmtId="205" fontId="16" fillId="0" borderId="8" xfId="0" applyNumberFormat="1" applyFont="1" applyFill="1" applyBorder="1" applyAlignment="1">
      <alignment vertical="center" wrapText="1"/>
    </xf>
    <xf numFmtId="203" fontId="15" fillId="0" borderId="9" xfId="2602" applyNumberFormat="1" applyFont="1" applyFill="1" applyBorder="1" applyAlignment="1" applyProtection="1">
      <alignment horizontal="right" vertical="center" wrapText="1"/>
    </xf>
    <xf numFmtId="203" fontId="15" fillId="0" borderId="10" xfId="2602" applyNumberFormat="1" applyFont="1" applyFill="1" applyBorder="1" applyAlignment="1" applyProtection="1">
      <alignment horizontal="right" vertical="center" wrapText="1"/>
    </xf>
    <xf numFmtId="0" fontId="18" fillId="0" borderId="0" xfId="0" applyFont="1" applyFill="1" applyAlignment="1">
      <alignment horizontal="left" vertical="center" wrapText="1"/>
    </xf>
    <xf numFmtId="205" fontId="16" fillId="0" borderId="29" xfId="0" applyNumberFormat="1" applyFont="1" applyFill="1" applyBorder="1" applyAlignment="1">
      <alignment vertical="center" wrapText="1"/>
    </xf>
    <xf numFmtId="205" fontId="21" fillId="0" borderId="6" xfId="2602" applyNumberFormat="1" applyFont="1" applyFill="1" applyBorder="1" applyAlignment="1" applyProtection="1">
      <alignment horizontal="right" vertical="center" wrapText="1"/>
    </xf>
    <xf numFmtId="0" fontId="21" fillId="0" borderId="6" xfId="2602" applyNumberFormat="1" applyFont="1" applyFill="1" applyBorder="1" applyAlignment="1" applyProtection="1">
      <alignment horizontal="right" vertical="center" wrapText="1"/>
    </xf>
    <xf numFmtId="203" fontId="21" fillId="0" borderId="6" xfId="2602" applyNumberFormat="1" applyFont="1" applyFill="1" applyBorder="1" applyAlignment="1" applyProtection="1">
      <alignment horizontal="right" vertical="center" wrapText="1"/>
    </xf>
    <xf numFmtId="205" fontId="4" fillId="0" borderId="6" xfId="2602" applyNumberFormat="1" applyFont="1" applyFill="1" applyBorder="1" applyAlignment="1" applyProtection="1">
      <alignment horizontal="right" vertical="center" wrapText="1"/>
    </xf>
    <xf numFmtId="0" fontId="4" fillId="0" borderId="6" xfId="2602" applyNumberFormat="1" applyFont="1" applyFill="1" applyBorder="1" applyAlignment="1" applyProtection="1">
      <alignment horizontal="right" vertical="center" wrapText="1"/>
    </xf>
    <xf numFmtId="203" fontId="4" fillId="0" borderId="6" xfId="2602" applyNumberFormat="1" applyFont="1" applyFill="1" applyBorder="1" applyAlignment="1" applyProtection="1">
      <alignment horizontal="right" vertical="center" wrapText="1"/>
    </xf>
    <xf numFmtId="205" fontId="4" fillId="0" borderId="6" xfId="2602" applyNumberFormat="1" applyFont="1" applyFill="1" applyBorder="1" applyAlignment="1" applyProtection="1">
      <alignment horizontal="center" vertical="center" wrapText="1"/>
    </xf>
    <xf numFmtId="0" fontId="17" fillId="0" borderId="4" xfId="641" applyFont="1" applyFill="1" applyBorder="1" applyAlignment="1">
      <alignment vertical="center"/>
    </xf>
    <xf numFmtId="0" fontId="16" fillId="0" borderId="4" xfId="641" applyFont="1" applyFill="1" applyBorder="1" applyAlignment="1">
      <alignment vertical="center"/>
    </xf>
    <xf numFmtId="205" fontId="21" fillId="0" borderId="5" xfId="2602" applyNumberFormat="1" applyFont="1" applyFill="1" applyBorder="1" applyAlignment="1" applyProtection="1">
      <alignment horizontal="right" vertical="center" wrapText="1"/>
    </xf>
    <xf numFmtId="207" fontId="4" fillId="0" borderId="6" xfId="2602" applyNumberFormat="1" applyFont="1" applyFill="1" applyBorder="1" applyAlignment="1" applyProtection="1">
      <alignment horizontal="right" vertical="center" wrapText="1"/>
    </xf>
    <xf numFmtId="0" fontId="17" fillId="0" borderId="8" xfId="641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horizontal="right" vertical="center" wrapText="1"/>
    </xf>
    <xf numFmtId="203" fontId="4" fillId="0" borderId="10" xfId="641" applyNumberFormat="1" applyFont="1" applyFill="1" applyBorder="1" applyAlignment="1">
      <alignment horizontal="right" vertical="center" wrapText="1"/>
    </xf>
    <xf numFmtId="205" fontId="15" fillId="0" borderId="5" xfId="2602" applyNumberFormat="1" applyFont="1" applyFill="1" applyBorder="1" applyAlignment="1" applyProtection="1">
      <alignment horizontal="right" vertical="center" wrapText="1"/>
    </xf>
    <xf numFmtId="0" fontId="9" fillId="0" borderId="0" xfId="0" applyFont="1" applyFill="1"/>
    <xf numFmtId="205" fontId="22" fillId="0" borderId="29" xfId="0" applyNumberFormat="1" applyFont="1" applyFill="1" applyBorder="1" applyAlignment="1">
      <alignment vertical="center" wrapText="1"/>
    </xf>
    <xf numFmtId="205" fontId="21" fillId="0" borderId="19" xfId="0" applyNumberFormat="1" applyFont="1" applyFill="1" applyBorder="1" applyAlignment="1">
      <alignment vertical="center" wrapText="1"/>
    </xf>
    <xf numFmtId="203" fontId="21" fillId="0" borderId="30" xfId="0" applyNumberFormat="1" applyFont="1" applyFill="1" applyBorder="1" applyAlignment="1">
      <alignment vertical="center" wrapText="1"/>
    </xf>
    <xf numFmtId="205" fontId="22" fillId="0" borderId="4" xfId="0" applyNumberFormat="1" applyFont="1" applyFill="1" applyBorder="1" applyAlignment="1">
      <alignment vertical="center" wrapText="1"/>
    </xf>
    <xf numFmtId="205" fontId="21" fillId="0" borderId="5" xfId="0" applyNumberFormat="1" applyFont="1" applyFill="1" applyBorder="1" applyAlignment="1">
      <alignment vertical="center" wrapText="1"/>
    </xf>
    <xf numFmtId="205" fontId="21" fillId="0" borderId="6" xfId="0" applyNumberFormat="1" applyFont="1" applyFill="1" applyBorder="1" applyAlignment="1">
      <alignment vertical="center" wrapText="1"/>
    </xf>
    <xf numFmtId="205" fontId="23" fillId="0" borderId="4" xfId="0" applyNumberFormat="1" applyFont="1" applyFill="1" applyBorder="1" applyAlignment="1">
      <alignment vertical="center" wrapText="1"/>
    </xf>
    <xf numFmtId="205" fontId="4" fillId="0" borderId="5" xfId="0" applyNumberFormat="1" applyFont="1" applyFill="1" applyBorder="1" applyAlignment="1">
      <alignment vertical="center" wrapText="1"/>
    </xf>
    <xf numFmtId="203" fontId="4" fillId="0" borderId="6" xfId="0" applyNumberFormat="1" applyFont="1" applyFill="1" applyBorder="1" applyAlignment="1">
      <alignment vertical="center" wrapText="1"/>
    </xf>
    <xf numFmtId="205" fontId="4" fillId="0" borderId="6" xfId="0" applyNumberFormat="1" applyFont="1" applyFill="1" applyBorder="1" applyAlignment="1">
      <alignment horizontal="center" vertical="center" wrapText="1"/>
    </xf>
    <xf numFmtId="205" fontId="23" fillId="0" borderId="5" xfId="0" applyNumberFormat="1" applyFont="1" applyFill="1" applyBorder="1" applyAlignment="1">
      <alignment horizontal="right" vertical="center" wrapText="1"/>
    </xf>
    <xf numFmtId="203" fontId="21" fillId="0" borderId="6" xfId="0" applyNumberFormat="1" applyFont="1" applyFill="1" applyBorder="1" applyAlignment="1">
      <alignment vertical="center" wrapText="1"/>
    </xf>
    <xf numFmtId="0" fontId="23" fillId="0" borderId="4" xfId="641" applyFont="1" applyFill="1" applyBorder="1" applyAlignment="1">
      <alignment vertical="center"/>
    </xf>
    <xf numFmtId="203" fontId="4" fillId="0" borderId="6" xfId="641" applyNumberFormat="1" applyFont="1" applyFill="1" applyBorder="1" applyAlignment="1">
      <alignment vertical="center" wrapText="1"/>
    </xf>
    <xf numFmtId="0" fontId="23" fillId="0" borderId="8" xfId="641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vertical="center" wrapText="1"/>
    </xf>
    <xf numFmtId="203" fontId="4" fillId="0" borderId="10" xfId="641" applyNumberFormat="1" applyFont="1" applyFill="1" applyBorder="1" applyAlignment="1">
      <alignment vertical="center" wrapText="1"/>
    </xf>
    <xf numFmtId="0" fontId="9" fillId="0" borderId="0" xfId="641" applyFont="1" applyFill="1">
      <alignment vertical="center"/>
    </xf>
    <xf numFmtId="0" fontId="0" fillId="0" borderId="0" xfId="1884" applyFont="1" applyFill="1" applyBorder="1" applyAlignment="1">
      <alignment vertical="center"/>
    </xf>
    <xf numFmtId="0" fontId="15" fillId="0" borderId="26" xfId="2988" applyFont="1" applyFill="1" applyBorder="1" applyAlignment="1">
      <alignment horizontal="center" vertical="center" wrapText="1"/>
    </xf>
    <xf numFmtId="0" fontId="16" fillId="0" borderId="15" xfId="2988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justify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center" vertical="center" wrapText="1"/>
    </xf>
    <xf numFmtId="207" fontId="15" fillId="0" borderId="5" xfId="2602" applyNumberFormat="1" applyFont="1" applyFill="1" applyBorder="1" applyAlignment="1" applyProtection="1">
      <alignment horizontal="right" vertical="center" wrapText="1"/>
    </xf>
    <xf numFmtId="207" fontId="18" fillId="0" borderId="5" xfId="2602" applyNumberFormat="1" applyFont="1" applyFill="1" applyBorder="1" applyAlignment="1" applyProtection="1">
      <alignment horizontal="right" vertical="center" wrapText="1"/>
    </xf>
    <xf numFmtId="205" fontId="9" fillId="0" borderId="6" xfId="1884" applyNumberFormat="1" applyFont="1" applyFill="1" applyBorder="1" applyAlignment="1">
      <alignment vertical="center" wrapText="1"/>
    </xf>
    <xf numFmtId="203" fontId="9" fillId="0" borderId="6" xfId="1884" applyNumberFormat="1" applyFont="1" applyFill="1" applyBorder="1" applyAlignment="1">
      <alignment vertical="center" wrapText="1"/>
    </xf>
    <xf numFmtId="0" fontId="17" fillId="0" borderId="4" xfId="1884" applyFont="1" applyFill="1" applyBorder="1" applyAlignment="1">
      <alignment vertical="center"/>
    </xf>
    <xf numFmtId="0" fontId="17" fillId="0" borderId="5" xfId="1884" applyFont="1" applyFill="1" applyBorder="1" applyAlignment="1">
      <alignment horizontal="center" vertical="center"/>
    </xf>
    <xf numFmtId="205" fontId="0" fillId="0" borderId="6" xfId="1884" applyNumberFormat="1" applyFont="1" applyFill="1" applyBorder="1" applyAlignment="1">
      <alignment vertical="center" wrapText="1"/>
    </xf>
    <xf numFmtId="203" fontId="0" fillId="0" borderId="6" xfId="1884" applyNumberFormat="1" applyFont="1" applyFill="1" applyBorder="1" applyAlignment="1">
      <alignment vertical="center" wrapText="1"/>
    </xf>
    <xf numFmtId="0" fontId="16" fillId="0" borderId="4" xfId="1884" applyFont="1" applyFill="1" applyBorder="1" applyAlignment="1">
      <alignment vertical="center"/>
    </xf>
    <xf numFmtId="0" fontId="16" fillId="0" borderId="5" xfId="1884" applyFont="1" applyFill="1" applyBorder="1" applyAlignment="1">
      <alignment horizontal="center" vertical="center"/>
    </xf>
    <xf numFmtId="0" fontId="17" fillId="0" borderId="8" xfId="1884" applyFont="1" applyFill="1" applyBorder="1" applyAlignment="1">
      <alignment vertical="center"/>
    </xf>
    <xf numFmtId="0" fontId="17" fillId="0" borderId="9" xfId="1884" applyFont="1" applyFill="1" applyBorder="1" applyAlignment="1">
      <alignment horizontal="center" vertical="center"/>
    </xf>
    <xf numFmtId="205" fontId="0" fillId="0" borderId="10" xfId="1884" applyNumberFormat="1" applyFont="1" applyFill="1" applyBorder="1" applyAlignment="1">
      <alignment vertical="center" wrapText="1"/>
    </xf>
    <xf numFmtId="203" fontId="0" fillId="0" borderId="10" xfId="1884" applyNumberFormat="1" applyFont="1" applyFill="1" applyBorder="1" applyAlignment="1">
      <alignment vertical="center" wrapText="1"/>
    </xf>
    <xf numFmtId="0" fontId="0" fillId="0" borderId="0" xfId="1884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1884" applyFont="1" applyFill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5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justify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5" fillId="0" borderId="37" xfId="2988" applyFont="1" applyFill="1" applyBorder="1" applyAlignment="1">
      <alignment horizontal="center" vertical="center" wrapText="1"/>
    </xf>
    <xf numFmtId="0" fontId="15" fillId="0" borderId="3" xfId="2988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vertical="center"/>
    </xf>
    <xf numFmtId="207" fontId="18" fillId="0" borderId="5" xfId="2420" applyNumberFormat="1" applyFont="1" applyFill="1" applyBorder="1" applyAlignment="1">
      <alignment horizontal="right" vertical="center" wrapText="1"/>
    </xf>
    <xf numFmtId="0" fontId="18" fillId="0" borderId="6" xfId="2420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4" fillId="0" borderId="0" xfId="1884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207" fontId="18" fillId="0" borderId="9" xfId="2602" applyNumberFormat="1" applyFont="1" applyFill="1" applyBorder="1" applyAlignment="1" applyProtection="1">
      <alignment horizontal="right" vertical="center" wrapText="1"/>
    </xf>
    <xf numFmtId="205" fontId="15" fillId="0" borderId="25" xfId="0" applyNumberFormat="1" applyFont="1" applyFill="1" applyBorder="1" applyAlignment="1">
      <alignment horizontal="center" vertical="center" wrapText="1"/>
    </xf>
    <xf numFmtId="205" fontId="15" fillId="0" borderId="38" xfId="0" applyNumberFormat="1" applyFont="1" applyFill="1" applyBorder="1" applyAlignment="1">
      <alignment horizontal="center" vertical="center" wrapText="1"/>
    </xf>
    <xf numFmtId="205" fontId="17" fillId="0" borderId="29" xfId="0" applyNumberFormat="1" applyFont="1" applyFill="1" applyBorder="1" applyAlignment="1">
      <alignment vertical="center" wrapText="1"/>
    </xf>
    <xf numFmtId="205" fontId="17" fillId="0" borderId="29" xfId="0" applyNumberFormat="1" applyFont="1" applyFill="1" applyBorder="1" applyAlignment="1">
      <alignment horizontal="center" vertical="center" wrapText="1"/>
    </xf>
    <xf numFmtId="205" fontId="18" fillId="0" borderId="30" xfId="2602" applyNumberFormat="1" applyFont="1" applyFill="1" applyBorder="1" applyAlignment="1" applyProtection="1">
      <alignment horizontal="right" vertical="center" wrapText="1"/>
    </xf>
    <xf numFmtId="205" fontId="17" fillId="0" borderId="4" xfId="0" applyNumberFormat="1" applyFont="1" applyFill="1" applyBorder="1" applyAlignment="1">
      <alignment horizontal="center" vertical="center" wrapText="1"/>
    </xf>
    <xf numFmtId="205" fontId="18" fillId="0" borderId="6" xfId="2602" applyNumberFormat="1" applyFont="1" applyFill="1" applyBorder="1" applyAlignment="1" applyProtection="1">
      <alignment horizontal="right" vertical="center" wrapText="1"/>
    </xf>
    <xf numFmtId="205" fontId="17" fillId="0" borderId="8" xfId="0" applyNumberFormat="1" applyFont="1" applyFill="1" applyBorder="1" applyAlignment="1">
      <alignment horizontal="center" vertical="center" wrapText="1"/>
    </xf>
    <xf numFmtId="205" fontId="16" fillId="0" borderId="28" xfId="0" applyNumberFormat="1" applyFont="1" applyFill="1" applyBorder="1" applyAlignment="1">
      <alignment horizontal="center" vertical="center" wrapText="1"/>
    </xf>
    <xf numFmtId="205" fontId="16" fillId="0" borderId="7" xfId="0" applyNumberFormat="1" applyFont="1" applyFill="1" applyBorder="1" applyAlignment="1">
      <alignment horizontal="center" vertical="center" wrapText="1"/>
    </xf>
    <xf numFmtId="0" fontId="23" fillId="0" borderId="0" xfId="641" applyFont="1" applyFill="1">
      <alignment vertical="center"/>
    </xf>
    <xf numFmtId="0" fontId="18" fillId="0" borderId="0" xfId="0" applyFont="1" applyFill="1" applyAlignment="1">
      <alignment vertical="center"/>
    </xf>
    <xf numFmtId="0" fontId="18" fillId="0" borderId="0" xfId="1884" applyFont="1" applyFill="1">
      <alignment vertical="center"/>
    </xf>
    <xf numFmtId="0" fontId="15" fillId="0" borderId="39" xfId="2988" applyFont="1" applyFill="1" applyBorder="1" applyAlignment="1">
      <alignment horizontal="center" vertical="center" wrapText="1"/>
    </xf>
    <xf numFmtId="0" fontId="15" fillId="0" borderId="38" xfId="2988" applyFont="1" applyFill="1" applyBorder="1" applyAlignment="1">
      <alignment horizontal="center" vertical="center" wrapText="1"/>
    </xf>
    <xf numFmtId="0" fontId="16" fillId="0" borderId="2" xfId="2988" applyFont="1" applyFill="1" applyBorder="1" applyAlignment="1">
      <alignment horizontal="center" vertical="center" wrapText="1"/>
    </xf>
    <xf numFmtId="0" fontId="16" fillId="0" borderId="7" xfId="2988" applyFont="1" applyFill="1" applyBorder="1" applyAlignment="1">
      <alignment horizontal="center" vertical="center" wrapText="1"/>
    </xf>
    <xf numFmtId="205" fontId="18" fillId="0" borderId="40" xfId="1884" applyNumberFormat="1" applyFont="1" applyFill="1" applyBorder="1" applyAlignment="1">
      <alignment horizontal="right" vertical="center" wrapText="1"/>
    </xf>
    <xf numFmtId="203" fontId="18" fillId="0" borderId="41" xfId="1884" applyNumberFormat="1" applyFont="1" applyFill="1" applyBorder="1" applyAlignment="1">
      <alignment horizontal="right" vertical="center" wrapText="1"/>
    </xf>
    <xf numFmtId="205" fontId="18" fillId="0" borderId="40" xfId="1884" applyNumberFormat="1" applyFont="1" applyFill="1" applyBorder="1" applyAlignment="1">
      <alignment horizontal="center" vertical="center" wrapText="1"/>
    </xf>
    <xf numFmtId="203" fontId="18" fillId="0" borderId="41" xfId="1884" applyNumberFormat="1" applyFont="1" applyFill="1" applyBorder="1" applyAlignment="1">
      <alignment horizontal="center" vertical="center" wrapText="1"/>
    </xf>
    <xf numFmtId="205" fontId="18" fillId="0" borderId="42" xfId="1884" applyNumberFormat="1" applyFont="1" applyFill="1" applyBorder="1" applyAlignment="1">
      <alignment horizontal="right" vertical="center" wrapText="1"/>
    </xf>
    <xf numFmtId="203" fontId="18" fillId="0" borderId="43" xfId="1884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4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208" fontId="4" fillId="0" borderId="15" xfId="0" applyNumberFormat="1" applyFont="1" applyFill="1" applyBorder="1" applyAlignment="1">
      <alignment horizontal="center" vertical="center" wrapText="1"/>
    </xf>
    <xf numFmtId="203" fontId="4" fillId="0" borderId="15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203" fontId="4" fillId="0" borderId="19" xfId="0" applyNumberFormat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left" vertical="center" wrapText="1"/>
    </xf>
    <xf numFmtId="205" fontId="4" fillId="0" borderId="46" xfId="0" applyNumberFormat="1" applyFont="1" applyFill="1" applyBorder="1" applyAlignment="1">
      <alignment horizontal="center" vertical="center" wrapText="1"/>
    </xf>
    <xf numFmtId="203" fontId="4" fillId="0" borderId="46" xfId="0" applyNumberFormat="1" applyFont="1" applyFill="1" applyBorder="1" applyAlignment="1">
      <alignment horizontal="center" vertical="center" wrapText="1"/>
    </xf>
    <xf numFmtId="208" fontId="4" fillId="0" borderId="4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1" fillId="0" borderId="17" xfId="0" applyFont="1" applyFill="1" applyBorder="1" applyAlignment="1">
      <alignment horizontal="center" vertical="center" wrapText="1"/>
    </xf>
    <xf numFmtId="203" fontId="4" fillId="0" borderId="17" xfId="0" applyNumberFormat="1" applyFont="1" applyFill="1" applyBorder="1" applyAlignment="1">
      <alignment horizontal="center" vertical="center" wrapText="1"/>
    </xf>
    <xf numFmtId="208" fontId="4" fillId="0" borderId="0" xfId="0" applyNumberFormat="1" applyFont="1" applyFill="1" applyBorder="1" applyAlignment="1">
      <alignment horizontal="center" vertical="center" wrapText="1"/>
    </xf>
    <xf numFmtId="203" fontId="4" fillId="0" borderId="30" xfId="0" applyNumberFormat="1" applyFont="1" applyFill="1" applyBorder="1" applyAlignment="1">
      <alignment horizontal="center" vertical="center" wrapText="1"/>
    </xf>
    <xf numFmtId="203" fontId="4" fillId="0" borderId="47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203" fontId="18" fillId="0" borderId="0" xfId="1884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horizontal="justify" vertical="center" wrapText="1"/>
    </xf>
    <xf numFmtId="0" fontId="17" fillId="0" borderId="6" xfId="0" applyFont="1" applyFill="1" applyBorder="1" applyAlignment="1">
      <alignment horizontal="center" vertical="center" wrapText="1"/>
    </xf>
    <xf numFmtId="203" fontId="18" fillId="0" borderId="0" xfId="2602" applyNumberFormat="1" applyFont="1" applyFill="1" applyAlignment="1" applyProtection="1">
      <alignment horizontal="right" vertical="center" wrapText="1"/>
    </xf>
    <xf numFmtId="0" fontId="18" fillId="0" borderId="6" xfId="2602" applyNumberFormat="1" applyFont="1" applyFill="1" applyBorder="1" applyAlignment="1" applyProtection="1">
      <alignment horizontal="right" vertical="center" wrapText="1"/>
    </xf>
    <xf numFmtId="208" fontId="18" fillId="0" borderId="9" xfId="2602" applyNumberFormat="1" applyFont="1" applyFill="1" applyBorder="1" applyAlignment="1" applyProtection="1">
      <alignment horizontal="right" vertical="center" wrapText="1"/>
    </xf>
    <xf numFmtId="0" fontId="17" fillId="0" borderId="29" xfId="0" applyFont="1" applyFill="1" applyBorder="1" applyAlignment="1">
      <alignment horizontal="justify" vertical="center" wrapText="1"/>
    </xf>
    <xf numFmtId="0" fontId="17" fillId="0" borderId="19" xfId="0" applyFont="1" applyFill="1" applyBorder="1" applyAlignment="1">
      <alignment horizontal="center" vertical="center" wrapText="1"/>
    </xf>
    <xf numFmtId="203" fontId="18" fillId="0" borderId="30" xfId="2420" applyNumberFormat="1" applyFont="1" applyFill="1" applyBorder="1" applyAlignment="1">
      <alignment horizontal="right" vertical="center" wrapText="1"/>
    </xf>
    <xf numFmtId="203" fontId="18" fillId="0" borderId="30" xfId="2420" applyNumberFormat="1" applyFont="1" applyFill="1" applyBorder="1" applyAlignment="1">
      <alignment horizontal="center" vertical="center" wrapText="1"/>
    </xf>
    <xf numFmtId="208" fontId="18" fillId="0" borderId="6" xfId="2420" applyNumberFormat="1" applyFont="1" applyFill="1" applyBorder="1" applyAlignment="1">
      <alignment horizontal="center" vertical="center"/>
    </xf>
    <xf numFmtId="208" fontId="18" fillId="0" borderId="0" xfId="2420" applyNumberFormat="1" applyFont="1" applyFill="1" applyBorder="1" applyAlignment="1">
      <alignment horizontal="center" vertical="center"/>
    </xf>
    <xf numFmtId="205" fontId="18" fillId="0" borderId="5" xfId="1884" applyNumberFormat="1" applyFont="1" applyFill="1" applyBorder="1" applyAlignment="1">
      <alignment horizontal="right" vertical="center" wrapText="1"/>
    </xf>
    <xf numFmtId="0" fontId="18" fillId="0" borderId="4" xfId="1884" applyFont="1" applyFill="1" applyBorder="1">
      <alignment vertical="center"/>
    </xf>
    <xf numFmtId="0" fontId="18" fillId="0" borderId="5" xfId="1884" applyFont="1" applyFill="1" applyBorder="1" applyAlignment="1">
      <alignment horizontal="center" vertical="center"/>
    </xf>
    <xf numFmtId="203" fontId="18" fillId="0" borderId="6" xfId="1884" applyNumberFormat="1" applyFont="1" applyFill="1" applyBorder="1" applyAlignment="1">
      <alignment horizontal="right" vertical="center" wrapText="1"/>
    </xf>
    <xf numFmtId="0" fontId="18" fillId="0" borderId="8" xfId="1884" applyFont="1" applyFill="1" applyBorder="1">
      <alignment vertical="center"/>
    </xf>
    <xf numFmtId="0" fontId="18" fillId="0" borderId="9" xfId="1884" applyFont="1" applyFill="1" applyBorder="1" applyAlignment="1">
      <alignment horizontal="center" vertical="center"/>
    </xf>
    <xf numFmtId="205" fontId="18" fillId="0" borderId="9" xfId="1884" applyNumberFormat="1" applyFont="1" applyFill="1" applyBorder="1" applyAlignment="1">
      <alignment horizontal="right" vertical="center" wrapText="1"/>
    </xf>
    <xf numFmtId="203" fontId="18" fillId="0" borderId="10" xfId="1884" applyNumberFormat="1" applyFont="1" applyFill="1" applyBorder="1" applyAlignment="1">
      <alignment horizontal="right" vertical="center" wrapText="1"/>
    </xf>
  </cellXfs>
  <cellStyles count="31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4" xfId="49"/>
    <cellStyle name="好_2009年一般性转移支付标准工资_奖励补助测算7.25 9" xfId="50"/>
    <cellStyle name="Heading 2 8" xfId="51"/>
    <cellStyle name="好 7 2" xfId="52"/>
    <cellStyle name="差_教育厅提供义务教育及高中教师人数（2009年1月6日） 2" xfId="53"/>
    <cellStyle name="链接单元格 2" xfId="54"/>
    <cellStyle name="差_2007年人员分部门统计表 5" xfId="55"/>
    <cellStyle name="差_奖励补助测算7.23 8" xfId="56"/>
    <cellStyle name="差_财政供养人员 4" xfId="57"/>
    <cellStyle name="60% - 强调文字颜色 3 5 2" xfId="58"/>
    <cellStyle name="Bad 3" xfId="59"/>
    <cellStyle name="60% - Accent5 8" xfId="60"/>
    <cellStyle name="好_~4190974 6" xfId="61"/>
    <cellStyle name="差_云南农村义务教育统计表 7" xfId="62"/>
    <cellStyle name="差_0502通海县 7" xfId="63"/>
    <cellStyle name="霓付 [0]_ +Foil &amp; -FOIL &amp; PAPER" xfId="64"/>
    <cellStyle name="60% - Accent5 2" xfId="65"/>
    <cellStyle name="40% - 强调文字颜色 3 9" xfId="66"/>
    <cellStyle name="好_03昭通 5" xfId="67"/>
    <cellStyle name="小数 8" xfId="68"/>
    <cellStyle name="差_业务工作量指标 4" xfId="69"/>
    <cellStyle name="20% - 强调文字颜色 5 3 4" xfId="70"/>
    <cellStyle name="强调文字颜色 5 3 2" xfId="71"/>
    <cellStyle name="差_奖励补助测算5.24冯铸 5" xfId="72"/>
    <cellStyle name="差_530623_2006年县级财政报表附表 3" xfId="73"/>
    <cellStyle name="20% - 强调文字颜色 6 3 4" xfId="74"/>
    <cellStyle name="40% - 强调文字颜色 1 3 5" xfId="75"/>
    <cellStyle name="Calculation" xfId="76"/>
    <cellStyle name="差_义务教育阶段教职工人数（教育厅提供最终）" xfId="77"/>
    <cellStyle name="强调文字颜色 6 3 2" xfId="78"/>
    <cellStyle name="_Book1_3" xfId="79"/>
    <cellStyle name="好_地方配套按人均增幅控制8.30xl 2" xfId="80"/>
    <cellStyle name="好_云南农村义务教育统计表 3" xfId="81"/>
    <cellStyle name="好_1003牟定县 8" xfId="82"/>
    <cellStyle name="标题 3 9" xfId="83"/>
    <cellStyle name="计算 9 2" xfId="84"/>
    <cellStyle name="Explanatory Text 2" xfId="85"/>
    <cellStyle name="好_地方配套按人均增幅控制8.30xl 6" xfId="86"/>
    <cellStyle name="Accent3 - 20%" xfId="87"/>
    <cellStyle name="好_地方配套按人均增幅控制8.30一般预算平均增幅、人均可用财力平均增幅两次控制、社会治安系数调整、案件数调整xl" xfId="88"/>
    <cellStyle name="差_530623_2006年县级财政报表附表 7" xfId="89"/>
    <cellStyle name="差_奖励补助测算5.24冯铸 9" xfId="90"/>
    <cellStyle name="强调文字颜色 5 3 6" xfId="91"/>
    <cellStyle name="差_业务工作量指标 8" xfId="92"/>
    <cellStyle name="千位分隔 4" xfId="93"/>
    <cellStyle name="差_2007年政法部门业务指标 3" xfId="94"/>
    <cellStyle name="常规 2 5 7" xfId="95"/>
    <cellStyle name="60% - 强调文字颜色 3 7" xfId="96"/>
    <cellStyle name="60% - 强调文字颜色 1 4" xfId="97"/>
    <cellStyle name="常规 2 3 4" xfId="98"/>
    <cellStyle name="常规 2 2 9" xfId="99"/>
    <cellStyle name="常规 4 2" xfId="100"/>
    <cellStyle name="差_汇总-县级财政报表附表" xfId="101"/>
    <cellStyle name="好_指标四 4" xfId="102"/>
    <cellStyle name="20% - 强调文字颜色 2 4" xfId="103"/>
    <cellStyle name="差_云南省2008年转移支付测算——州市本级考核部分及政策性测算" xfId="104"/>
    <cellStyle name="差_0605石屏县 3" xfId="105"/>
    <cellStyle name="20% - Accent4 7" xfId="106"/>
    <cellStyle name="好_2009年一般性转移支付标准工资_地方配套按人均增幅控制8.31（调整结案率后）xl 2" xfId="107"/>
    <cellStyle name="标题 11" xfId="108"/>
    <cellStyle name="差_2009年一般性转移支付标准工资_奖励补助测算5.23新" xfId="109"/>
    <cellStyle name="常规 2 2 4" xfId="110"/>
    <cellStyle name="常规_2021259552931" xfId="111"/>
    <cellStyle name="40% - 强调文字颜色 3 7" xfId="112"/>
    <cellStyle name="好_03昭通 3" xfId="113"/>
    <cellStyle name="检查单元格 8" xfId="114"/>
    <cellStyle name="小数 6" xfId="115"/>
    <cellStyle name="好_00省级(定稿) 2" xfId="116"/>
    <cellStyle name="常规 3 2 3" xfId="117"/>
    <cellStyle name="差_云南省2008年中小学教师人数统计表" xfId="118"/>
    <cellStyle name="40% - 强调文字颜色 4 9 2" xfId="119"/>
    <cellStyle name="差_汇总-县级财政报表附表 3" xfId="120"/>
    <cellStyle name="40% - 强调文字颜色 5 9 2" xfId="121"/>
    <cellStyle name="60% - Accent3 2" xfId="122"/>
    <cellStyle name="好_第五部分(才淼、饶永宏） 5" xfId="123"/>
    <cellStyle name="强调文字颜色 2 5 2" xfId="124"/>
    <cellStyle name="常规 2 3 6" xfId="125"/>
    <cellStyle name="60% - 强调文字颜色 1 6" xfId="126"/>
    <cellStyle name="Heading 4 2" xfId="127"/>
    <cellStyle name="好_业务工作量指标 3" xfId="128"/>
    <cellStyle name="计算 4" xfId="129"/>
    <cellStyle name="0,0_x000d_&#10;NA_x000d_&#10;" xfId="130"/>
    <cellStyle name="好 9 2" xfId="131"/>
    <cellStyle name="60% - 强调文字颜色 5 3 7" xfId="132"/>
    <cellStyle name="Heading 4 8" xfId="133"/>
    <cellStyle name="好_业务工作量指标 9" xfId="134"/>
    <cellStyle name="差_财政供养人员 8" xfId="135"/>
    <cellStyle name="20% - 强调文字颜色 2 5" xfId="136"/>
    <cellStyle name="警告文本 6 2" xfId="137"/>
    <cellStyle name="差_2007年人员分部门统计表 9" xfId="138"/>
    <cellStyle name="常规 2 5 3" xfId="139"/>
    <cellStyle name="60% - 强调文字颜色 3 3" xfId="140"/>
    <cellStyle name="差_11大理 7" xfId="141"/>
    <cellStyle name="千位分隔 2 2 9" xfId="142"/>
    <cellStyle name="好_2009年一般性转移支付标准工资_地方配套按人均增幅控制8.30xl 7" xfId="143"/>
    <cellStyle name="差_历年教师人数" xfId="144"/>
    <cellStyle name="好_2006年在职人员情况 7" xfId="145"/>
    <cellStyle name="好_2009年一般性转移支付标准工资_地方配套按人均增幅控制8.30xl 6" xfId="146"/>
    <cellStyle name="好_2006年在职人员情况 6" xfId="147"/>
    <cellStyle name="20% - 强调文字颜色 5 8 2" xfId="148"/>
    <cellStyle name="Bad 7" xfId="149"/>
    <cellStyle name="20% - 强调文字颜色 6 8" xfId="150"/>
    <cellStyle name="好_教育厅提供义务教育及高中教师人数（2009年1月6日） 4" xfId="151"/>
    <cellStyle name="差_2009年一般性转移支付标准工资_奖励补助测算7.25 5" xfId="152"/>
    <cellStyle name="常规 4 7" xfId="153"/>
    <cellStyle name="差_卫生部门 5" xfId="154"/>
    <cellStyle name="40% - Accent5 5" xfId="155"/>
    <cellStyle name="Accent2 - 40% 2" xfId="156"/>
    <cellStyle name="千位分隔[0] 2" xfId="157"/>
    <cellStyle name="好_1110洱源县" xfId="158"/>
    <cellStyle name="HEADING1" xfId="159"/>
    <cellStyle name="好_2009年一般性转移支付标准工资_~5676413 4" xfId="160"/>
    <cellStyle name="汇总 9" xfId="161"/>
    <cellStyle name="好_2006年水利统计指标统计表 8" xfId="162"/>
    <cellStyle name="烹拳 [0]_ +Foil &amp; -FOIL &amp; PAPER" xfId="163"/>
    <cellStyle name="60% - 强调文字颜色 3 3 4" xfId="164"/>
    <cellStyle name="好_教师绩效工资测算表（离退休按各地上报数测算）2009年1月1日" xfId="165"/>
    <cellStyle name="好_5334_2006年迪庆县级财政报表附表 9" xfId="166"/>
    <cellStyle name="差_2008云南省分县市中小学教职工统计表（教育厅提供） 4" xfId="167"/>
    <cellStyle name="普通_ 白土" xfId="168"/>
    <cellStyle name="Accent5 - 60% 8" xfId="169"/>
    <cellStyle name="数字 8" xfId="170"/>
    <cellStyle name="20% - 强调文字颜色 1 3 6" xfId="171"/>
    <cellStyle name="强调文字颜色 1 3 4" xfId="172"/>
    <cellStyle name="好_县级基础数据" xfId="173"/>
    <cellStyle name="千位分隔 3 9" xfId="174"/>
    <cellStyle name="警告文本 8 2" xfId="175"/>
    <cellStyle name="好_Book1_1" xfId="176"/>
    <cellStyle name="40% - 强调文字颜色 1 6 2" xfId="177"/>
    <cellStyle name="差_M03 6" xfId="178"/>
    <cellStyle name="差_奖励补助测算5.22测试 8" xfId="179"/>
    <cellStyle name="差_11大理 3" xfId="180"/>
    <cellStyle name="输入 5" xfId="181"/>
    <cellStyle name="20% - 强调文字颜色 1 7" xfId="182"/>
    <cellStyle name="60% - Accent5" xfId="183"/>
    <cellStyle name="好_2009年一般性转移支付标准工资_奖励补助测算7.25 (version 1) (version 1) 3" xfId="184"/>
    <cellStyle name="好_2009年一般性转移支付标准工资_奖励补助测算5.24冯铸 7" xfId="185"/>
    <cellStyle name="60% - 强调文字颜色 1 6 2" xfId="186"/>
    <cellStyle name="差_2009年一般性转移支付标准工资_~5676413 8" xfId="187"/>
    <cellStyle name="常规 43" xfId="188"/>
    <cellStyle name="常规 38" xfId="189"/>
    <cellStyle name="20% - Accent4" xfId="190"/>
    <cellStyle name="检查单元格 3 2" xfId="191"/>
    <cellStyle name="好_0605石屏县 5" xfId="192"/>
    <cellStyle name="差_指标四 8" xfId="193"/>
    <cellStyle name="差_地方配套按人均增幅控制8.30一般预算平均增幅、人均可用财力平均增幅两次控制、社会治安系数调整、案件数调整xl 2" xfId="194"/>
    <cellStyle name="Accent2 - 20% 2" xfId="195"/>
    <cellStyle name="适中 5 2" xfId="196"/>
    <cellStyle name="链接单元格 3 6" xfId="197"/>
    <cellStyle name="差 8" xfId="198"/>
    <cellStyle name="差_2009年一般性转移支付标准工资_奖励补助测算5.22测试 6" xfId="199"/>
    <cellStyle name="常规 5 8" xfId="200"/>
    <cellStyle name="强调文字颜色 3 7 2" xfId="201"/>
    <cellStyle name="好_县级公安机关公用经费标准奖励测算方案（定稿） 6" xfId="202"/>
    <cellStyle name="检查单元格 3 3" xfId="203"/>
    <cellStyle name="好_0605石屏县 6" xfId="204"/>
    <cellStyle name="好_三季度－表二" xfId="205"/>
    <cellStyle name="好_M01-2(州市补助收入) 8" xfId="206"/>
    <cellStyle name="标题 3 5 2" xfId="207"/>
    <cellStyle name="标题 1 9 2" xfId="208"/>
    <cellStyle name="20% - 强调文字颜色 1 2" xfId="209"/>
    <cellStyle name="好_2007年政法部门业务指标 8" xfId="210"/>
    <cellStyle name="常规 4 6" xfId="211"/>
    <cellStyle name="好_2006年水利统计指标统计表" xfId="212"/>
    <cellStyle name="差_卫生部门 4" xfId="213"/>
    <cellStyle name="20% - 强调文字颜色 3 6 2" xfId="214"/>
    <cellStyle name="差_基础数据分析 6" xfId="215"/>
    <cellStyle name="好_奖励补助测算7.25 4" xfId="216"/>
    <cellStyle name="好_1003牟定县 7" xfId="217"/>
    <cellStyle name="好_云南农村义务教育统计表 2" xfId="218"/>
    <cellStyle name="标题 2 6" xfId="219"/>
    <cellStyle name="常规 5 2 7" xfId="220"/>
    <cellStyle name="强调文字颜色 6 7" xfId="221"/>
    <cellStyle name="差_00省级(定稿) 5" xfId="222"/>
    <cellStyle name="差_2007年政法部门业务指标 7" xfId="223"/>
    <cellStyle name="好_2007年政法部门业务指标 6" xfId="224"/>
    <cellStyle name="强调文字颜色 2 6 2" xfId="225"/>
    <cellStyle name="Note 8" xfId="226"/>
    <cellStyle name="标题 2 7" xfId="227"/>
    <cellStyle name="差_M03 2" xfId="228"/>
    <cellStyle name="常规 5 2 8" xfId="229"/>
    <cellStyle name="好_地方配套按人均增幅控制8.30一般预算平均增幅、人均可用财力平均增幅两次控制、社会治安系数调整、案件数调整xl 4" xfId="230"/>
    <cellStyle name="好_下半年禁吸戒毒经费1000万元 9" xfId="231"/>
    <cellStyle name="强调文字颜色 5 6 2" xfId="232"/>
    <cellStyle name="好_~5676413" xfId="233"/>
    <cellStyle name="链接单元格 4 2" xfId="234"/>
    <cellStyle name="差_M01-2(州市补助收入) 4" xfId="235"/>
    <cellStyle name="解释性文本 3 7" xfId="236"/>
    <cellStyle name="差_高中教师人数（教育厅1.6日提供） 9" xfId="237"/>
    <cellStyle name="60% - 强调文字颜色 3 8 2" xfId="238"/>
    <cellStyle name="差_汇总" xfId="239"/>
    <cellStyle name="好_2009年一般性转移支付标准工资_奖励补助测算5.22测试" xfId="240"/>
    <cellStyle name="标题 1 3 6" xfId="241"/>
    <cellStyle name="差_奖励补助测算7.25 (version 1) (version 1) 9" xfId="242"/>
    <cellStyle name="千位分隔 2 2 3" xfId="243"/>
    <cellStyle name="40% - 强调文字颜色 3 3 4" xfId="244"/>
    <cellStyle name="差_三季度－表二 7" xfId="245"/>
    <cellStyle name="Accent4 - 20% 6" xfId="246"/>
    <cellStyle name="差_~5676413 7" xfId="247"/>
    <cellStyle name="常规 32" xfId="248"/>
    <cellStyle name="常规 27" xfId="249"/>
    <cellStyle name="差_2009年一般性转移支付标准工资_~5676413 2" xfId="250"/>
    <cellStyle name="差_0502通海县 5" xfId="251"/>
    <cellStyle name="差_地方配套按人均增幅控制8.31（调整结案率后）xl" xfId="252"/>
    <cellStyle name="注释 4 2" xfId="253"/>
    <cellStyle name="检查单元格 4" xfId="254"/>
    <cellStyle name="标题 2 3 6" xfId="255"/>
    <cellStyle name="强调文字颜色 2 3 4" xfId="256"/>
    <cellStyle name="标题 1 6 2" xfId="257"/>
    <cellStyle name="20% - 强调文字颜色 2 3 6" xfId="258"/>
    <cellStyle name="差_文体广播部门" xfId="259"/>
    <cellStyle name="常规 2 11" xfId="260"/>
    <cellStyle name="强调文字颜色 3 4" xfId="261"/>
    <cellStyle name="好_Book2 6" xfId="262"/>
    <cellStyle name="Accent3 - 60%" xfId="263"/>
    <cellStyle name="强调文字颜色 3 6" xfId="264"/>
    <cellStyle name="好_Book2 8" xfId="265"/>
    <cellStyle name="통화 [0]_BOILER-CO1" xfId="266"/>
    <cellStyle name="常规 6 2" xfId="267"/>
    <cellStyle name="差_2009年一般性转移支付标准工资_奖励补助测算5.23新 5" xfId="268"/>
    <cellStyle name="检查单元格 10" xfId="269"/>
    <cellStyle name="好_2、土地面积、人口、粮食产量基本情况 8" xfId="270"/>
    <cellStyle name="60% - 强调文字颜色 2 9" xfId="271"/>
    <cellStyle name="常规 2 4 9" xfId="272"/>
    <cellStyle name="差_地方配套按人均增幅控制8.30一般预算平均增幅、人均可用财力平均增幅两次控制、社会治安系数调整、案件数调整xl 8" xfId="273"/>
    <cellStyle name="标题 3 3 5" xfId="274"/>
    <cellStyle name="差_2009年一般性转移支付标准工资_地方配套按人均增幅控制8.30一般预算平均增幅、人均可用财力平均增幅两次控制、社会治安系数调整、案件数调整xl 2" xfId="275"/>
    <cellStyle name="差_2009年一般性转移支付标准工资_~4190974" xfId="276"/>
    <cellStyle name="好_~5676413 5" xfId="277"/>
    <cellStyle name="好_2007年政法部门业务指标 4" xfId="278"/>
    <cellStyle name="20% - 强调文字颜色 2 6 2" xfId="279"/>
    <cellStyle name="Note 6" xfId="280"/>
    <cellStyle name="常规 9" xfId="281"/>
    <cellStyle name="好_卫生部门 8" xfId="282"/>
    <cellStyle name="差_2009年一般性转移支付标准工资_地方配套按人均增幅控制8.30xl" xfId="283"/>
    <cellStyle name="好_第五部分(才淼、饶永宏） 3" xfId="284"/>
    <cellStyle name="20% - 强调文字颜色 2 5 2" xfId="285"/>
    <cellStyle name="常规 2 6 2" xfId="286"/>
    <cellStyle name="60% - 强调文字颜色 4 2" xfId="287"/>
    <cellStyle name="好_00省级(定稿) 9" xfId="288"/>
    <cellStyle name="好_2009年一般性转移支付标准工资 8" xfId="289"/>
    <cellStyle name="好_三季度－表二 4" xfId="290"/>
    <cellStyle name="差_2009年一般性转移支付标准工资_不用软件计算9.1不考虑经费管理评价xl 4" xfId="291"/>
    <cellStyle name="60% - 强调文字颜色 6 7 2" xfId="292"/>
    <cellStyle name="差_义务教育阶段教职工人数（教育厅提供最终） 9" xfId="293"/>
    <cellStyle name="差_Book1_1 3" xfId="294"/>
    <cellStyle name="差_Book1_1 2" xfId="295"/>
    <cellStyle name="差_义务教育阶段教职工人数（教育厅提供最终） 8" xfId="296"/>
    <cellStyle name="Accent2" xfId="297"/>
    <cellStyle name="Good 7" xfId="298"/>
    <cellStyle name="40% - Accent2 9" xfId="299"/>
    <cellStyle name="差_2006年水利统计指标统计表 9" xfId="300"/>
    <cellStyle name="好_2006年全省财力计算表（中央、决算）" xfId="301"/>
    <cellStyle name="好_03昭通 6" xfId="302"/>
    <cellStyle name="好_2009年一般性转移支付标准工资 4" xfId="303"/>
    <cellStyle name="常规 13 2" xfId="304"/>
    <cellStyle name="好_奖励补助测算7.23 3" xfId="305"/>
    <cellStyle name="解释性文本 8 2" xfId="306"/>
    <cellStyle name="差 5 2" xfId="307"/>
    <cellStyle name="好_2006年全省财力计算表（中央、决算） 6" xfId="308"/>
    <cellStyle name="好_530623_2006年县级财政报表附表 8" xfId="309"/>
    <cellStyle name="好_Book1_1 3" xfId="310"/>
    <cellStyle name="Header2" xfId="311"/>
    <cellStyle name="60% - 强调文字颜色 4 3 5" xfId="312"/>
    <cellStyle name="常规 18" xfId="313"/>
    <cellStyle name="常规 23" xfId="314"/>
    <cellStyle name="差_1110洱源县 9" xfId="315"/>
    <cellStyle name="强调文字颜色 6 3 7" xfId="316"/>
    <cellStyle name="常规 76" xfId="317"/>
    <cellStyle name="差_2009年一般性转移支付标准工资_地方配套按人均增幅控制8.31（调整结案率后）xl 5" xfId="318"/>
    <cellStyle name="Accent1 - 20% 4" xfId="319"/>
    <cellStyle name="好_卫生部门 6" xfId="320"/>
    <cellStyle name="常规 7" xfId="321"/>
    <cellStyle name="常规 14 2" xfId="322"/>
    <cellStyle name="好_汇总 4" xfId="323"/>
    <cellStyle name="好_奖励补助测算7.25 (version 1) (version 1) 3" xfId="324"/>
    <cellStyle name="60% - Accent3 8" xfId="325"/>
    <cellStyle name="好_下半年禁吸戒毒经费1000万元 3" xfId="326"/>
    <cellStyle name="差_汇总-县级财政报表附表 9" xfId="327"/>
    <cellStyle name="常规 2 2 2" xfId="328"/>
    <cellStyle name="好 8 2" xfId="329"/>
    <cellStyle name="Heading 3 8" xfId="330"/>
    <cellStyle name="千位分隔[0] 2 5" xfId="331"/>
    <cellStyle name="好_汇总 9" xfId="332"/>
    <cellStyle name="好_奖励补助测算7.25 (version 1) (version 1) 8" xfId="333"/>
    <cellStyle name="检查单元格 6" xfId="334"/>
    <cellStyle name="好_基础数据分析 7" xfId="335"/>
    <cellStyle name="差_奖励补助测算7.25 (version 1) (version 1) 4" xfId="336"/>
    <cellStyle name="差_00省级(打印) 6" xfId="337"/>
    <cellStyle name="差_卫生部门" xfId="338"/>
    <cellStyle name="差_2009年一般性转移支付标准工资_地方配套按人均增幅控制8.30xl 9" xfId="339"/>
    <cellStyle name="常规 3 8" xfId="340"/>
    <cellStyle name="强调文字颜色 3 5 2" xfId="341"/>
    <cellStyle name="差_2009年一般性转移支付标准工资_~4190974 4" xfId="342"/>
    <cellStyle name="适中 3 2" xfId="343"/>
    <cellStyle name="强调文字颜色 4 8 2" xfId="344"/>
    <cellStyle name="适中 5" xfId="345"/>
    <cellStyle name="输出 6" xfId="346"/>
    <cellStyle name="好_云南省2008年转移支付测算——州市本级考核部分及政策性测算 5" xfId="347"/>
    <cellStyle name="Accent2 - 20%" xfId="348"/>
    <cellStyle name="Accent6 - 60% 4" xfId="349"/>
    <cellStyle name="Output" xfId="350"/>
    <cellStyle name="差_05玉溪 9" xfId="351"/>
    <cellStyle name="强调文字颜色 4 2" xfId="352"/>
    <cellStyle name="差_2009年一般性转移支付标准工资_奖励补助测算7.23 7" xfId="353"/>
    <cellStyle name="好_2009年一般性转移支付标准工资_奖励补助测算5.23新 4" xfId="354"/>
    <cellStyle name="好 4" xfId="355"/>
    <cellStyle name="适中 6 2" xfId="356"/>
    <cellStyle name="好_2009年一般性转移支付标准工资_奖励补助测算5.24冯铸" xfId="357"/>
    <cellStyle name="表标题 7" xfId="358"/>
    <cellStyle name="Milliers [0]_!!!GO" xfId="359"/>
    <cellStyle name="汇总 3 7" xfId="360"/>
    <cellStyle name="差_1110洱源县" xfId="361"/>
    <cellStyle name="Accent2 - 40% 5" xfId="362"/>
    <cellStyle name="40% - Accent5 8" xfId="363"/>
    <cellStyle name="差_卫生部门 8" xfId="364"/>
    <cellStyle name="标题 2 9 2" xfId="365"/>
    <cellStyle name="差_1110洱源县 3" xfId="366"/>
    <cellStyle name="Accent3 - 60% 4" xfId="367"/>
    <cellStyle name="好_2009年一般性转移支付标准工资_奖励补助测算5.24冯铸 3" xfId="368"/>
    <cellStyle name="60% - Accent1" xfId="369"/>
    <cellStyle name="40% - 强调文字颜色 5 7" xfId="370"/>
    <cellStyle name="检查单元格 8 2" xfId="371"/>
    <cellStyle name="强调文字颜色 2 9" xfId="372"/>
    <cellStyle name="RowLevel_0" xfId="373"/>
    <cellStyle name="好_下半年禁吸戒毒经费1000万元 7" xfId="374"/>
    <cellStyle name="20% - 强调文字颜色 5 6 2" xfId="375"/>
    <cellStyle name="差_~4190974 3" xfId="376"/>
    <cellStyle name="输入 3 7" xfId="377"/>
    <cellStyle name="常规 7 2" xfId="378"/>
    <cellStyle name="常规 2 5 9" xfId="379"/>
    <cellStyle name="60% - 强调文字颜色 3 9" xfId="380"/>
    <cellStyle name="千位分隔 4 5" xfId="381"/>
    <cellStyle name="40% - Accent2 6" xfId="382"/>
    <cellStyle name="差_2006年水利统计指标统计表 6" xfId="383"/>
    <cellStyle name="好_高中教师人数（教育厅1.6日提供）" xfId="384"/>
    <cellStyle name="霓付_ +Foil &amp; -FOIL &amp; PAPER" xfId="385"/>
    <cellStyle name="强调文字颜色 5 5 2" xfId="386"/>
    <cellStyle name="好_2、土地面积、人口、粮食产量基本情况 7" xfId="387"/>
    <cellStyle name="常规 2 4 8" xfId="388"/>
    <cellStyle name="60% - 强调文字颜色 2 8" xfId="389"/>
    <cellStyle name="差_2009年一般性转移支付标准工资_奖励补助测算5.23新 4" xfId="390"/>
    <cellStyle name="常规 5 2 6" xfId="391"/>
    <cellStyle name="标题 2 5" xfId="392"/>
    <cellStyle name="40% - 强调文字颜色 1 8 2" xfId="393"/>
    <cellStyle name="好_530623_2006年县级财政报表附表" xfId="394"/>
    <cellStyle name="好_2009年一般性转移支付标准工资_地方配套按人均增幅控制8.30一般预算平均增幅、人均可用财力平均增幅两次控制、社会治安系数调整、案件数调整xl 7" xfId="395"/>
    <cellStyle name="40% - 强调文字颜色 4 2" xfId="396"/>
    <cellStyle name="好_5334_2006年迪庆县级财政报表附表 6" xfId="397"/>
    <cellStyle name="Accent1 - 40% 8" xfId="398"/>
    <cellStyle name="标题 3 4 2" xfId="399"/>
    <cellStyle name="好_地方配套按人均增幅控制8.31（调整结案率后）xl 7" xfId="400"/>
    <cellStyle name="差_Book2 6" xfId="401"/>
    <cellStyle name="40% - 强调文字颜色 3 7 2" xfId="402"/>
    <cellStyle name="好_基础数据分析 9" xfId="403"/>
    <cellStyle name="强调文字颜色 2 8" xfId="404"/>
    <cellStyle name="好_下半年禁吸戒毒经费1000万元 6" xfId="405"/>
    <cellStyle name="强调文字颜色 1 5 2" xfId="406"/>
    <cellStyle name="输入 3 4" xfId="407"/>
    <cellStyle name="输出 4" xfId="408"/>
    <cellStyle name="20% - 强调文字颜色 2 8 2" xfId="409"/>
    <cellStyle name="40% - Accent5 4" xfId="410"/>
    <cellStyle name="计算 5" xfId="411"/>
    <cellStyle name="汇总 7 2" xfId="412"/>
    <cellStyle name="好_地方配套按人均增幅控制8.30xl 8" xfId="413"/>
    <cellStyle name="好_2009年一般性转移支付标准工资_~4190974 3" xfId="414"/>
    <cellStyle name="解释性文本 7" xfId="415"/>
    <cellStyle name="好_11大理 5" xfId="416"/>
    <cellStyle name="差_汇总 8" xfId="417"/>
    <cellStyle name="差_2009年一般性转移支付标准工资_地方配套按人均增幅控制8.30一般预算平均增幅、人均可用财力平均增幅两次控制、社会治安系数调整、案件数调整xl 3" xfId="418"/>
    <cellStyle name="标题 3 3 6" xfId="419"/>
    <cellStyle name="差_地方配套按人均增幅控制8.30一般预算平均增幅、人均可用财力平均增幅两次控制、社会治安系数调整、案件数调整xl 9" xfId="420"/>
    <cellStyle name="Accent3 6" xfId="421"/>
    <cellStyle name="好_11大理 3" xfId="422"/>
    <cellStyle name="链接单元格 9 2" xfId="423"/>
    <cellStyle name="Warning Text 8" xfId="424"/>
    <cellStyle name="20% - Accent2 5" xfId="425"/>
    <cellStyle name="好_2007年可用财力" xfId="426"/>
    <cellStyle name="Accent5 7" xfId="427"/>
    <cellStyle name="Accent4 - 40% 5" xfId="428"/>
    <cellStyle name="好_不用软件计算9.1不考虑经费管理评价xl 4" xfId="429"/>
    <cellStyle name="40% - 强调文字颜色 5 3 3" xfId="430"/>
    <cellStyle name="解释性文本 4" xfId="431"/>
    <cellStyle name="差_下半年禁吸戒毒经费1000万元 5" xfId="432"/>
    <cellStyle name="标题 4 2" xfId="433"/>
    <cellStyle name="差_县级公安机关公用经费标准奖励测算方案（定稿） 9" xfId="434"/>
    <cellStyle name="60% - 强调文字颜色 6 8" xfId="435"/>
    <cellStyle name="Output 3" xfId="436"/>
    <cellStyle name="常规 2 8 8" xfId="437"/>
    <cellStyle name="差_奖励补助测算7.23 7" xfId="438"/>
    <cellStyle name="差_财政供养人员 3" xfId="439"/>
    <cellStyle name="差_2007年人员分部门统计表 4" xfId="440"/>
    <cellStyle name="计算 7 2" xfId="441"/>
    <cellStyle name="常规 2 4 2" xfId="442"/>
    <cellStyle name="60% - 强调文字颜色 2 2" xfId="443"/>
    <cellStyle name="差_县级公安机关公用经费标准奖励测算方案（定稿） 5" xfId="444"/>
    <cellStyle name="警告文本 10" xfId="445"/>
    <cellStyle name="差_2009年一般性转移支付标准工资_奖励补助测算5.24冯铸 2" xfId="446"/>
    <cellStyle name="差_教育厅提供义务教育及高中教师人数（2009年1月6日） 3" xfId="447"/>
    <cellStyle name="60% - 强调文字颜色 2 10" xfId="448"/>
    <cellStyle name="Heading 2 9" xfId="449"/>
    <cellStyle name="差_03昭通 7" xfId="450"/>
    <cellStyle name="千位分隔 3 2" xfId="451"/>
    <cellStyle name="60% - 强调文字颜色 2 5" xfId="452"/>
    <cellStyle name="PSChar" xfId="453"/>
    <cellStyle name="常规 2 4 5" xfId="454"/>
    <cellStyle name="好_2、土地面积、人口、粮食产量基本情况 4" xfId="455"/>
    <cellStyle name="百分比 2 8" xfId="456"/>
    <cellStyle name="40% - Accent2 4" xfId="457"/>
    <cellStyle name="差_2006年水利统计指标统计表 4" xfId="458"/>
    <cellStyle name="差_检验表（调整后）" xfId="459"/>
    <cellStyle name="好_2009年一般性转移支付标准工资_地方配套按人均增幅控制8.31（调整结案率后）xl 5" xfId="460"/>
    <cellStyle name="差_0605石屏县 6" xfId="461"/>
    <cellStyle name="Check Cell 4" xfId="462"/>
    <cellStyle name="差_高中教师人数（教育厅1.6日提供） 7" xfId="463"/>
    <cellStyle name="后继超链接 9" xfId="464"/>
    <cellStyle name="强调文字颜色 4 7 2" xfId="465"/>
    <cellStyle name="输出 3 5" xfId="466"/>
    <cellStyle name="差_奖励补助测算5.22测试 6" xfId="467"/>
    <cellStyle name="差_2009年一般性转移支付标准工资_奖励补助测算5.24冯铸 3" xfId="468"/>
    <cellStyle name="差_教育厅提供义务教育及高中教师人数（2009年1月6日） 4" xfId="469"/>
    <cellStyle name="差 6 2" xfId="470"/>
    <cellStyle name="百分比 6" xfId="471"/>
    <cellStyle name="好_奖励补助测算7.25 5" xfId="472"/>
    <cellStyle name="差_基础数据分析 7" xfId="473"/>
    <cellStyle name="差_地方配套按人均增幅控制8.30xl 6" xfId="474"/>
    <cellStyle name="好_奖励补助测算5.24冯铸 3" xfId="475"/>
    <cellStyle name="40% - Accent3 8" xfId="476"/>
    <cellStyle name="标题 3 4" xfId="477"/>
    <cellStyle name="差_云南省2008年转移支付测算——州市本级考核部分及政策性测算 8" xfId="478"/>
    <cellStyle name="好_M01-2(州市补助收入) 5" xfId="479"/>
    <cellStyle name="好_奖励补助测算5.23新 4" xfId="480"/>
    <cellStyle name="好_2009年一般性转移支付标准工资_奖励补助测算5.22测试 5" xfId="481"/>
    <cellStyle name="差_指标四 2" xfId="482"/>
    <cellStyle name="40% - 强调文字颜色 4 3 7" xfId="483"/>
    <cellStyle name="差_检验表" xfId="484"/>
    <cellStyle name="差_2009年一般性转移支付标准工资_奖励补助测算7.23" xfId="485"/>
    <cellStyle name="常规 12 2" xfId="486"/>
    <cellStyle name="千位分隔 4 6" xfId="487"/>
    <cellStyle name="汇总 6 2" xfId="488"/>
    <cellStyle name="Title 8" xfId="489"/>
    <cellStyle name="差_汇总-县级财政报表附表 8" xfId="490"/>
    <cellStyle name="20% - 强调文字颜色 4 10" xfId="491"/>
    <cellStyle name="60% - Accent3 7" xfId="492"/>
    <cellStyle name="好_下半年禁吸戒毒经费1000万元 2" xfId="493"/>
    <cellStyle name="汇总 10" xfId="494"/>
    <cellStyle name="Accent3 4" xfId="495"/>
    <cellStyle name="Accent6" xfId="496"/>
    <cellStyle name="强调文字颜色 2 4" xfId="497"/>
    <cellStyle name="好_Book1 6" xfId="498"/>
    <cellStyle name="好_1110洱源县 5" xfId="499"/>
    <cellStyle name="差_丽江汇总" xfId="500"/>
    <cellStyle name="Accent5 - 40% 3" xfId="501"/>
    <cellStyle name="链接单元格 4" xfId="502"/>
    <cellStyle name="常规 3 11" xfId="503"/>
    <cellStyle name="好_1003牟定县 4" xfId="504"/>
    <cellStyle name="千位_ 方正PC" xfId="505"/>
    <cellStyle name="汇总 6" xfId="506"/>
    <cellStyle name="好_2006年水利统计指标统计表 5" xfId="507"/>
    <cellStyle name="汇总 4 2" xfId="508"/>
    <cellStyle name="强调文字颜色 2 5" xfId="509"/>
    <cellStyle name="好_Book1 7" xfId="510"/>
    <cellStyle name="解释性文本 8" xfId="511"/>
    <cellStyle name="好_2009年一般性转移支付标准工资_~4190974 4" xfId="512"/>
    <cellStyle name="差 5" xfId="513"/>
    <cellStyle name="链接单元格 3 3" xfId="514"/>
    <cellStyle name="差_2009年一般性转移支付标准工资_奖励补助测算5.22测试 3" xfId="515"/>
    <cellStyle name="常规 5 5" xfId="516"/>
    <cellStyle name="差_00省级(定稿) 4" xfId="517"/>
    <cellStyle name="差_2007年政法部门业务指标 6" xfId="518"/>
    <cellStyle name="标题 5 2" xfId="519"/>
    <cellStyle name="差_~4190974 4" xfId="520"/>
    <cellStyle name="百分比 8 2" xfId="521"/>
    <cellStyle name="好_00省级(定稿)" xfId="522"/>
    <cellStyle name="常规 2 6 6" xfId="523"/>
    <cellStyle name="60% - 强调文字颜色 4 6" xfId="524"/>
    <cellStyle name="好_云南省2008年转移支付测算——州市本级考核部分及政策性测算 6" xfId="525"/>
    <cellStyle name="好_2008云南省分县市中小学教职工统计表（教育厅提供） 6" xfId="526"/>
    <cellStyle name="汇总 9 2" xfId="527"/>
    <cellStyle name="好_530623_2006年县级财政报表附表 2" xfId="528"/>
    <cellStyle name="好_2006年全省财力计算表（中央、决算） 7" xfId="529"/>
    <cellStyle name="差_05玉溪 7" xfId="530"/>
    <cellStyle name="好_2009年一般性转移支付标准工资_奖励补助测算7.25 (version 1) (version 1) 2" xfId="531"/>
    <cellStyle name="好_2009年一般性转移支付标准工资_奖励补助测算5.24冯铸 6" xfId="532"/>
    <cellStyle name="60% - Accent4" xfId="533"/>
    <cellStyle name="40% - 强调文字颜色 1 6" xfId="534"/>
    <cellStyle name="Accent6 - 20% 6" xfId="535"/>
    <cellStyle name="千位分隔 3 4" xfId="536"/>
    <cellStyle name="常规 2 2 2 2" xfId="537"/>
    <cellStyle name="计算 10" xfId="538"/>
    <cellStyle name="20% - Accent1 3" xfId="539"/>
    <cellStyle name="Accent4 5" xfId="540"/>
    <cellStyle name="标题 3 3 7" xfId="541"/>
    <cellStyle name="差_2009年一般性转移支付标准工资_地方配套按人均增幅控制8.30一般预算平均增幅、人均可用财力平均增幅两次控制、社会治安系数调整、案件数调整xl 4" xfId="542"/>
    <cellStyle name="Millares_96 Risk" xfId="543"/>
    <cellStyle name="60% - 强调文字颜色 6 5 2" xfId="544"/>
    <cellStyle name="差_~4190974 7" xfId="545"/>
    <cellStyle name="标题 5 5" xfId="546"/>
    <cellStyle name="差_奖励补助测算7.25" xfId="547"/>
    <cellStyle name="输出 3" xfId="548"/>
    <cellStyle name="适中 2" xfId="549"/>
    <cellStyle name="强调文字颜色 4 7" xfId="550"/>
    <cellStyle name="好_云南省2008年转移支付测算——州市本级考核部分及政策性测算 9" xfId="551"/>
    <cellStyle name="Note 3" xfId="552"/>
    <cellStyle name="好_2009年一般性转移支付标准工资_地方配套按人均增幅控制8.30一般预算平均增幅、人均可用财力平均增幅两次控制、社会治安系数调整、案件数调整xl 4" xfId="553"/>
    <cellStyle name="差_2006年基础数据 3" xfId="554"/>
    <cellStyle name="Good 9" xfId="555"/>
    <cellStyle name="数量" xfId="556"/>
    <cellStyle name="好_00省级(打印) 4" xfId="557"/>
    <cellStyle name="好_奖励补助测算5.23新 7" xfId="558"/>
    <cellStyle name="强调文字颜色 4 9 2" xfId="559"/>
    <cellStyle name="适中 4 2" xfId="560"/>
    <cellStyle name="差_云南省2008年中小学教职工情况（教育厅提供20090101加工整理） 7" xfId="561"/>
    <cellStyle name="好_县级公安机关公用经费标准奖励测算方案（定稿）" xfId="562"/>
    <cellStyle name="差_03昭通 3" xfId="563"/>
    <cellStyle name="好_2008云南省分县市中小学教职工统计表（教育厅提供） 8" xfId="564"/>
    <cellStyle name="差_2009年一般性转移支付标准工资_地方配套按人均增幅控制8.31（调整结案率后）xl 2" xfId="565"/>
    <cellStyle name="好_2009年一般性转移支付标准工资_地方配套按人均增幅控制8.30xl" xfId="566"/>
    <cellStyle name="输出 8" xfId="567"/>
    <cellStyle name="好_530629_2006年县级财政报表附表 7" xfId="568"/>
    <cellStyle name="差_云南农村义务教育统计表" xfId="569"/>
    <cellStyle name="差_奖励补助测算5.23新 2" xfId="570"/>
    <cellStyle name="差 3 6" xfId="571"/>
    <cellStyle name="20% - Accent2 4" xfId="572"/>
    <cellStyle name="Accent5 6" xfId="573"/>
    <cellStyle name="40% - 强调文字颜色 5 3 2" xfId="574"/>
    <cellStyle name="好_不用软件计算9.1不考虑经费管理评价xl 3" xfId="575"/>
    <cellStyle name="Accent4 - 40% 4" xfId="576"/>
    <cellStyle name="Warning Text 7" xfId="577"/>
    <cellStyle name="好_0605石屏县 3" xfId="578"/>
    <cellStyle name="60% - 强调文字颜色 3 6" xfId="579"/>
    <cellStyle name="常规 2 5 6" xfId="580"/>
    <cellStyle name="40% - Accent2 7" xfId="581"/>
    <cellStyle name="差_2006年水利统计指标统计表 7" xfId="582"/>
    <cellStyle name="_Book1_2" xfId="583"/>
    <cellStyle name="差_云南农村义务教育统计表 9" xfId="584"/>
    <cellStyle name="好_~4190974 8" xfId="585"/>
    <cellStyle name="差_00省级(定稿) 3" xfId="586"/>
    <cellStyle name="差_2007年政法部门业务指标 5" xfId="587"/>
    <cellStyle name="差_Book1 7" xfId="588"/>
    <cellStyle name="60% - 强调文字颜色 4 10" xfId="589"/>
    <cellStyle name="常规 5 4" xfId="590"/>
    <cellStyle name="差_2009年一般性转移支付标准工资_奖励补助测算5.22测试 2" xfId="591"/>
    <cellStyle name="强调文字颜色 3 3 7" xfId="592"/>
    <cellStyle name="40% - 强调文字颜色 1 7 2" xfId="593"/>
    <cellStyle name="强调 1" xfId="594"/>
    <cellStyle name="差_奖励补助测算7.25 (version 1) (version 1) 5" xfId="595"/>
    <cellStyle name="差_00省级(打印) 7" xfId="596"/>
    <cellStyle name="好_云南省2008年中小学教职工情况（教育厅提供20090101加工整理） 7" xfId="597"/>
    <cellStyle name="Linked Cell 9" xfId="598"/>
    <cellStyle name="差_M03 3" xfId="599"/>
    <cellStyle name="标题 2 8" xfId="600"/>
    <cellStyle name="常规 5 2 9" xfId="601"/>
    <cellStyle name="标题 11 2" xfId="602"/>
    <cellStyle name="差_2009年一般性转移支付标准工资_~4190974 8" xfId="603"/>
    <cellStyle name="Neutral 3" xfId="604"/>
    <cellStyle name="适中 3 6" xfId="605"/>
    <cellStyle name="Output 6" xfId="606"/>
    <cellStyle name="好_2009年一般性转移支付标准工资_奖励补助测算5.23新 9" xfId="607"/>
    <cellStyle name="注释 3 6" xfId="608"/>
    <cellStyle name="好 5" xfId="609"/>
    <cellStyle name="60% - 强调文字颜色 4 3 4" xfId="610"/>
    <cellStyle name="40% - 强调文字颜色 5 10" xfId="611"/>
    <cellStyle name="40% - 强调文字颜色 3 4" xfId="612"/>
    <cellStyle name="好_M03 9" xfId="613"/>
    <cellStyle name="差_2009年一般性转移支付标准工资_奖励补助测算7.25 (version 1) (version 1) 5" xfId="614"/>
    <cellStyle name="差_00省级(定稿)" xfId="615"/>
    <cellStyle name="Heading 4 9" xfId="616"/>
    <cellStyle name="Accent2 2" xfId="617"/>
    <cellStyle name="标题 1 3 4" xfId="618"/>
    <cellStyle name="警告文本 4 2" xfId="619"/>
    <cellStyle name="Accent5 - 40% 4" xfId="620"/>
    <cellStyle name="链接单元格 5" xfId="621"/>
    <cellStyle name="标题 4 3 6" xfId="622"/>
    <cellStyle name="好_05玉溪 8" xfId="623"/>
    <cellStyle name="Accent6 - 40% 9" xfId="624"/>
    <cellStyle name="好_第五部分(才淼、饶永宏） 2" xfId="625"/>
    <cellStyle name="差_2009年一般性转移支付标准工资_~4190974 5" xfId="626"/>
    <cellStyle name="适中 3 3" xfId="627"/>
    <cellStyle name="Warning Text 2" xfId="628"/>
    <cellStyle name="好_~4190974 9" xfId="629"/>
    <cellStyle name="常规 8" xfId="630"/>
    <cellStyle name="好_卫生部门 7" xfId="631"/>
    <cellStyle name="差_2009年一般性转移支付标准工资_地方配套按人均增幅控制8.31（调整结案率后）xl 6" xfId="632"/>
    <cellStyle name="Accent1 - 20% 5" xfId="633"/>
    <cellStyle name="好_奖励补助测算5.23新 3" xfId="634"/>
    <cellStyle name="差_财政供养人员 7" xfId="635"/>
    <cellStyle name="差_2006年全省财力计算表（中央、决算） 8" xfId="636"/>
    <cellStyle name="好_Book2" xfId="637"/>
    <cellStyle name="Heading 1 8" xfId="638"/>
    <cellStyle name="好 6 2" xfId="639"/>
    <cellStyle name="链接单元格 10" xfId="640"/>
    <cellStyle name="常规_2010年2月投资月报" xfId="641"/>
    <cellStyle name="好_2007年检察院案件数" xfId="642"/>
    <cellStyle name="强调文字颜色 3 8" xfId="643"/>
    <cellStyle name="好_卫生部门 4" xfId="644"/>
    <cellStyle name="常规 5" xfId="645"/>
    <cellStyle name="常规 2 15" xfId="646"/>
    <cellStyle name="好_5334_2006年迪庆县级财政报表附表 3" xfId="647"/>
    <cellStyle name="Accent1 - 40% 5" xfId="648"/>
    <cellStyle name="计算 7" xfId="649"/>
    <cellStyle name="标题 7 2" xfId="650"/>
    <cellStyle name="差_指标四" xfId="651"/>
    <cellStyle name="差_530629_2006年县级财政报表附表 9" xfId="652"/>
    <cellStyle name="千位分隔 3 5" xfId="653"/>
    <cellStyle name="好_卫生部门 3" xfId="654"/>
    <cellStyle name="per.style" xfId="655"/>
    <cellStyle name="常规 4" xfId="656"/>
    <cellStyle name="常规 2 14" xfId="657"/>
    <cellStyle name="好_5334_2006年迪庆县级财政报表附表 2" xfId="658"/>
    <cellStyle name="好_业务工作量指标" xfId="659"/>
    <cellStyle name="Accent1 - 40% 4" xfId="660"/>
    <cellStyle name="强调文字颜色 3 7" xfId="661"/>
    <cellStyle name="好_Book2 9" xfId="662"/>
    <cellStyle name="40% - 强调文字颜色 1 3 6" xfId="663"/>
    <cellStyle name="20% - 强调文字颜色 6 3 5" xfId="664"/>
    <cellStyle name="强调文字颜色 6 3 3" xfId="665"/>
    <cellStyle name="好_奖励补助测算7.25 (version 1) (version 1) 4" xfId="666"/>
    <cellStyle name="好_汇总 5" xfId="667"/>
    <cellStyle name="好_1110洱源县 4" xfId="668"/>
    <cellStyle name="强调文字颜色 5 7" xfId="669"/>
    <cellStyle name="好_历年教师人数" xfId="670"/>
    <cellStyle name="千位分隔 2 8" xfId="671"/>
    <cellStyle name="Normal_!!!GO" xfId="672"/>
    <cellStyle name="Calculation 2" xfId="673"/>
    <cellStyle name="好_05玉溪 6" xfId="674"/>
    <cellStyle name="标题 4 3 4" xfId="675"/>
    <cellStyle name="常规 2 13" xfId="676"/>
    <cellStyle name="Accent1 - 40% 3" xfId="677"/>
    <cellStyle name="好_卫生部门 2" xfId="678"/>
    <cellStyle name="常规 3" xfId="679"/>
    <cellStyle name="常规 3 3" xfId="680"/>
    <cellStyle name="差_2006年在职人员情况" xfId="681"/>
    <cellStyle name="差_2009年一般性转移支付标准工资_地方配套按人均增幅控制8.30xl 4" xfId="682"/>
    <cellStyle name="常规 12" xfId="683"/>
    <cellStyle name="Accent5 - 60%" xfId="684"/>
    <cellStyle name="数字" xfId="685"/>
    <cellStyle name="小数 2" xfId="686"/>
    <cellStyle name="Accent5 - 40% 9" xfId="687"/>
    <cellStyle name="好_2009年一般性转移支付标准工资_奖励补助测算7.23 5" xfId="688"/>
    <cellStyle name="差_高中教师人数（教育厅1.6日提供） 2" xfId="689"/>
    <cellStyle name="强调文字颜色 4 3 4" xfId="690"/>
    <cellStyle name="标题 3 6 2" xfId="691"/>
    <cellStyle name="20% - 强调文字颜色 4 3 6" xfId="692"/>
    <cellStyle name="差_2006年基础数据 7" xfId="693"/>
    <cellStyle name="强调文字颜色 4 10" xfId="694"/>
    <cellStyle name="常规 11" xfId="695"/>
    <cellStyle name="差_财政供养人员" xfId="696"/>
    <cellStyle name="好_11大理 9" xfId="697"/>
    <cellStyle name="40% - Accent2 2" xfId="698"/>
    <cellStyle name="差_2006年水利统计指标统计表 2" xfId="699"/>
    <cellStyle name="百分比 2 6" xfId="700"/>
    <cellStyle name="差_1003牟定县" xfId="701"/>
    <cellStyle name="好_地方配套按人均增幅控制8.30xl 9" xfId="702"/>
    <cellStyle name="好_汇总" xfId="703"/>
    <cellStyle name="好_11大理 6" xfId="704"/>
    <cellStyle name="好_云南省2008年转移支付测算——州市本级考核部分及政策性测算 7" xfId="705"/>
    <cellStyle name="差_奖励补助测算7.23" xfId="706"/>
    <cellStyle name="60% - Accent2 9" xfId="707"/>
    <cellStyle name="常规 4 4" xfId="708"/>
    <cellStyle name="差_卫生部门 2" xfId="709"/>
    <cellStyle name="差_第五部分(才淼、饶永宏） 6" xfId="710"/>
    <cellStyle name="好_M01-2(州市补助收入) 3" xfId="711"/>
    <cellStyle name="百分比 2 3" xfId="712"/>
    <cellStyle name="标题 3 3" xfId="713"/>
    <cellStyle name="强调文字颜色 1 3 7" xfId="714"/>
    <cellStyle name="差_2009年一般性转移支付标准工资_奖励补助测算7.25 (version 1) (version 1) 4" xfId="715"/>
    <cellStyle name="Bad 8" xfId="716"/>
    <cellStyle name="Accent6 - 20% 2" xfId="717"/>
    <cellStyle name="40% - 强调文字颜色 1 2" xfId="718"/>
    <cellStyle name="60% - Accent5 7" xfId="719"/>
    <cellStyle name="Bad 2" xfId="720"/>
    <cellStyle name="好_2009年一般性转移支付标准工资_地方配套按人均增幅控制8.30xl 4" xfId="721"/>
    <cellStyle name="常规 2_Book1" xfId="722"/>
    <cellStyle name="好_2006年在职人员情况 4" xfId="723"/>
    <cellStyle name="链接单元格 3 2" xfId="724"/>
    <cellStyle name="差 4" xfId="725"/>
    <cellStyle name="常规 7 9" xfId="726"/>
    <cellStyle name="差_2009年一般性转移支付标准工资_奖励补助测算5.24冯铸 5" xfId="727"/>
    <cellStyle name="差_教育厅提供义务教育及高中教师人数（2009年1月6日） 6" xfId="728"/>
    <cellStyle name="强调文字颜色 4 5 2" xfId="729"/>
    <cellStyle name="好_2009年一般性转移支付标准工资_奖励补助测算7.25 3" xfId="730"/>
    <cellStyle name="好_2007年政法部门业务指标 5" xfId="731"/>
    <cellStyle name="Note 7" xfId="732"/>
    <cellStyle name="注释 7 2" xfId="733"/>
    <cellStyle name="好_M03" xfId="734"/>
    <cellStyle name="常规 3 3 2" xfId="735"/>
    <cellStyle name="差_2006年在职人员情况 2" xfId="736"/>
    <cellStyle name="差_1003牟定县 7" xfId="737"/>
    <cellStyle name="计算 3 3" xfId="738"/>
    <cellStyle name="标题 8 2" xfId="739"/>
    <cellStyle name="差_530629_2006年县级财政报表附表 5" xfId="740"/>
    <cellStyle name="好_530629_2006年县级财政报表附表 9" xfId="741"/>
    <cellStyle name="未定义" xfId="742"/>
    <cellStyle name="差_地方配套按人均增幅控制8.31（调整结案率后）xl 9" xfId="743"/>
    <cellStyle name="40% - 强调文字颜色 1 7" xfId="744"/>
    <cellStyle name="Accent6 - 20% 7" xfId="745"/>
    <cellStyle name="好_2009年一般性转移支付标准工资_奖励补助测算5.22测试 4" xfId="746"/>
    <cellStyle name="40% - 强调文字颜色 4 3 6" xfId="747"/>
    <cellStyle name="20% - 强调文字颜色 5 8" xfId="748"/>
    <cellStyle name="Accent5" xfId="749"/>
    <cellStyle name="好_2009年一般性转移支付标准工资_地方配套按人均增幅控制8.30一般预算平均增幅、人均可用财力平均增幅两次控制、社会治安系数调整、案件数调整xl" xfId="750"/>
    <cellStyle name="好_教育厅提供义务教育及高中教师人数（2009年1月6日） 9" xfId="751"/>
    <cellStyle name="汇总 3 2" xfId="752"/>
    <cellStyle name="好_基础数据分析 6" xfId="753"/>
    <cellStyle name="差_第五部分(才淼、饶永宏） 5" xfId="754"/>
    <cellStyle name="差_00省级(定稿) 9" xfId="755"/>
    <cellStyle name="常规 8 9" xfId="756"/>
    <cellStyle name="差_2009年一般性转移支付标准工资_~4190974 3" xfId="757"/>
    <cellStyle name="差_地方配套按人均增幅控制8.31（调整结案率后）xl 7" xfId="758"/>
    <cellStyle name="标题 3 7" xfId="759"/>
    <cellStyle name="差_地方配套按人均增幅控制8.30xl 9" xfId="760"/>
    <cellStyle name="好_奖励补助测算5.24冯铸 6" xfId="761"/>
    <cellStyle name="Accent3 - 20% 2" xfId="762"/>
    <cellStyle name="Currency1" xfId="763"/>
    <cellStyle name="常规 2 2 10" xfId="764"/>
    <cellStyle name="差_义务教育阶段教职工人数（教育厅提供最终） 2" xfId="765"/>
    <cellStyle name="好_2007年检察院案件数 3" xfId="766"/>
    <cellStyle name="常规 6 9" xfId="767"/>
    <cellStyle name="后继超链接 6" xfId="768"/>
    <cellStyle name="好_2009年一般性转移支付标准工资" xfId="769"/>
    <cellStyle name="Bad 6" xfId="770"/>
    <cellStyle name="差_2009年一般性转移支付标准工资_地方配套按人均增幅控制8.31（调整结案率后）xl 3" xfId="771"/>
    <cellStyle name="Accent1 - 20% 2" xfId="772"/>
    <cellStyle name="检查单元格 7 2" xfId="773"/>
    <cellStyle name="Accent6 - 40% 4" xfId="774"/>
    <cellStyle name="常规 3 3 4" xfId="775"/>
    <cellStyle name="差_2006年在职人员情况 4" xfId="776"/>
    <cellStyle name="Title" xfId="777"/>
    <cellStyle name="40% - Accent3 7" xfId="778"/>
    <cellStyle name="好_奖励补助测算5.24冯铸 2" xfId="779"/>
    <cellStyle name="差_地方配套按人均增幅控制8.30xl 5" xfId="780"/>
    <cellStyle name="差_卫生部门 3" xfId="781"/>
    <cellStyle name="常规 4 5" xfId="782"/>
    <cellStyle name="常规 5 2" xfId="783"/>
    <cellStyle name="60% - 强调文字颜色 1 9" xfId="784"/>
    <cellStyle name="常规 2 3 9" xfId="785"/>
    <cellStyle name="好_2009年一般性转移支付标准工资_奖励补助测算5.22测试 9" xfId="786"/>
    <cellStyle name="差_指标四 6" xfId="787"/>
    <cellStyle name="差_基础数据分析 5" xfId="788"/>
    <cellStyle name="常规 15 2" xfId="789"/>
    <cellStyle name="好_奖励补助测算7.25 3" xfId="790"/>
    <cellStyle name="Accent6 - 20% 5" xfId="791"/>
    <cellStyle name="40% - 强调文字颜色 1 5" xfId="792"/>
    <cellStyle name="强调文字颜色 5 8" xfId="793"/>
    <cellStyle name="好_教育厅提供义务教育及高中教师人数（2009年1月6日） 7" xfId="794"/>
    <cellStyle name="40% - Accent4 3" xfId="795"/>
    <cellStyle name="百分比 4 7" xfId="796"/>
    <cellStyle name="好_530629_2006年县级财政报表附表 3" xfId="797"/>
    <cellStyle name="好 3 7" xfId="798"/>
    <cellStyle name="常规 17 4" xfId="799"/>
    <cellStyle name="Good 4" xfId="800"/>
    <cellStyle name="好_5334_2006年迪庆县级财政报表附表 4" xfId="801"/>
    <cellStyle name="常规 2 16" xfId="802"/>
    <cellStyle name="Accent1 - 40% 6" xfId="803"/>
    <cellStyle name="40% - 强调文字颜色 6 6" xfId="804"/>
    <cellStyle name="注释 3 2" xfId="805"/>
    <cellStyle name="好_2009年一般性转移支付标准工资_奖励补助测算5.23新 5" xfId="806"/>
    <cellStyle name="60% - 强调文字颜色 5 3 2" xfId="807"/>
    <cellStyle name="好_业务工作量指标 4" xfId="808"/>
    <cellStyle name="Heading 4 3" xfId="809"/>
    <cellStyle name="解释性文本 3 3" xfId="810"/>
    <cellStyle name="解释性文本 3 4" xfId="811"/>
    <cellStyle name="适中 9 2" xfId="812"/>
    <cellStyle name="差_义务教育阶段教职工人数（教育厅提供最终） 4" xfId="813"/>
    <cellStyle name="百分比 5 2" xfId="814"/>
    <cellStyle name="好_1003牟定县 5" xfId="815"/>
    <cellStyle name="差_汇总-县级财政报表附表 2" xfId="816"/>
    <cellStyle name="差_不用软件计算9.1不考虑经费管理评价xl" xfId="817"/>
    <cellStyle name="差_00省级(打印)" xfId="818"/>
    <cellStyle name="60% - Accent4 4" xfId="819"/>
    <cellStyle name="40% - Accent2 8" xfId="820"/>
    <cellStyle name="差_2006年水利统计指标统计表 8" xfId="821"/>
    <cellStyle name="好_奖励补助测算5.22测试" xfId="822"/>
    <cellStyle name="好_Book1_1 5" xfId="823"/>
    <cellStyle name="好_县级公安机关公用经费标准奖励测算方案（定稿） 2" xfId="824"/>
    <cellStyle name="Accent1 9" xfId="825"/>
    <cellStyle name="Grey" xfId="826"/>
    <cellStyle name="差_地方配套按人均增幅控制8.30一般预算平均增幅、人均可用财力平均增幅两次控制、社会治安系数调整、案件数调整xl" xfId="827"/>
    <cellStyle name="20% - 强调文字颜色 4 4 2" xfId="828"/>
    <cellStyle name="差 7 2" xfId="829"/>
    <cellStyle name="差_基础数据分析 9" xfId="830"/>
    <cellStyle name="好_奖励补助测算7.25 7" xfId="831"/>
    <cellStyle name="好_基础数据分析 4" xfId="832"/>
    <cellStyle name="检查单元格 4 2" xfId="833"/>
    <cellStyle name="常规 2 3 5" xfId="834"/>
    <cellStyle name="60% - 强调文字颜色 1 5" xfId="835"/>
    <cellStyle name="检查单元格 3 4" xfId="836"/>
    <cellStyle name="好_0605石屏县 7" xfId="837"/>
    <cellStyle name="60% - 强调文字颜色 4 8 2" xfId="838"/>
    <cellStyle name="Accent1 - 40% 9" xfId="839"/>
    <cellStyle name="好_5334_2006年迪庆县级财政报表附表 7" xfId="840"/>
    <cellStyle name="差_2008云南省分县市中小学教职工统计表（教育厅提供） 2" xfId="841"/>
    <cellStyle name="好 3 2" xfId="842"/>
    <cellStyle name="Heading 2 6" xfId="843"/>
    <cellStyle name="ColLevel_0" xfId="844"/>
    <cellStyle name="输出 10" xfId="845"/>
    <cellStyle name="好_奖励补助测算7.25 (version 1) (version 1) 2" xfId="846"/>
    <cellStyle name="好_汇总 3" xfId="847"/>
    <cellStyle name="好_1110洱源县 2" xfId="848"/>
    <cellStyle name="20% - 强调文字颜色 2 6" xfId="849"/>
    <cellStyle name="Percent_!!!GO" xfId="850"/>
    <cellStyle name="差_指标四 7" xfId="851"/>
    <cellStyle name="强调文字颜色 6 2" xfId="852"/>
    <cellStyle name="差_2009年一般性转移支付标准工资_奖励补助测算7.25 7" xfId="853"/>
    <cellStyle name="差_2009年一般性转移支付标准工资_奖励补助测算7.25 (version 1) (version 1) 8" xfId="854"/>
    <cellStyle name="差_2009年一般性转移支付标准工资_奖励补助测算5.24冯铸" xfId="855"/>
    <cellStyle name="好_卫生部门 9" xfId="856"/>
    <cellStyle name="差_2009年一般性转移支付标准工资_地方配套按人均增幅控制8.31（调整结案率后）xl 8" xfId="857"/>
    <cellStyle name="Accent1 - 20% 7" xfId="858"/>
    <cellStyle name="好_00省级(定稿) 5" xfId="859"/>
    <cellStyle name="差_530629_2006年县级财政报表附表 2" xfId="860"/>
    <cellStyle name="差_城建部门" xfId="861"/>
    <cellStyle name="强调文字颜色 4 4 2" xfId="862"/>
    <cellStyle name="好_奖励补助测算5.23新" xfId="863"/>
    <cellStyle name="差_2009年一般性转移支付标准工资_奖励补助测算7.25 (version 1) (version 1) 2" xfId="864"/>
    <cellStyle name="差_2006年分析表" xfId="865"/>
    <cellStyle name="好_Book1_1 8" xfId="866"/>
    <cellStyle name="콤마_BOILER-CO1" xfId="867"/>
    <cellStyle name="40% - 强调文字颜色 4 5 2" xfId="868"/>
    <cellStyle name="标题 4 3" xfId="869"/>
    <cellStyle name="差_下半年禁吸戒毒经费1000万元 6" xfId="870"/>
    <cellStyle name="常规 17 2" xfId="871"/>
    <cellStyle name="好 3 5" xfId="872"/>
    <cellStyle name="分级显示列_1_Book1" xfId="873"/>
    <cellStyle name="强调文字颜色 6 3" xfId="874"/>
    <cellStyle name="归盒啦_95" xfId="875"/>
    <cellStyle name="差_2009年一般性转移支付标准工资_奖励补助测算7.25 8" xfId="876"/>
    <cellStyle name="输入 8 2" xfId="877"/>
    <cellStyle name="差_2009年一般性转移支付标准工资_不用软件计算9.1不考虑经费管理评价xl 2" xfId="878"/>
    <cellStyle name="好_2009年一般性转移支付标准工资 6" xfId="879"/>
    <cellStyle name="好_三季度－表二 2" xfId="880"/>
    <cellStyle name="差_县级公安机关公用经费标准奖励测算方案（定稿） 2" xfId="881"/>
    <cellStyle name="60% - 强调文字颜色 2 7 2" xfId="882"/>
    <cellStyle name="标题 1 3 3" xfId="883"/>
    <cellStyle name="40% - 强调文字颜色 4 10" xfId="884"/>
    <cellStyle name="差_财政供养人员 6" xfId="885"/>
    <cellStyle name="差_义务教育阶段教职工人数（教育厅提供最终） 7" xfId="886"/>
    <cellStyle name="Accent6 - 40% 3" xfId="887"/>
    <cellStyle name="好_2009年一般性转移支付标准工资_地方配套按人均增幅控制8.30xl 5" xfId="888"/>
    <cellStyle name="好_2006年在职人员情况 5" xfId="889"/>
    <cellStyle name="标题 4 8 2" xfId="890"/>
    <cellStyle name="?鹎%U龡&amp;H?_x0008__x001C__x001C_?_x0007__x0001__x0001_" xfId="891"/>
    <cellStyle name="t_HVAC Equipment (3)" xfId="892"/>
    <cellStyle name="差_指标五" xfId="893"/>
    <cellStyle name="输出 5" xfId="894"/>
    <cellStyle name="好_丽江汇总" xfId="895"/>
    <cellStyle name="强调文字颜色 4 5" xfId="896"/>
    <cellStyle name="标题 4 7 2" xfId="897"/>
    <cellStyle name="好_第五部分(才淼、饶永宏）" xfId="898"/>
    <cellStyle name="好_2009年一般性转移支付标准工资_不用软件计算9.1不考虑经费管理评价xl 8" xfId="899"/>
    <cellStyle name="Heading 4 5" xfId="900"/>
    <cellStyle name="60% - 强调文字颜色 5 3 4" xfId="901"/>
    <cellStyle name="好_业务工作量指标 6" xfId="902"/>
    <cellStyle name="差_Book1_1 4" xfId="903"/>
    <cellStyle name="好_奖励补助测算5.24冯铸 7" xfId="904"/>
    <cellStyle name="差_Book2 3" xfId="905"/>
    <cellStyle name="好_地方配套按人均增幅控制8.31（调整结案率后）xl 4" xfId="906"/>
    <cellStyle name="好_Book1 5" xfId="907"/>
    <cellStyle name="强调文字颜色 2 3" xfId="908"/>
    <cellStyle name="常规 5 3" xfId="909"/>
    <cellStyle name="差_云南农村义务教育统计表 4" xfId="910"/>
    <cellStyle name="好_~4190974 3" xfId="911"/>
    <cellStyle name="Accent2_公安安全支出补充表5.14" xfId="912"/>
    <cellStyle name="差_高中教师人数（教育厅1.6日提供） 4" xfId="913"/>
    <cellStyle name="好_2009年一般性转移支付标准工资_奖励补助测算7.23 7" xfId="914"/>
    <cellStyle name="强调文字颜色 4 3 6" xfId="915"/>
    <cellStyle name="差_2009年一般性转移支付标准工资_奖励补助测算7.25 (version 1) (version 1)" xfId="916"/>
    <cellStyle name="Check Cell 2" xfId="917"/>
    <cellStyle name="千位分隔 4 7" xfId="918"/>
    <cellStyle name="差_2009年一般性转移支付标准工资_奖励补助测算5.24冯铸 4" xfId="919"/>
    <cellStyle name="差_教育厅提供义务教育及高中教师人数（2009年1月6日） 5" xfId="920"/>
    <cellStyle name="差_2009年一般性转移支付标准工资_奖励补助测算7.23 2" xfId="921"/>
    <cellStyle name="输出 3 7" xfId="922"/>
    <cellStyle name="计算 4 2" xfId="923"/>
    <cellStyle name="差_0502通海县 9" xfId="924"/>
    <cellStyle name="60% - Accent5 4" xfId="925"/>
    <cellStyle name="好_2006年水利统计指标统计表 3" xfId="926"/>
    <cellStyle name="汇总 4" xfId="927"/>
    <cellStyle name="常规 8 2" xfId="928"/>
    <cellStyle name="常规 2 6 9" xfId="929"/>
    <cellStyle name="60% - 强调文字颜色 4 9" xfId="930"/>
    <cellStyle name="差 3" xfId="931"/>
    <cellStyle name="40% - 强调文字颜色 5 4" xfId="932"/>
    <cellStyle name="标题 6" xfId="933"/>
    <cellStyle name="好_2006年基础数据 6" xfId="934"/>
    <cellStyle name="差_奖励补助测算5.22测试 5" xfId="935"/>
    <cellStyle name="好_0605石屏县" xfId="936"/>
    <cellStyle name="40% - Accent1 8" xfId="937"/>
    <cellStyle name="40% - Accent4 5" xfId="938"/>
    <cellStyle name="百分比 4 9" xfId="939"/>
    <cellStyle name="好_530629_2006年县级财政报表附表 5" xfId="940"/>
    <cellStyle name="20% - Accent5 7" xfId="941"/>
    <cellStyle name="输入 3 2" xfId="942"/>
    <cellStyle name="20% - 强调文字颜色 1 5 2" xfId="943"/>
    <cellStyle name="好_M03 6" xfId="944"/>
    <cellStyle name="好_2008云南省分县市中小学教职工统计表（教育厅提供） 7" xfId="945"/>
    <cellStyle name="差_云南省2008年中小学教职工情况（教育厅提供20090101加工整理） 6" xfId="946"/>
    <cellStyle name="差_03昭通 2" xfId="947"/>
    <cellStyle name="好_05玉溪 4" xfId="948"/>
    <cellStyle name="标题 4 3 2" xfId="949"/>
    <cellStyle name="常规 2 3 3" xfId="950"/>
    <cellStyle name="60% - 强调文字颜色 1 3" xfId="951"/>
    <cellStyle name="好_2007年人员分部门统计表 3" xfId="952"/>
    <cellStyle name="好_00省级(打印)" xfId="953"/>
    <cellStyle name="20% - 强调文字颜色 4 9" xfId="954"/>
    <cellStyle name="Accent2 - 40%" xfId="955"/>
    <cellStyle name="Accent6 - 60% 8" xfId="956"/>
    <cellStyle name="差_2009年一般性转移支付标准工资_地方配套按人均增幅控制8.30一般预算平均增幅、人均可用财力平均增幅两次控制、社会治安系数调整、案件数调整xl 6" xfId="957"/>
    <cellStyle name="强调文字颜色 4 6 2" xfId="958"/>
    <cellStyle name="差_2、土地面积、人口、粮食产量基本情况 3" xfId="959"/>
    <cellStyle name="差_530629_2006年县级财政报表附表" xfId="960"/>
    <cellStyle name="好 7" xfId="961"/>
    <cellStyle name="好 6" xfId="962"/>
    <cellStyle name="好_2008云南省分县市中小学教职工统计表（教育厅提供） 9" xfId="963"/>
    <cellStyle name="百分比 7 2" xfId="964"/>
    <cellStyle name="检查单元格 9 2" xfId="965"/>
    <cellStyle name="小数 4" xfId="966"/>
    <cellStyle name="常规 2 7 7" xfId="967"/>
    <cellStyle name="60% - 强调文字颜色 5 7" xfId="968"/>
    <cellStyle name="差 8 2" xfId="969"/>
    <cellStyle name="差_00省级(打印) 3" xfId="970"/>
    <cellStyle name="好_基础数据分析 2" xfId="971"/>
    <cellStyle name="好_云南省2008年中小学教职工情况（教育厅提供20090101加工整理） 2" xfId="972"/>
    <cellStyle name="Linked Cell 4" xfId="973"/>
    <cellStyle name="好_2009年一般性转移支付标准工资_~5676413" xfId="974"/>
    <cellStyle name="20% - 强调文字颜色 2 3 5" xfId="975"/>
    <cellStyle name="强调文字颜色 2 3 3" xfId="976"/>
    <cellStyle name="差_2009年一般性转移支付标准工资 6" xfId="977"/>
    <cellStyle name="好_奖励补助测算5.22测试 8" xfId="978"/>
    <cellStyle name="好_地方配套按人均增幅控制8.30一般预算平均增幅、人均可用财力平均增幅两次控制、社会治安系数调整、案件数调整xl 8" xfId="979"/>
    <cellStyle name="检查单元格 6 2" xfId="980"/>
    <cellStyle name="20% - 强调文字颜色 3 3 6" xfId="981"/>
    <cellStyle name="好_高中教师人数（教育厅1.6日提供） 7" xfId="982"/>
    <cellStyle name="强调文字颜色 3 3 4" xfId="983"/>
    <cellStyle name="标题 2 6 2" xfId="984"/>
    <cellStyle name="常规 20" xfId="985"/>
    <cellStyle name="常规 15" xfId="986"/>
    <cellStyle name="千位分隔 2" xfId="987"/>
    <cellStyle name="Accent5 - 20% 9" xfId="988"/>
    <cellStyle name="解释性文本 9 2" xfId="989"/>
    <cellStyle name="差_财政供养人员 9" xfId="990"/>
    <cellStyle name="好_财政供养人员 4" xfId="991"/>
    <cellStyle name="注释 5" xfId="992"/>
    <cellStyle name="差_云南省2008年转移支付测算——州市本级考核部分及政策性测算 9" xfId="993"/>
    <cellStyle name="适中 8 2" xfId="994"/>
    <cellStyle name="_ET_STYLE_NoName_00__Book1_1" xfId="995"/>
    <cellStyle name="_0202" xfId="996"/>
    <cellStyle name="Accent1 - 60% 6" xfId="997"/>
    <cellStyle name="常规 2 8 9" xfId="998"/>
    <cellStyle name="60% - 强调文字颜色 6 9" xfId="999"/>
    <cellStyle name="Output 4" xfId="1000"/>
    <cellStyle name="40% - 强调文字颜色 3 3" xfId="1001"/>
    <cellStyle name="好_城建部门" xfId="1002"/>
    <cellStyle name="标题 5 9" xfId="1003"/>
    <cellStyle name="注释 2 2" xfId="1004"/>
    <cellStyle name="Accent3 - 20% 7" xfId="1005"/>
    <cellStyle name="差_县级公安机关公用经费标准奖励测算方案（定稿） 3" xfId="1006"/>
    <cellStyle name="好_2008年县级公安保障标准落实奖励经费分配测算" xfId="1007"/>
    <cellStyle name="Accent1 - 60% 5" xfId="1008"/>
    <cellStyle name="好_2009年一般性转移支付标准工资_~4190974 2" xfId="1009"/>
    <cellStyle name="解释性文本 6" xfId="1010"/>
    <cellStyle name="好_下半年禁吸戒毒经费1000万元 4" xfId="1011"/>
    <cellStyle name="60% - Accent3 9" xfId="1012"/>
    <cellStyle name="强调文字颜色 2 6" xfId="1013"/>
    <cellStyle name="好_Book1 8" xfId="1014"/>
    <cellStyle name="后继超链接 5" xfId="1015"/>
    <cellStyle name="Title 3" xfId="1016"/>
    <cellStyle name="40% - 强调文字颜色 2 8" xfId="1017"/>
    <cellStyle name="强调文字颜色 5 7 2" xfId="1018"/>
    <cellStyle name="差_奖励补助测算5.24冯铸" xfId="1019"/>
    <cellStyle name="40% - Accent5 6" xfId="1020"/>
    <cellStyle name="Accent2 - 40% 3" xfId="1021"/>
    <cellStyle name="好_05玉溪 7" xfId="1022"/>
    <cellStyle name="标题 4 3 5" xfId="1023"/>
    <cellStyle name="分级显示行_1_13区汇总" xfId="1024"/>
    <cellStyle name="好_~4190974 5" xfId="1025"/>
    <cellStyle name="差_云南农村义务教育统计表 6" xfId="1026"/>
    <cellStyle name="差_地方配套按人均增幅控制8.31（调整结案率后）xl 8" xfId="1027"/>
    <cellStyle name="Linked Cell 3" xfId="1028"/>
    <cellStyle name="差_云南省2008年转移支付测算——州市本级考核部分及政策性测算 7" xfId="1029"/>
    <cellStyle name="Standard_AREAS" xfId="1030"/>
    <cellStyle name="差 3 5" xfId="1031"/>
    <cellStyle name="好_2009年一般性转移支付标准工资_奖励补助测算7.25 (version 1) (version 1) 8" xfId="1032"/>
    <cellStyle name="千位[0]_ 方正PC" xfId="1033"/>
    <cellStyle name="常规 3 4" xfId="1034"/>
    <cellStyle name="40% - Accent5 3" xfId="1035"/>
    <cellStyle name="20% - 强调文字颜色 3 8 2" xfId="1036"/>
    <cellStyle name="常规 6 6" xfId="1037"/>
    <cellStyle name="差_2009年一般性转移支付标准工资_奖励补助测算5.23新 9" xfId="1038"/>
    <cellStyle name="差_2009年一般性转移支付标准工资_奖励补助测算7.25 6" xfId="1039"/>
    <cellStyle name="编号" xfId="1040"/>
    <cellStyle name="好_1003牟定县 2" xfId="1041"/>
    <cellStyle name="Input 5" xfId="1042"/>
    <cellStyle name="20% - 强调文字颜色 5 9 2" xfId="1043"/>
    <cellStyle name="百分比 3 3" xfId="1044"/>
    <cellStyle name="差_2009年一般性转移支付标准工资 8" xfId="1045"/>
    <cellStyle name="差_2006年在职人员情况 3" xfId="1046"/>
    <cellStyle name="常规 3 3 3" xfId="1047"/>
    <cellStyle name="差_奖励补助测算7.25 (version 1) (version 1) 2" xfId="1048"/>
    <cellStyle name="差_00省级(打印) 4" xfId="1049"/>
    <cellStyle name="_弱电系统设备配置报价清单" xfId="1050"/>
    <cellStyle name="Accent2 9" xfId="1051"/>
    <cellStyle name="40% - Accent3 5" xfId="1052"/>
    <cellStyle name="百分比 3 9" xfId="1053"/>
    <cellStyle name="差_地方配套按人均增幅控制8.30xl 3" xfId="1054"/>
    <cellStyle name="表标题 8" xfId="1055"/>
    <cellStyle name="常规 2 8 3" xfId="1056"/>
    <cellStyle name="60% - 强调文字颜色 6 3" xfId="1057"/>
    <cellStyle name="60% - 强调文字颜色 1 3 7" xfId="1058"/>
    <cellStyle name="40% - 强调文字颜色 6 3 6" xfId="1059"/>
    <cellStyle name="好_2008云南省分县市中小学教职工统计表（教育厅提供） 3" xfId="1060"/>
    <cellStyle name="强调文字颜色 1 9" xfId="1061"/>
    <cellStyle name="好_高中教师人数（教育厅1.6日提供） 2" xfId="1062"/>
    <cellStyle name="好_地方配套按人均增幅控制8.30xl 7" xfId="1063"/>
    <cellStyle name="好_地方配套按人均增幅控制8.31（调整结案率后）xl 8" xfId="1064"/>
    <cellStyle name="差_Book2 7" xfId="1065"/>
    <cellStyle name="好_汇总-县级财政报表附表 9" xfId="1066"/>
    <cellStyle name="差_1003牟定县 4" xfId="1067"/>
    <cellStyle name="百分比 6 2" xfId="1068"/>
    <cellStyle name="强调文字颜色 6 9" xfId="1069"/>
    <cellStyle name="常规 2 2_Book1" xfId="1070"/>
    <cellStyle name="差_11大理 2" xfId="1071"/>
    <cellStyle name="差_第五部分(才淼、饶永宏）" xfId="1072"/>
    <cellStyle name="差_奖励补助测算5.22测试 7" xfId="1073"/>
    <cellStyle name="差_2009年一般性转移支付标准工资_奖励补助测算7.25 4" xfId="1074"/>
    <cellStyle name="标题 3 8" xfId="1075"/>
    <cellStyle name="好_地方配套按人均增幅控制8.30一般预算平均增幅、人均可用财力平均增幅两次控制、社会治安系数调整、案件数调整xl 7" xfId="1076"/>
    <cellStyle name="20% - 强调文字颜色 3 3 5" xfId="1077"/>
    <cellStyle name="好_高中教师人数（教育厅1.6日提供） 6" xfId="1078"/>
    <cellStyle name="强调文字颜色 3 3 3" xfId="1079"/>
    <cellStyle name="常规 14" xfId="1080"/>
    <cellStyle name="好_05玉溪 3" xfId="1081"/>
    <cellStyle name="40% - 强调文字颜色 3 10" xfId="1082"/>
    <cellStyle name="汇总 3 6" xfId="1083"/>
    <cellStyle name="Accent1 - 20% 6" xfId="1084"/>
    <cellStyle name="差_2009年一般性转移支付标准工资_地方配套按人均增幅控制8.31（调整结案率后）xl 7" xfId="1085"/>
    <cellStyle name="差_奖励补助测算5.24冯铸 7" xfId="1086"/>
    <cellStyle name="强调文字颜色 5 3 4" xfId="1087"/>
    <cellStyle name="差_业务工作量指标 6" xfId="1088"/>
    <cellStyle name="20% - 强调文字颜色 5 3 6" xfId="1089"/>
    <cellStyle name="标题 4 6 2" xfId="1090"/>
    <cellStyle name="好_三季度－表二 5" xfId="1091"/>
    <cellStyle name="差_2009年一般性转移支付标准工资_不用软件计算9.1不考虑经费管理评价xl 5" xfId="1092"/>
    <cellStyle name="好_2009年一般性转移支付标准工资 9" xfId="1093"/>
    <cellStyle name="标题 1 5 2" xfId="1094"/>
    <cellStyle name="好_530629_2006年县级财政报表附表 4" xfId="1095"/>
    <cellStyle name="百分比 4 8" xfId="1096"/>
    <cellStyle name="40% - Accent4 4" xfId="1097"/>
    <cellStyle name="差_汇总 2" xfId="1098"/>
    <cellStyle name="60% - 强调文字颜色 4 5 2" xfId="1099"/>
    <cellStyle name="差_Book2 9" xfId="1100"/>
    <cellStyle name="好_2007年检察院案件数 8" xfId="1101"/>
    <cellStyle name="强调文字颜色 1 7" xfId="1102"/>
    <cellStyle name="标题 2 8 2" xfId="1103"/>
    <cellStyle name="好_5334_2006年迪庆县级财政报表附表 5" xfId="1104"/>
    <cellStyle name="Accent1 - 40% 7" xfId="1105"/>
    <cellStyle name="好_~4190974" xfId="1106"/>
    <cellStyle name="Accent1 - 60% 4" xfId="1107"/>
    <cellStyle name="Accent5 - 20% 8" xfId="1108"/>
    <cellStyle name="好_不用软件计算9.1不考虑经费管理评价xl" xfId="1109"/>
    <cellStyle name="百分比 4 6" xfId="1110"/>
    <cellStyle name="40% - Accent4 2" xfId="1111"/>
    <cellStyle name="警告文本 6" xfId="1112"/>
    <cellStyle name="千位分隔 3" xfId="1113"/>
    <cellStyle name="好_2006年在职人员情况 3" xfId="1114"/>
    <cellStyle name="好_2009年一般性转移支付标准工资_地方配套按人均增幅控制8.30xl 3" xfId="1115"/>
    <cellStyle name="差_2009年一般性转移支付标准工资_奖励补助测算5.23新 2" xfId="1116"/>
    <cellStyle name="好_2、土地面积、人口、粮食产量基本情况 5" xfId="1117"/>
    <cellStyle name="常规 2 4 6" xfId="1118"/>
    <cellStyle name="60% - 强调文字颜色 2 6" xfId="1119"/>
    <cellStyle name="Accent5 9" xfId="1120"/>
    <cellStyle name="40% - 强调文字颜色 5 3 5" xfId="1121"/>
    <cellStyle name="好_不用软件计算9.1不考虑经费管理评价xl 6" xfId="1122"/>
    <cellStyle name="Accent4 - 40% 7" xfId="1123"/>
    <cellStyle name="20% - Accent2 7" xfId="1124"/>
    <cellStyle name="好_05玉溪 2" xfId="1125"/>
    <cellStyle name="汇总 3 5" xfId="1126"/>
    <cellStyle name="Heading 3 2" xfId="1127"/>
    <cellStyle name="好_Book2 7" xfId="1128"/>
    <cellStyle name="强调文字颜色 3 5" xfId="1129"/>
    <cellStyle name="好_2007年检察院案件数 7" xfId="1130"/>
    <cellStyle name="差_2007年可用财力" xfId="1131"/>
    <cellStyle name="常规 6 5" xfId="1132"/>
    <cellStyle name="差_2009年一般性转移支付标准工资_奖励补助测算5.23新 8" xfId="1133"/>
    <cellStyle name="Accent6 - 40% 8" xfId="1134"/>
    <cellStyle name="强调文字颜色 5 4 2" xfId="1135"/>
    <cellStyle name="好_2009年一般性转移支付标准工资_不用软件计算9.1不考虑经费管理评价xl 6" xfId="1136"/>
    <cellStyle name="钎霖_4岿角利" xfId="1137"/>
    <cellStyle name="千位分隔 3 7" xfId="1138"/>
    <cellStyle name="标题 4 9" xfId="1139"/>
    <cellStyle name="60% - 强调文字颜色 6 3 7" xfId="1140"/>
    <cellStyle name="差_云南农村义务教育统计表 8" xfId="1141"/>
    <cellStyle name="好_~4190974 7" xfId="1142"/>
    <cellStyle name="差_530629_2006年县级财政报表附表 8" xfId="1143"/>
    <cellStyle name="Mon閠aire [0]_!!!GO" xfId="1144"/>
    <cellStyle name="好_11大理" xfId="1145"/>
    <cellStyle name="常规 39" xfId="1146"/>
    <cellStyle name="常规 44" xfId="1147"/>
    <cellStyle name="20% - Accent5" xfId="1148"/>
    <cellStyle name="差_2009年一般性转移支付标准工资_~5676413 9" xfId="1149"/>
    <cellStyle name="40% - 强调文字颜色 6 6 2" xfId="1150"/>
    <cellStyle name="常规_2011年1月月报" xfId="1151"/>
    <cellStyle name="好_00省级(打印) 6" xfId="1152"/>
    <cellStyle name="好_奖励补助测算5.23新 9" xfId="1153"/>
    <cellStyle name="好_2009年一般性转移支付标准工资_不用软件计算9.1不考虑经费管理评价xl 7" xfId="1154"/>
    <cellStyle name="Comma_!!!GO" xfId="1155"/>
    <cellStyle name="好_下半年禁吸戒毒经费1000万元 5" xfId="1156"/>
    <cellStyle name="args.style" xfId="1157"/>
    <cellStyle name="差_高中教师人数（教育厅1.6日提供） 8" xfId="1158"/>
    <cellStyle name="差_2007年人员分部门统计表 6" xfId="1159"/>
    <cellStyle name="强调文字颜色 1 3 5" xfId="1160"/>
    <cellStyle name="20% - 强调文字颜色 1 3 7" xfId="1161"/>
    <cellStyle name="差_业务工作量指标 9" xfId="1162"/>
    <cellStyle name="强调文字颜色 5 3 7" xfId="1163"/>
    <cellStyle name="Accent5 - 40% 6" xfId="1164"/>
    <cellStyle name="链接单元格 7" xfId="1165"/>
    <cellStyle name="好_云南省2008年中小学教职工情况（教育厅提供20090101加工整理）" xfId="1166"/>
    <cellStyle name="差_2009年一般性转移支付标准工资_地方配套按人均增幅控制8.30一般预算平均增幅、人均可用财力平均增幅两次控制、社会治安系数调整、案件数调整xl 7" xfId="1167"/>
    <cellStyle name="好_1110洱源县 8" xfId="1168"/>
    <cellStyle name="差_三季度－表二 2" xfId="1169"/>
    <cellStyle name="差_~5676413 2" xfId="1170"/>
    <cellStyle name="差_奖励补助测算5.24冯铸 4" xfId="1171"/>
    <cellStyle name="差_业务工作量指标 3" xfId="1172"/>
    <cellStyle name="20% - 强调文字颜色 5 3 3" xfId="1173"/>
    <cellStyle name="常规 31" xfId="1174"/>
    <cellStyle name="常规 26" xfId="1175"/>
    <cellStyle name="链接单元格 8" xfId="1176"/>
    <cellStyle name="Accent5 - 40% 7" xfId="1177"/>
    <cellStyle name="强调文字颜色 1 8" xfId="1178"/>
    <cellStyle name="好_奖励补助测算5.22测试 9" xfId="1179"/>
    <cellStyle name="差_2009年一般性转移支付标准工资 7" xfId="1180"/>
    <cellStyle name="差_530623_2006年县级财政报表附表 4" xfId="1181"/>
    <cellStyle name="千位分隔 4 2" xfId="1182"/>
    <cellStyle name="差 3 2" xfId="1183"/>
    <cellStyle name="差_云南省2008年转移支付测算——州市本级考核部分及政策性测算 4" xfId="1184"/>
    <cellStyle name="Heading 1 2" xfId="1185"/>
    <cellStyle name="好_云南省2008年中小学教职工情况（教育厅提供20090101加工整理） 9" xfId="1186"/>
    <cellStyle name="差_不用软件计算9.1不考虑经费管理评价xl 2" xfId="1187"/>
    <cellStyle name="差_~5676413 6" xfId="1188"/>
    <cellStyle name="40% - 强调文字颜色 3 3 3" xfId="1189"/>
    <cellStyle name="Accent4 - 20% 5" xfId="1190"/>
    <cellStyle name="差_三季度－表二 6" xfId="1191"/>
    <cellStyle name="好_00省级(打印) 7" xfId="1192"/>
    <cellStyle name="标题 5 4" xfId="1193"/>
    <cellStyle name="差_~4190974 6" xfId="1194"/>
    <cellStyle name="差_2、土地面积、人口、粮食产量基本情况 7" xfId="1195"/>
    <cellStyle name="输入 3 6" xfId="1196"/>
    <cellStyle name="差_~4190974 2" xfId="1197"/>
    <cellStyle name="好_教育厅提供义务教育及高中教师人数（2009年1月6日） 8" xfId="1198"/>
    <cellStyle name="强调文字颜色 5 9" xfId="1199"/>
    <cellStyle name="40% - 强调文字颜色 6 3 3" xfId="1200"/>
    <cellStyle name="60% - 强调文字颜色 1 3 4" xfId="1201"/>
    <cellStyle name="差_2007年检察院案件数 9" xfId="1202"/>
    <cellStyle name="强调文字颜色 3 9" xfId="1203"/>
    <cellStyle name="强调文字颜色 2 3 2" xfId="1204"/>
    <cellStyle name="20% - 强调文字颜色 2 3 4" xfId="1205"/>
    <cellStyle name="千位分隔 4 8" xfId="1206"/>
    <cellStyle name="20% - 强调文字颜色 2 4 2" xfId="1207"/>
    <cellStyle name="Accent1 - 60% 8" xfId="1208"/>
    <cellStyle name="常规 8 3" xfId="1209"/>
    <cellStyle name="好_高中教师人数（教育厅1.6日提供） 5" xfId="1210"/>
    <cellStyle name="强调文字颜色 3 3 2" xfId="1211"/>
    <cellStyle name="20% - 强调文字颜色 3 3 4" xfId="1212"/>
    <cellStyle name="标题1" xfId="1213"/>
    <cellStyle name="Output 7" xfId="1214"/>
    <cellStyle name="差_03昭通 8" xfId="1215"/>
    <cellStyle name="注释 6 2" xfId="1216"/>
    <cellStyle name="差_530623_2006年县级财政报表附表 9" xfId="1217"/>
    <cellStyle name="60% - 强调文字颜色 6 6 2" xfId="1218"/>
    <cellStyle name="差_2009年一般性转移支付标准工资" xfId="1219"/>
    <cellStyle name="20% - 强调文字颜色 6 5" xfId="1220"/>
    <cellStyle name="好_云南省2008年转移支付测算——州市本级考核部分及政策性测算 4" xfId="1221"/>
    <cellStyle name="好_2009年一般性转移支付标准工资_~4190974" xfId="1222"/>
    <cellStyle name="差_云南省2008年转移支付测算——州市本级考核部分及政策性测算 6" xfId="1223"/>
    <cellStyle name="20% - Accent3 6" xfId="1224"/>
    <cellStyle name="Accent6 8" xfId="1225"/>
    <cellStyle name="好_0502通海县 6" xfId="1226"/>
    <cellStyle name="常规 2 2 2 7" xfId="1227"/>
    <cellStyle name="20% - Accent1 8" xfId="1228"/>
    <cellStyle name="千位分隔 2 2 2" xfId="1229"/>
    <cellStyle name="差_奖励补助测算7.25 (version 1) (version 1) 8" xfId="1230"/>
    <cellStyle name="好_奖励补助测算7.23 4" xfId="1231"/>
    <cellStyle name="好_县级公安机关公用经费标准奖励测算方案（定稿） 8" xfId="1232"/>
    <cellStyle name="好_2006年水利统计指标统计表 7" xfId="1233"/>
    <cellStyle name="汇总 8" xfId="1234"/>
    <cellStyle name="常规 8 6" xfId="1235"/>
    <cellStyle name="好_云南省2008年转移支付测算——州市本级考核部分及政策性测算" xfId="1236"/>
    <cellStyle name="标题 1 6" xfId="1237"/>
    <cellStyle name="差_业务工作量指标 5" xfId="1238"/>
    <cellStyle name="差_奖励补助测算5.24冯铸 6" xfId="1239"/>
    <cellStyle name="20% - 强调文字颜色 5 3 5" xfId="1240"/>
    <cellStyle name="强调文字颜色 5 3 3" xfId="1241"/>
    <cellStyle name="差_2、土地面积、人口、粮食产量基本情况 6" xfId="1242"/>
    <cellStyle name="强调文字颜色 1 9 2" xfId="1243"/>
    <cellStyle name="常规 2 6 8" xfId="1244"/>
    <cellStyle name="60% - 强调文字颜色 4 8" xfId="1245"/>
    <cellStyle name="Header1" xfId="1246"/>
    <cellStyle name="好_Book1_1 2" xfId="1247"/>
    <cellStyle name="40% - Accent3 6" xfId="1248"/>
    <cellStyle name="差_地方配套按人均增幅控制8.30xl 4" xfId="1249"/>
    <cellStyle name="差_Book1_1 5" xfId="1250"/>
    <cellStyle name="常规_册子——贸易(2016年9月)" xfId="1251"/>
    <cellStyle name="解释性文本 6 2" xfId="1252"/>
    <cellStyle name="差_2007年人员分部门统计表" xfId="1253"/>
    <cellStyle name="好_奖励补助测算7.23 6" xfId="1254"/>
    <cellStyle name="千位分隔 2 2 4" xfId="1255"/>
    <cellStyle name="好 2" xfId="1256"/>
    <cellStyle name="输出 7" xfId="1257"/>
    <cellStyle name="适中 6" xfId="1258"/>
    <cellStyle name="好_2009年一般性转移支付标准工资_不用软件计算9.1不考虑经费管理评价xl 5" xfId="1259"/>
    <cellStyle name="千位分隔 2 2 6" xfId="1260"/>
    <cellStyle name="好_奖励补助测算7.23 8" xfId="1261"/>
    <cellStyle name="差_0502通海县" xfId="1262"/>
    <cellStyle name="差_2009年一般性转移支付标准工资_奖励补助测算7.23 6" xfId="1263"/>
    <cellStyle name="Accent6 - 60% 7" xfId="1264"/>
    <cellStyle name="差_2009年一般性转移支付标准工资_地方配套按人均增幅控制8.30一般预算平均增幅、人均可用财力平均增幅两次控制、社会治安系数调整、案件数调整xl 5" xfId="1265"/>
    <cellStyle name="60% - 强调文字颜色 3 8" xfId="1266"/>
    <cellStyle name="常规 2 5 8" xfId="1267"/>
    <cellStyle name="差_指标四 9" xfId="1268"/>
    <cellStyle name="差_地方配套按人均增幅控制8.30一般预算平均增幅、人均可用财力平均增幅两次控制、社会治安系数调整、案件数调整xl 3" xfId="1269"/>
    <cellStyle name="60% - 强调文字颜色 2 5 2" xfId="1270"/>
    <cellStyle name="差_不用软件计算9.1不考虑经费管理评价xl 9" xfId="1271"/>
    <cellStyle name="60% - 强调文字颜色 2 3 5" xfId="1272"/>
    <cellStyle name="t" xfId="1273"/>
    <cellStyle name="好_2006年全省财力计算表（中央、决算） 2" xfId="1274"/>
    <cellStyle name="Accent4 - 60% 6" xfId="1275"/>
    <cellStyle name="差_530629_2006年县级财政报表附表 4" xfId="1276"/>
    <cellStyle name="好_00省级(定稿) 7" xfId="1277"/>
    <cellStyle name="60% - 强调文字颜色 2 3" xfId="1278"/>
    <cellStyle name="好_2、土地面积、人口、粮食产量基本情况 2" xfId="1279"/>
    <cellStyle name="常规 2 4 3" xfId="1280"/>
    <cellStyle name="PSInt" xfId="1281"/>
    <cellStyle name="强调文字颜色 1 6" xfId="1282"/>
    <cellStyle name="Accent3 - 40%" xfId="1283"/>
    <cellStyle name="差_基础数据分析 8" xfId="1284"/>
    <cellStyle name="好_奖励补助测算7.25 6" xfId="1285"/>
    <cellStyle name="千位分隔 2 10" xfId="1286"/>
    <cellStyle name="好_530623_2006年县级财政报表附表 5" xfId="1287"/>
    <cellStyle name="常规 2 9" xfId="1288"/>
    <cellStyle name="差_530629_2006年县级财政报表附表 7" xfId="1289"/>
    <cellStyle name="好_云南省2008年中小学教职工情况（教育厅提供20090101加工整理） 8" xfId="1290"/>
    <cellStyle name="Input [yellow]" xfId="1291"/>
    <cellStyle name="差_2009年一般性转移支付标准工资_奖励补助测算5.23新 3" xfId="1292"/>
    <cellStyle name="常规 2 4 7" xfId="1293"/>
    <cellStyle name="好_2、土地面积、人口、粮食产量基本情况 6" xfId="1294"/>
    <cellStyle name="60% - 强调文字颜色 2 7" xfId="1295"/>
    <cellStyle name="解释性文本 5" xfId="1296"/>
    <cellStyle name="常规 13" xfId="1297"/>
    <cellStyle name="差_2006年基础数据 9" xfId="1298"/>
    <cellStyle name="好_2009年一般性转移支付标准工资_~5676413 2" xfId="1299"/>
    <cellStyle name="常规 3 2 4" xfId="1300"/>
    <cellStyle name="好 3" xfId="1301"/>
    <cellStyle name="好_2009年一般性转移支付标准工资_~5676413 9" xfId="1302"/>
    <cellStyle name="40% - 强调文字颜色 6 3 5" xfId="1303"/>
    <cellStyle name="60% - 强调文字颜色 1 3 6" xfId="1304"/>
    <cellStyle name="差_2006年全省财力计算表（中央、决算） 9" xfId="1305"/>
    <cellStyle name="好_0502通海县 7" xfId="1306"/>
    <cellStyle name="20% - Accent3 7" xfId="1307"/>
    <cellStyle name="Accent6 9" xfId="1308"/>
    <cellStyle name="计算 2" xfId="1309"/>
    <cellStyle name="差_地方配套按人均增幅控制8.31（调整结案率后）xl 3" xfId="1310"/>
    <cellStyle name="好_指标四 8" xfId="1311"/>
    <cellStyle name="60% - 强调文字颜色 4 5" xfId="1312"/>
    <cellStyle name="常规 2 6 5" xfId="1313"/>
    <cellStyle name="好_2009年一般性转移支付标准工资_~5676413 6" xfId="1314"/>
    <cellStyle name="0,0&#13;&#10;NA&#13;&#10;" xfId="1315"/>
    <cellStyle name="Accent3 - 60% 3" xfId="1316"/>
    <cellStyle name="差_1110洱源县 2" xfId="1317"/>
    <cellStyle name="常规 4 9" xfId="1318"/>
    <cellStyle name="差_卫生部门 7" xfId="1319"/>
    <cellStyle name="好_地方配套按人均增幅控制8.30一般预算平均增幅、人均可用财力平均增幅两次控制、社会治安系数调整、案件数调整xl 6" xfId="1320"/>
    <cellStyle name="强调文字颜色 1 2" xfId="1321"/>
    <cellStyle name="差 10" xfId="1322"/>
    <cellStyle name="强调文字颜色 6 4" xfId="1323"/>
    <cellStyle name="差_2009年一般性转移支付标准工资_奖励补助测算7.25 9" xfId="1324"/>
    <cellStyle name="强调文字颜色 3 9 2" xfId="1325"/>
    <cellStyle name="常规 7 8" xfId="1326"/>
    <cellStyle name="差_奖励补助测算7.25 2" xfId="1327"/>
    <cellStyle name="输出 3 3" xfId="1328"/>
    <cellStyle name="差_03昭通" xfId="1329"/>
    <cellStyle name="60% - Accent1 8" xfId="1330"/>
    <cellStyle name="40% - 强调文字颜色 4 3 4" xfId="1331"/>
    <cellStyle name="好_2009年一般性转移支付标准工资_奖励补助测算5.22测试 2" xfId="1332"/>
    <cellStyle name="40% - Accent5 2" xfId="1333"/>
    <cellStyle name="计算 5 2" xfId="1334"/>
    <cellStyle name="差_0502通海县 8" xfId="1335"/>
    <cellStyle name="60% - Accent5 3" xfId="1336"/>
    <cellStyle name="常规 2 7 2" xfId="1337"/>
    <cellStyle name="60% - 强调文字颜色 5 2" xfId="1338"/>
    <cellStyle name="标题 1 3 5" xfId="1339"/>
    <cellStyle name="好_Book1_1 6" xfId="1340"/>
    <cellStyle name="常规 7 3" xfId="1341"/>
    <cellStyle name="计算 8" xfId="1342"/>
    <cellStyle name="40% - Accent1 4" xfId="1343"/>
    <cellStyle name="差_2009年一般性转移支付标准工资_奖励补助测算5.22测试" xfId="1344"/>
    <cellStyle name="好_奖励补助测算7.23 9" xfId="1345"/>
    <cellStyle name="好_2009年一般性转移支付标准工资_奖励补助测算5.22测试 8" xfId="1346"/>
    <cellStyle name="差_指标四 5" xfId="1347"/>
    <cellStyle name="千位分隔 3 8" xfId="1348"/>
    <cellStyle name="差_2009年一般性转移支付标准工资_不用软件计算9.1不考虑经费管理评价xl 9" xfId="1349"/>
    <cellStyle name="好_三季度－表二 9" xfId="1350"/>
    <cellStyle name="Neutral 6" xfId="1351"/>
    <cellStyle name="40% - 强调文字颜色 4 7 2" xfId="1352"/>
    <cellStyle name="差_2009年一般性转移支付标准工资_地方配套按人均增幅控制8.30xl 6" xfId="1353"/>
    <cellStyle name="表标题 3" xfId="1354"/>
    <cellStyle name="差_地方配套按人均增幅控制8.30xl 2" xfId="1355"/>
    <cellStyle name="百分比 3 8" xfId="1356"/>
    <cellStyle name="40% - Accent3 4" xfId="1357"/>
    <cellStyle name="好_2009年一般性转移支付标准工资_奖励补助测算7.25 7" xfId="1358"/>
    <cellStyle name="标题 4 5" xfId="1359"/>
    <cellStyle name="差_下半年禁吸戒毒经费1000万元 8" xfId="1360"/>
    <cellStyle name="好_2006年基础数据 5" xfId="1361"/>
    <cellStyle name="标题 5" xfId="1362"/>
    <cellStyle name="Explanatory Text 7" xfId="1363"/>
    <cellStyle name="警告文本 7 2" xfId="1364"/>
    <cellStyle name="强调文字颜色 2 3 6" xfId="1365"/>
    <cellStyle name="差_教师绩效工资测算表（离退休按各地上报数测算）2009年1月1日" xfId="1366"/>
    <cellStyle name="常规_2012年3月月报_2015年8月月报" xfId="1367"/>
    <cellStyle name="差_530623_2006年县级财政报表附表 8" xfId="1368"/>
    <cellStyle name="差_2007年政法部门业务指标" xfId="1369"/>
    <cellStyle name="Linked Cells" xfId="1370"/>
    <cellStyle name="好_11大理 4" xfId="1371"/>
    <cellStyle name="Warning Text 9" xfId="1372"/>
    <cellStyle name="好_不用软件计算9.1不考虑经费管理评价xl 5" xfId="1373"/>
    <cellStyle name="Accent5 8" xfId="1374"/>
    <cellStyle name="40% - 强调文字颜色 5 3 4" xfId="1375"/>
    <cellStyle name="Accent4 - 40% 6" xfId="1376"/>
    <cellStyle name="20% - Accent2 6" xfId="1377"/>
    <cellStyle name="好_指标四 7" xfId="1378"/>
    <cellStyle name="Accent5_公安安全支出补充表5.14" xfId="1379"/>
    <cellStyle name="差_汇总 3" xfId="1380"/>
    <cellStyle name="警告文本 9" xfId="1381"/>
    <cellStyle name="60% - 强调文字颜色 6 10" xfId="1382"/>
    <cellStyle name="好_奖励补助测算5.22测试 7" xfId="1383"/>
    <cellStyle name="差_2009年一般性转移支付标准工资 5" xfId="1384"/>
    <cellStyle name="强调文字颜色 4 6" xfId="1385"/>
    <cellStyle name="Explanatory Text 3" xfId="1386"/>
    <cellStyle name="计算 8 2" xfId="1387"/>
    <cellStyle name="好_530629_2006年县级财政报表附表 2" xfId="1388"/>
    <cellStyle name="标题 3 6" xfId="1389"/>
    <cellStyle name="差_高中教师人数（教育厅1.6日提供）" xfId="1390"/>
    <cellStyle name="Accent3 - 60% 2" xfId="1391"/>
    <cellStyle name="差_卫生部门 6" xfId="1392"/>
    <cellStyle name="常规 4 8" xfId="1393"/>
    <cellStyle name="强调文字颜色 3 6 2" xfId="1394"/>
    <cellStyle name="好_地方配套按人均增幅控制8.30一般预算平均增幅、人均可用财力平均增幅两次控制、社会治安系数调整、案件数调整xl 5" xfId="1395"/>
    <cellStyle name="差_教育厅提供义务教育及高中教师人数（2009年1月6日） 7" xfId="1396"/>
    <cellStyle name="差_2009年一般性转移支付标准工资_奖励补助测算5.24冯铸 6" xfId="1397"/>
    <cellStyle name="Accent3 7" xfId="1398"/>
    <cellStyle name="好_地方配套按人均增幅控制8.30xl 3" xfId="1399"/>
    <cellStyle name="强调文字颜色 1 10" xfId="1400"/>
    <cellStyle name="差_奖励补助测算5.22测试 2" xfId="1401"/>
    <cellStyle name="表标题 2" xfId="1402"/>
    <cellStyle name="差_2009年一般性转移支付标准工资_地方配套按人均增幅控制8.30xl 5" xfId="1403"/>
    <cellStyle name="差_奖励补助测算5.24冯铸 2" xfId="1404"/>
    <cellStyle name="标题 1 7 2" xfId="1405"/>
    <cellStyle name="Explanatory Text 8" xfId="1406"/>
    <cellStyle name="差_三季度－表二 5" xfId="1407"/>
    <cellStyle name="40% - 强调文字颜色 3 3 2" xfId="1408"/>
    <cellStyle name="差_~5676413 5" xfId="1409"/>
    <cellStyle name="Accent4 - 20% 4" xfId="1410"/>
    <cellStyle name="差_基础数据分析 4" xfId="1411"/>
    <cellStyle name="好_奖励补助测算7.25 2" xfId="1412"/>
    <cellStyle name="差_不用软件计算9.1不考虑经费管理评价xl 7" xfId="1413"/>
    <cellStyle name="Input" xfId="1414"/>
    <cellStyle name="20% - Accent1 6" xfId="1415"/>
    <cellStyle name="常规 2 2 2 5" xfId="1416"/>
    <cellStyle name="Accent4 8" xfId="1417"/>
    <cellStyle name="Millares [0]_96 Risk" xfId="1418"/>
    <cellStyle name="计算 3 2" xfId="1419"/>
    <cellStyle name="差_1003牟定县 6" xfId="1420"/>
    <cellStyle name="百分比 4 5" xfId="1421"/>
    <cellStyle name="警告文本 5" xfId="1422"/>
    <cellStyle name="Accent5 - 20% 7" xfId="1423"/>
    <cellStyle name="好_Book1 2" xfId="1424"/>
    <cellStyle name="好_2009年一般性转移支付标准工资_奖励补助测算5.22测试 7" xfId="1425"/>
    <cellStyle name="差_指标四 4" xfId="1426"/>
    <cellStyle name="差_云南农村义务教育统计表 5" xfId="1427"/>
    <cellStyle name="60% - 强调文字颜色 5 6 2" xfId="1428"/>
    <cellStyle name="好_~4190974 4" xfId="1429"/>
    <cellStyle name="差_第一部分：综合全" xfId="1430"/>
    <cellStyle name="标题 4 6" xfId="1431"/>
    <cellStyle name="差_下半年禁吸戒毒经费1000万元 9" xfId="1432"/>
    <cellStyle name="好_教育厅提供义务教育及高中教师人数（2009年1月6日） 3" xfId="1433"/>
    <cellStyle name="20% - 强调文字颜色 6 7" xfId="1434"/>
    <cellStyle name="差_奖励补助测算5.23新 7" xfId="1435"/>
    <cellStyle name="强调文字颜色 5 4" xfId="1436"/>
    <cellStyle name="好_奖励补助测算7.23 2" xfId="1437"/>
    <cellStyle name="差_教育厅提供义务教育及高中教师人数（2009年1月6日） 8" xfId="1438"/>
    <cellStyle name="差_2009年一般性转移支付标准工资_奖励补助测算5.24冯铸 7" xfId="1439"/>
    <cellStyle name="Accent3 8" xfId="1440"/>
    <cellStyle name="差_2008年县级公安保障标准落实奖励经费分配测算" xfId="1441"/>
    <cellStyle name="好_义务教育阶段教职工人数（教育厅提供最终） 2" xfId="1442"/>
    <cellStyle name="60% - 强调文字颜色 1 7 2" xfId="1443"/>
    <cellStyle name="注释 2 3" xfId="1444"/>
    <cellStyle name="差_530629_2006年县级财政报表附表 3" xfId="1445"/>
    <cellStyle name="差_教育厅提供义务教育及高中教师人数（2009年1月6日）" xfId="1446"/>
    <cellStyle name="好_~5676413 2" xfId="1447"/>
    <cellStyle name="差_地方配套按人均增幅控制8.30一般预算平均增幅、人均可用财力平均增幅两次控制、社会治安系数调整、案件数调整xl 5" xfId="1448"/>
    <cellStyle name="标题 3 3 2" xfId="1449"/>
    <cellStyle name="差 3 4" xfId="1450"/>
    <cellStyle name="小数 9" xfId="1451"/>
    <cellStyle name="40% - 强调文字颜色 2 6" xfId="1452"/>
    <cellStyle name="标题 2 10" xfId="1453"/>
    <cellStyle name="标题 1 3 2" xfId="1454"/>
    <cellStyle name="好_县级公安机关公用经费标准奖励测算方案（定稿） 9" xfId="1455"/>
    <cellStyle name="常规 8 7" xfId="1456"/>
    <cellStyle name="好_云南农村义务教育统计表 5" xfId="1457"/>
    <cellStyle name="常规_202388153234812" xfId="1458"/>
    <cellStyle name="差_义务教育阶段教职工人数（教育厅提供最终） 5" xfId="1459"/>
    <cellStyle name="好_财政支出对上级的依赖程度" xfId="1460"/>
    <cellStyle name="好 4 2" xfId="1461"/>
    <cellStyle name="输入 9 2" xfId="1462"/>
    <cellStyle name="链接单元格 7 2" xfId="1463"/>
    <cellStyle name="检查单元格 3" xfId="1464"/>
    <cellStyle name="标题 2 3 5" xfId="1465"/>
    <cellStyle name="千位分隔 4 9" xfId="1466"/>
    <cellStyle name="差_2007年检察院案件数 6" xfId="1467"/>
    <cellStyle name="Explanatory Text 9" xfId="1468"/>
    <cellStyle name="差_奖励补助测算5.24冯铸 3" xfId="1469"/>
    <cellStyle name="差_业务工作量指标 2" xfId="1470"/>
    <cellStyle name="20% - 强调文字颜色 5 3 2" xfId="1471"/>
    <cellStyle name="常规 2 2 2 4" xfId="1472"/>
    <cellStyle name="Accent4 7" xfId="1473"/>
    <cellStyle name="20% - Accent1 5" xfId="1474"/>
    <cellStyle name="强调文字颜色 1 5" xfId="1475"/>
    <cellStyle name="好_地方配套按人均增幅控制8.30一般预算平均增幅、人均可用财力平均增幅两次控制、社会治安系数调整、案件数调整xl 9" xfId="1476"/>
    <cellStyle name="差_2007年检察院案件数 8" xfId="1477"/>
    <cellStyle name="60% - 强调文字颜色 6 3 4" xfId="1478"/>
    <cellStyle name="差_下半年禁吸戒毒经费1000万元 7" xfId="1479"/>
    <cellStyle name="标题 4 4" xfId="1480"/>
    <cellStyle name="Neutral 2" xfId="1481"/>
    <cellStyle name="差_2009年一般性转移支付标准工资_~4190974 7" xfId="1482"/>
    <cellStyle name="适中 3 5" xfId="1483"/>
    <cellStyle name="差_2009年一般性转移支付标准工资_奖励补助测算7.25" xfId="1484"/>
    <cellStyle name="好_奖励补助测算7.23 7" xfId="1485"/>
    <cellStyle name="千位分隔 2 2 5" xfId="1486"/>
    <cellStyle name="差_Book1 8" xfId="1487"/>
    <cellStyle name="强调文字颜色 6 10" xfId="1488"/>
    <cellStyle name="百分比 3 4" xfId="1489"/>
    <cellStyle name="差_奖励补助测算5.22测试" xfId="1490"/>
    <cellStyle name="好_Book1_1 7" xfId="1491"/>
    <cellStyle name="60% - 强调文字颜色 6 2" xfId="1492"/>
    <cellStyle name="常规 2 8 2" xfId="1493"/>
    <cellStyle name="常规 3 9" xfId="1494"/>
    <cellStyle name="寘嬫愗傝_Region Orders (2)" xfId="1495"/>
    <cellStyle name="60% - 强调文字颜色 6 6" xfId="1496"/>
    <cellStyle name="常规 2 8 6" xfId="1497"/>
    <cellStyle name="Accent4 - 40% 8" xfId="1498"/>
    <cellStyle name="好_不用软件计算9.1不考虑经费管理评价xl 7" xfId="1499"/>
    <cellStyle name="40% - 强调文字颜色 5 3 6" xfId="1500"/>
    <cellStyle name="20% - Accent2 8" xfId="1501"/>
    <cellStyle name="常规 2 2" xfId="1502"/>
    <cellStyle name="部门" xfId="1503"/>
    <cellStyle name="Check Cell 6" xfId="1504"/>
    <cellStyle name="20% - Accent5 9" xfId="1505"/>
    <cellStyle name="差 3 3" xfId="1506"/>
    <cellStyle name="差_0605石屏县" xfId="1507"/>
    <cellStyle name="Bad 5" xfId="1508"/>
    <cellStyle name="差_Book2" xfId="1509"/>
    <cellStyle name="差_地方配套按人均增幅控制8.31（调整结案率后）xl 2" xfId="1510"/>
    <cellStyle name="差_2009年一般性转移支付标准工资_奖励补助测算7.25 (version 1) (version 1) 9" xfId="1511"/>
    <cellStyle name="差_~5676413" xfId="1512"/>
    <cellStyle name="好_2006年分析表" xfId="1513"/>
    <cellStyle name="差_三季度－表二" xfId="1514"/>
    <cellStyle name="输入 3" xfId="1515"/>
    <cellStyle name="20% - 强调文字颜色 1 5" xfId="1516"/>
    <cellStyle name="好_1110洱源县 9" xfId="1517"/>
    <cellStyle name="差_~5676413 3" xfId="1518"/>
    <cellStyle name="Accent4 - 20% 2" xfId="1519"/>
    <cellStyle name="差_三季度－表二 3" xfId="1520"/>
    <cellStyle name="Accent1 - 40%" xfId="1521"/>
    <cellStyle name="强调文字颜色 5 10" xfId="1522"/>
    <cellStyle name="差_00省级(打印) 2" xfId="1523"/>
    <cellStyle name="常规_202247145845218" xfId="1524"/>
    <cellStyle name="20% - 强调文字颜色 5 2" xfId="1525"/>
    <cellStyle name="好_云南农村义务教育统计表 7" xfId="1526"/>
    <cellStyle name="差_~5676413 8" xfId="1527"/>
    <cellStyle name="Moneda_96 Risk" xfId="1528"/>
    <cellStyle name="40% - 强调文字颜色 3 3 5" xfId="1529"/>
    <cellStyle name="差_三季度－表二 8" xfId="1530"/>
    <cellStyle name="Accent4 - 20% 7" xfId="1531"/>
    <cellStyle name="标题 12" xfId="1532"/>
    <cellStyle name="好_基础数据分析 8" xfId="1533"/>
    <cellStyle name="强调 3" xfId="1534"/>
    <cellStyle name="差_2009年一般性转移支付标准工资_奖励补助测算7.25 3" xfId="1535"/>
    <cellStyle name="好_M01-2(州市补助收入) 4" xfId="1536"/>
    <cellStyle name="百分比 2 4" xfId="1537"/>
    <cellStyle name="常规 4 3" xfId="1538"/>
    <cellStyle name="差_第五部分(才淼、饶永宏） 7" xfId="1539"/>
    <cellStyle name="好_2009年一般性转移支付标准工资_奖励补助测算5.24冯铸 5" xfId="1540"/>
    <cellStyle name="60% - Accent3" xfId="1541"/>
    <cellStyle name="40% - 强调文字颜色 5 9" xfId="1542"/>
    <cellStyle name="60% - 强调文字颜色 1 8" xfId="1543"/>
    <cellStyle name="常规 2 3 8" xfId="1544"/>
    <cellStyle name="强调文字颜色 4 4" xfId="1545"/>
    <cellStyle name="差_2009年一般性转移支付标准工资_奖励补助测算7.23 9" xfId="1546"/>
    <cellStyle name="常规_Sheet1" xfId="1547"/>
    <cellStyle name="差_财政支出对上级的依赖程度" xfId="1548"/>
    <cellStyle name="Neutral 5" xfId="1549"/>
    <cellStyle name="差_2009年一般性转移支付标准工资_不用软件计算9.1不考虑经费管理评价xl 8" xfId="1550"/>
    <cellStyle name="好_三季度－表二 8" xfId="1551"/>
    <cellStyle name="汇总 5 2" xfId="1552"/>
    <cellStyle name="Check Cell" xfId="1553"/>
    <cellStyle name="好_指标四 9" xfId="1554"/>
    <cellStyle name="好_2009年一般性转移支付标准工资_奖励补助测算5.23新" xfId="1555"/>
    <cellStyle name="差_奖励补助测算5.22测试 3" xfId="1556"/>
    <cellStyle name="差 9 2" xfId="1557"/>
    <cellStyle name="Accent2 5" xfId="1558"/>
    <cellStyle name="差_2007年政法部门业务指标 2" xfId="1559"/>
    <cellStyle name="常规 5_Book1" xfId="1560"/>
    <cellStyle name="Accent1 3" xfId="1561"/>
    <cellStyle name="千位分隔[0] 2 7" xfId="1562"/>
    <cellStyle name="60% - 强调文字颜色 6 3 5" xfId="1563"/>
    <cellStyle name="标题 4 7" xfId="1564"/>
    <cellStyle name="Title 6" xfId="1565"/>
    <cellStyle name="Accent6 - 40% 7" xfId="1566"/>
    <cellStyle name="差_2006年水利统计指标统计表" xfId="1567"/>
    <cellStyle name="40% - Accent2" xfId="1568"/>
    <cellStyle name="链接单元格 6" xfId="1569"/>
    <cellStyle name="Accent5 - 40% 5" xfId="1570"/>
    <cellStyle name="输入 8" xfId="1571"/>
    <cellStyle name="差_县级公安机关公用经费标准奖励测算方案（定稿） 6" xfId="1572"/>
    <cellStyle name="Accent6 - 40% 2" xfId="1573"/>
    <cellStyle name="好_0605石屏县 4" xfId="1574"/>
    <cellStyle name="差_云南省2008年中小学教职工情况（教育厅提供20090101加工整理）" xfId="1575"/>
    <cellStyle name="好_2009年一般性转移支付标准工资_地方配套按人均增幅控制8.30一般预算平均增幅、人均可用财力平均增幅两次控制、社会治安系数调整、案件数调整xl 3" xfId="1576"/>
    <cellStyle name="表标题 6" xfId="1577"/>
    <cellStyle name="常规 2 5 5" xfId="1578"/>
    <cellStyle name="60% - 强调文字颜色 3 5" xfId="1579"/>
    <cellStyle name="40% - 强调文字颜色 5 6" xfId="1580"/>
    <cellStyle name="好_2009年一般性转移支付标准工资_奖励补助测算5.24冯铸 2" xfId="1581"/>
    <cellStyle name="好_2009年一般性转移支付标准工资_奖励补助测算7.25 (version 1) (version 1)" xfId="1582"/>
    <cellStyle name="好_03昭通 9" xfId="1583"/>
    <cellStyle name="好_2007年检察院案件数 5" xfId="1584"/>
    <cellStyle name="好_指标五" xfId="1585"/>
    <cellStyle name="60% - 强调文字颜色 2 9 2" xfId="1586"/>
    <cellStyle name="Accent6 - 60% 9" xfId="1587"/>
    <cellStyle name="千位分隔[0] 2 6" xfId="1588"/>
    <cellStyle name="Accent1 2" xfId="1589"/>
    <cellStyle name="Heading 3 9" xfId="1590"/>
    <cellStyle name="好_2009年一般性转移支付标准工资_~5676413 3" xfId="1591"/>
    <cellStyle name="20% - 强调文字颜色 3 7" xfId="1592"/>
    <cellStyle name="好_M01-2(州市补助收入) 6" xfId="1593"/>
    <cellStyle name="输出 5 2" xfId="1594"/>
    <cellStyle name="常规 2 12" xfId="1595"/>
    <cellStyle name="Accent1 - 40% 2" xfId="1596"/>
    <cellStyle name="差_2009年一般性转移支付标准工资_地方配套按人均增幅控制8.30一般预算平均增幅、人均可用财力平均增幅两次控制、社会治安系数调整、案件数调整xl 8" xfId="1597"/>
    <cellStyle name="Accent1 - 60% 3" xfId="1598"/>
    <cellStyle name="好_指标四 5" xfId="1599"/>
    <cellStyle name="20% - 强调文字颜色 6 10" xfId="1600"/>
    <cellStyle name="好_指标四 6" xfId="1601"/>
    <cellStyle name="好 9" xfId="1602"/>
    <cellStyle name="差_2、土地面积、人口、粮食产量基本情况 5" xfId="1603"/>
    <cellStyle name="标题 1 7" xfId="1604"/>
    <cellStyle name="差_奖励补助测算7.23 9" xfId="1605"/>
    <cellStyle name="差_财政供养人员 5" xfId="1606"/>
    <cellStyle name="标题 2 4 2" xfId="1607"/>
    <cellStyle name="汇总 3" xfId="1608"/>
    <cellStyle name="好_2006年水利统计指标统计表 2" xfId="1609"/>
    <cellStyle name="输入 3 3" xfId="1610"/>
    <cellStyle name="60% - Accent5 9" xfId="1611"/>
    <cellStyle name="Bad 4" xfId="1612"/>
    <cellStyle name="Currency_!!!GO" xfId="1613"/>
    <cellStyle name="Check Cell 3" xfId="1614"/>
    <cellStyle name="差_M03 4" xfId="1615"/>
    <cellStyle name="标题 2 9" xfId="1616"/>
    <cellStyle name="差_2、土地面积、人口、粮食产量基本情况 4" xfId="1617"/>
    <cellStyle name="好 8" xfId="1618"/>
    <cellStyle name="差 2" xfId="1619"/>
    <cellStyle name="60% - 强调文字颜色 6 3 3" xfId="1620"/>
    <cellStyle name="差_2007年检察院案件数 7" xfId="1621"/>
    <cellStyle name="输出 3 6" xfId="1622"/>
    <cellStyle name="检查单元格 5 2" xfId="1623"/>
    <cellStyle name="差_汇总 5" xfId="1624"/>
    <cellStyle name="表标题 9" xfId="1625"/>
    <cellStyle name="差_地方配套按人均增幅控制8.30xl 8" xfId="1626"/>
    <cellStyle name="好_奖励补助测算5.24冯铸 5" xfId="1627"/>
    <cellStyle name="20% - Accent2 3" xfId="1628"/>
    <cellStyle name="Warning Text 6" xfId="1629"/>
    <cellStyle name="Accent5 5" xfId="1630"/>
    <cellStyle name="好_不用软件计算9.1不考虑经费管理评价xl 2" xfId="1631"/>
    <cellStyle name="Accent4 - 40% 3" xfId="1632"/>
    <cellStyle name="好_0605石屏县 2" xfId="1633"/>
    <cellStyle name="百分比 5" xfId="1634"/>
    <cellStyle name="20% - 强调文字颜色 5 4" xfId="1635"/>
    <cellStyle name="好_云南农村义务教育统计表 9" xfId="1636"/>
    <cellStyle name="20% - Accent5 3" xfId="1637"/>
    <cellStyle name="好_奖励补助测算5.24冯铸 8" xfId="1638"/>
    <cellStyle name="Accent1 6" xfId="1639"/>
    <cellStyle name="60% - 强调文字颜色 5 3" xfId="1640"/>
    <cellStyle name="常规 2 7 3" xfId="1641"/>
    <cellStyle name="差_5334_2006年迪庆县级财政报表附表 2" xfId="1642"/>
    <cellStyle name="好_1110洱源县 7" xfId="1643"/>
    <cellStyle name="差_不用软件计算9.1不考虑经费管理评价xl 4" xfId="1644"/>
    <cellStyle name="常规 2 2 2 8" xfId="1645"/>
    <cellStyle name="20% - Accent1 9" xfId="1646"/>
    <cellStyle name="好_奖励补助测算5.24冯铸" xfId="1647"/>
    <cellStyle name="标题 1 3 7" xfId="1648"/>
    <cellStyle name="差_0502通海县 6" xfId="1649"/>
    <cellStyle name="40% - 强调文字颜色 4 5" xfId="1650"/>
    <cellStyle name="Note" xfId="1651"/>
    <cellStyle name="Accent3 9" xfId="1652"/>
    <cellStyle name="Accent4 - 60% 2" xfId="1653"/>
    <cellStyle name="差_5334_2006年迪庆县级财政报表附表 5" xfId="1654"/>
    <cellStyle name="好_基础数据分析 5" xfId="1655"/>
    <cellStyle name="差_第五部分(才淼、饶永宏） 9" xfId="1656"/>
    <cellStyle name="好_基础数据分析" xfId="1657"/>
    <cellStyle name="好 5 2" xfId="1658"/>
    <cellStyle name="差_汇总 7" xfId="1659"/>
    <cellStyle name="差_汇总 9" xfId="1660"/>
    <cellStyle name="常规 5 10" xfId="1661"/>
    <cellStyle name="好_第一部分：综合全" xfId="1662"/>
    <cellStyle name="后继超链接 2" xfId="1663"/>
    <cellStyle name="差_奖励补助测算5.22测试 4" xfId="1664"/>
    <cellStyle name="差_M03 5" xfId="1665"/>
    <cellStyle name="好_2009年一般性转移支付标准工资_地方配套按人均增幅控制8.30一般预算平均增幅、人均可用财力平均增幅两次控制、社会治安系数调整、案件数调整xl 2" xfId="1666"/>
    <cellStyle name="好_奖励补助测算7.25 9" xfId="1667"/>
    <cellStyle name="差_~4190974" xfId="1668"/>
    <cellStyle name="千位分隔 2 9" xfId="1669"/>
    <cellStyle name="Title 9" xfId="1670"/>
    <cellStyle name="汇总 2" xfId="1671"/>
    <cellStyle name="60% - 强调文字颜色 5 5 2" xfId="1672"/>
    <cellStyle name="差_地方配套按人均增幅控制8.31（调整结案率后）xl 6" xfId="1673"/>
    <cellStyle name="差_~4190974 9" xfId="1674"/>
    <cellStyle name="标题 5 7" xfId="1675"/>
    <cellStyle name="60% - 强调文字颜色 3 3 6" xfId="1676"/>
    <cellStyle name="20% - 强调文字颜色 2 7" xfId="1677"/>
    <cellStyle name="Accent2 - 60%" xfId="1678"/>
    <cellStyle name="好_2009年一般性转移支付标准工资_~4190974 8" xfId="1679"/>
    <cellStyle name="Accent3 - 60% 8" xfId="1680"/>
    <cellStyle name="差_1110洱源县 7" xfId="1681"/>
    <cellStyle name="强调文字颜色 6 8" xfId="1682"/>
    <cellStyle name="好_汇总-县级财政报表附表 8" xfId="1683"/>
    <cellStyle name="差_1003牟定县 3" xfId="1684"/>
    <cellStyle name="Accent5 - 20% 2" xfId="1685"/>
    <cellStyle name="差_03昭通 6" xfId="1686"/>
    <cellStyle name="60% - 强调文字颜色 5 9 2" xfId="1687"/>
    <cellStyle name="20% - 强调文字颜色 3 9" xfId="1688"/>
    <cellStyle name="Accent2 3" xfId="1689"/>
    <cellStyle name="Heading 2" xfId="1690"/>
    <cellStyle name="差_2007年人员分部门统计表 2" xfId="1691"/>
    <cellStyle name="Output 8" xfId="1692"/>
    <cellStyle name="链接单元格 5 2" xfId="1693"/>
    <cellStyle name="差_1003牟定县 5" xfId="1694"/>
    <cellStyle name="输出 9 2" xfId="1695"/>
    <cellStyle name="百分比 4 2" xfId="1696"/>
    <cellStyle name="好_2006年全省财力计算表（中央、决算） 9" xfId="1697"/>
    <cellStyle name="Accent5 - 20% 4" xfId="1698"/>
    <cellStyle name="常规 2 5" xfId="1699"/>
    <cellStyle name="60% - Accent2 4" xfId="1700"/>
    <cellStyle name="好_M01-2(州市补助收入) 7" xfId="1701"/>
    <cellStyle name="_计财部审批要件" xfId="1702"/>
    <cellStyle name="Accent2 - 20% 3" xfId="1703"/>
    <cellStyle name="Linked Cell 5" xfId="1704"/>
    <cellStyle name="好_云南省2008年中小学教职工情况（教育厅提供20090101加工整理） 3" xfId="1705"/>
    <cellStyle name="百分比 3 2" xfId="1706"/>
    <cellStyle name="输出 8 2" xfId="1707"/>
    <cellStyle name="콤마 [0]_BOILER-CO1" xfId="1708"/>
    <cellStyle name="常规 21" xfId="1709"/>
    <cellStyle name="常规 16" xfId="1710"/>
    <cellStyle name="Accent2 - 60% 9" xfId="1711"/>
    <cellStyle name="差_奖励补助测算7.25 3" xfId="1712"/>
    <cellStyle name="输出 3 4" xfId="1713"/>
    <cellStyle name="强调文字颜色 2 8 2" xfId="1714"/>
    <cellStyle name="差_2007年人员分部门统计表 7" xfId="1715"/>
    <cellStyle name="警告文本 2" xfId="1716"/>
    <cellStyle name="Check Cell 8" xfId="1717"/>
    <cellStyle name="强调文字颜色 3 4 2" xfId="1718"/>
    <cellStyle name="常规 2 8" xfId="1719"/>
    <cellStyle name="Check Cell 5" xfId="1720"/>
    <cellStyle name="注释 2 9" xfId="1721"/>
    <cellStyle name="强调文字颜色 6 8 2" xfId="1722"/>
    <cellStyle name="40% - 强调文字颜色 6 8 2" xfId="1723"/>
    <cellStyle name="标题 1 2" xfId="1724"/>
    <cellStyle name="好_2009年一般性转移支付标准工资 2" xfId="1725"/>
    <cellStyle name="Accent4" xfId="1726"/>
    <cellStyle name="20% - 强调文字颜色 5 7" xfId="1727"/>
    <cellStyle name="20% - Accent5 6" xfId="1728"/>
    <cellStyle name="Heading 3 3" xfId="1729"/>
    <cellStyle name="注释 2 7" xfId="1730"/>
    <cellStyle name="强调文字颜色 6 9 2" xfId="1731"/>
    <cellStyle name="好_2009年一般性转移支付标准工资_奖励补助测算7.23" xfId="1732"/>
    <cellStyle name="好_义务教育阶段教职工人数（教育厅提供最终） 9" xfId="1733"/>
    <cellStyle name="好_汇总-县级财政报表附表" xfId="1734"/>
    <cellStyle name="强调文字颜色 4 3 3" xfId="1735"/>
    <cellStyle name="好_2009年一般性转移支付标准工资_奖励补助测算7.23 4" xfId="1736"/>
    <cellStyle name="20% - 强调文字颜色 4 3 5" xfId="1737"/>
    <cellStyle name="差_530623_2006年县级财政报表附表 2" xfId="1738"/>
    <cellStyle name="好_地方配套按人均增幅控制8.30一般预算平均增幅、人均可用财力平均增幅两次控制、社会治安系数调整、案件数调整xl 3" xfId="1739"/>
    <cellStyle name="40% - 强调文字颜色 4 7" xfId="1740"/>
    <cellStyle name="Accent2 - 20% 8" xfId="1741"/>
    <cellStyle name="好_义务教育阶段教职工人数（教育厅提供最终） 5" xfId="1742"/>
    <cellStyle name="好_高中教师人数（教育厅1.6日提供） 3" xfId="1743"/>
    <cellStyle name="20% - 强调文字颜色 3 3 2" xfId="1744"/>
    <cellStyle name="Accent2 - 60% 4" xfId="1745"/>
    <cellStyle name="解释性文本 7 2" xfId="1746"/>
    <cellStyle name="好_~5676413 3" xfId="1747"/>
    <cellStyle name="差 4 2" xfId="1748"/>
    <cellStyle name="好_奖励补助测算7.23 5" xfId="1749"/>
    <cellStyle name="百分比 9" xfId="1750"/>
    <cellStyle name="千位分隔 2 2" xfId="1751"/>
    <cellStyle name="差_奖励补助测算7.25 6" xfId="1752"/>
    <cellStyle name="PSDec" xfId="1753"/>
    <cellStyle name="好_2009年一般性转移支付标准工资_地方配套按人均增幅控制8.30一般预算平均增幅、人均可用财力平均增幅两次控制、社会治安系数调整、案件数调整xl 6" xfId="1754"/>
    <cellStyle name="常规 2 3" xfId="1755"/>
    <cellStyle name="60% - Accent5 6" xfId="1756"/>
    <cellStyle name="好_检验表" xfId="1757"/>
    <cellStyle name="汇总 3 3" xfId="1758"/>
    <cellStyle name="差_11大理 4" xfId="1759"/>
    <cellStyle name="差_奖励补助测算5.22测试 9" xfId="1760"/>
    <cellStyle name="千位分隔[0] 2 9" xfId="1761"/>
    <cellStyle name="Accent1 5" xfId="1762"/>
    <cellStyle name="好_530623_2006年县级财政报表附表 6" xfId="1763"/>
    <cellStyle name="强调文字颜色 2 7 2" xfId="1764"/>
    <cellStyle name="40% - 强调文字颜色 6 3 4" xfId="1765"/>
    <cellStyle name="60% - 强调文字颜色 1 3 5" xfId="1766"/>
    <cellStyle name="Accent2 8" xfId="1767"/>
    <cellStyle name="强调文字颜色 6 6" xfId="1768"/>
    <cellStyle name="差_11大理 8" xfId="1769"/>
    <cellStyle name="Heading 2 5" xfId="1770"/>
    <cellStyle name="好_530629_2006年县级财政报表附表 8" xfId="1771"/>
    <cellStyle name="40% - Accent4 8" xfId="1772"/>
    <cellStyle name="解释性文本 3" xfId="1773"/>
    <cellStyle name="20% - 强调文字颜色 2 10" xfId="1774"/>
    <cellStyle name="差_2009年一般性转移支付标准工资_地方配套按人均增幅控制8.31（调整结案率后）xl" xfId="1775"/>
    <cellStyle name="常规 3 3 9" xfId="1776"/>
    <cellStyle name="差_2006年在职人员情况 9" xfId="1777"/>
    <cellStyle name="差_2009年一般性转移支付标准工资_奖励补助测算5.24冯铸 9" xfId="1778"/>
    <cellStyle name="60% - Accent4 9" xfId="1779"/>
    <cellStyle name="好_M03 5" xfId="1780"/>
    <cellStyle name="40% - 强调文字颜色 2 3 6" xfId="1781"/>
    <cellStyle name="40% - Accent6 4" xfId="1782"/>
    <cellStyle name="计算 3 6" xfId="1783"/>
    <cellStyle name="差_2008云南省分县市中小学教职工统计表（教育厅提供） 9" xfId="1784"/>
    <cellStyle name="千位分隔 4 4" xfId="1785"/>
    <cellStyle name="差_Book1 3" xfId="1786"/>
    <cellStyle name="差_M01-2(州市补助收入) 8" xfId="1787"/>
    <cellStyle name="好 3 3" xfId="1788"/>
    <cellStyle name="好_地方配套按人均增幅控制8.30一般预算平均增幅、人均可用财力平均增幅两次控制、社会治安系数调整、案件数调整xl 2" xfId="1789"/>
    <cellStyle name="强调文字颜色 1 7 2" xfId="1790"/>
    <cellStyle name="计算 3" xfId="1791"/>
    <cellStyle name="好_奖励补助测算7.25" xfId="1792"/>
    <cellStyle name="好_义务教育阶段教职工人数（教育厅提供最终）" xfId="1793"/>
    <cellStyle name="Heading 3 4" xfId="1794"/>
    <cellStyle name="好_下半年禁吸戒毒经费1000万元" xfId="1795"/>
    <cellStyle name="标题 5 8" xfId="1796"/>
    <cellStyle name="差_Book1 4" xfId="1797"/>
    <cellStyle name="好_Book1 3" xfId="1798"/>
    <cellStyle name="差_M01-2(州市补助收入) 9" xfId="1799"/>
    <cellStyle name="注释 8 2" xfId="1800"/>
    <cellStyle name="差_2009年一般性转移支付标准工资_~5676413" xfId="1801"/>
    <cellStyle name="sstot" xfId="1802"/>
    <cellStyle name="好_2009年一般性转移支付标准工资_地方配套按人均增幅控制8.31（调整结案率后）xl 9" xfId="1803"/>
    <cellStyle name="差_云南省2008年中小学教职工情况（教育厅提供20090101加工整理） 5" xfId="1804"/>
    <cellStyle name="好_1003牟定县 3" xfId="1805"/>
    <cellStyle name="强调文字颜色 3 10" xfId="1806"/>
    <cellStyle name="千位分隔 2 3" xfId="1807"/>
    <cellStyle name="40% - 强调文字颜色 2 4 2" xfId="1808"/>
    <cellStyle name="Accent2 4" xfId="1809"/>
    <cellStyle name="差_M01-2(州市补助收入)" xfId="1810"/>
    <cellStyle name="Heading 1 4" xfId="1811"/>
    <cellStyle name="40% - 强调文字颜色 4 3 2" xfId="1812"/>
    <cellStyle name="20% - 强调文字颜色 3 5" xfId="1813"/>
    <cellStyle name="标题 12 2" xfId="1814"/>
    <cellStyle name="好_00省级(打印) 8" xfId="1815"/>
    <cellStyle name="Accent2 - 40% 8" xfId="1816"/>
    <cellStyle name="Heading 2 3" xfId="1817"/>
    <cellStyle name="20% - 强调文字颜色 4 7" xfId="1818"/>
    <cellStyle name="差_11大理 6" xfId="1819"/>
    <cellStyle name="Accent1_公安安全支出补充表5.14" xfId="1820"/>
    <cellStyle name="好_云南省2008年中小学教职工情况（教育厅提供20090101加工整理） 4" xfId="1821"/>
    <cellStyle name="Linked Cell 6" xfId="1822"/>
    <cellStyle name="好_2007年人员分部门统计表 5" xfId="1823"/>
    <cellStyle name="差_M03 7" xfId="1824"/>
    <cellStyle name="20% - 强调文字颜色 6 6 2" xfId="1825"/>
    <cellStyle name="20% - Accent6 2" xfId="1826"/>
    <cellStyle name="40% - 强调文字颜色 4 3 3" xfId="1827"/>
    <cellStyle name="40% - 强调文字颜色 1 10" xfId="1828"/>
    <cellStyle name="Accent1" xfId="1829"/>
    <cellStyle name="后继超链接 4" xfId="1830"/>
    <cellStyle name="好_汇总 2" xfId="1831"/>
    <cellStyle name="千位分隔[0] 2 8" xfId="1832"/>
    <cellStyle name="Accent1 4" xfId="1833"/>
    <cellStyle name="Input 4" xfId="1834"/>
    <cellStyle name="_ET_STYLE_NoName_00__Book1" xfId="1835"/>
    <cellStyle name="Heading 4" xfId="1836"/>
    <cellStyle name="差_下半年禁吸戒毒经费1000万元 2" xfId="1837"/>
    <cellStyle name="标题 4 10" xfId="1838"/>
    <cellStyle name="Accent3 - 20% 5" xfId="1839"/>
    <cellStyle name="40% - 强调文字颜色 3 8 2" xfId="1840"/>
    <cellStyle name="常规_2000.07" xfId="1841"/>
    <cellStyle name="千位分隔 2 4" xfId="1842"/>
    <cellStyle name="60% - 强调文字颜色 3 3 2" xfId="1843"/>
    <cellStyle name="Warning Text 5" xfId="1844"/>
    <cellStyle name="Accent4 - 40% 2" xfId="1845"/>
    <cellStyle name="20% - Accent2 2" xfId="1846"/>
    <cellStyle name="Accent5 4" xfId="1847"/>
    <cellStyle name="Accent6 4" xfId="1848"/>
    <cellStyle name="好_0502通海县 2" xfId="1849"/>
    <cellStyle name="20% - Accent3 2" xfId="1850"/>
    <cellStyle name="60% - 强调文字颜色 3 4 2" xfId="1851"/>
    <cellStyle name="New Times Roman" xfId="1852"/>
    <cellStyle name="小数 3" xfId="1853"/>
    <cellStyle name="标题 2 7 2" xfId="1854"/>
    <cellStyle name="检查单元格 5" xfId="1855"/>
    <cellStyle name="标题 2 3 7" xfId="1856"/>
    <cellStyle name="数字 5" xfId="1857"/>
    <cellStyle name="Accent5 - 60% 5" xfId="1858"/>
    <cellStyle name="Calculation 7" xfId="1859"/>
    <cellStyle name="差_地方配套按人均增幅控制8.31（调整结案率后）xl 5" xfId="1860"/>
    <cellStyle name="差_2007年检察院案件数 4" xfId="1861"/>
    <cellStyle name="40% - 强调文字颜色 3 4 2" xfId="1862"/>
    <cellStyle name="差_县级公安机关公用经费标准奖励测算方案（定稿） 7" xfId="1863"/>
    <cellStyle name="注释 3 7" xfId="1864"/>
    <cellStyle name="Accent3 - 40% 6" xfId="1865"/>
    <cellStyle name="标题 6 2" xfId="1866"/>
    <cellStyle name="20% - Accent4 2" xfId="1867"/>
    <cellStyle name="20% - 强调文字颜色 4 3" xfId="1868"/>
    <cellStyle name="好_奖励补助测算7.25 8" xfId="1869"/>
    <cellStyle name="Accent5 - 20%" xfId="1870"/>
    <cellStyle name="60% - Accent6 4" xfId="1871"/>
    <cellStyle name="常规 3 3 5" xfId="1872"/>
    <cellStyle name="差_2006年在职人员情况 5" xfId="1873"/>
    <cellStyle name="Explanatory Text" xfId="1874"/>
    <cellStyle name="标题 3 7 2" xfId="1875"/>
    <cellStyle name="好_~5676413 6" xfId="1876"/>
    <cellStyle name="差_2007年检察院案件数 2" xfId="1877"/>
    <cellStyle name="60% - 强调文字颜色 6 4 2" xfId="1878"/>
    <cellStyle name="Output 9" xfId="1879"/>
    <cellStyle name="Accent1 - 60%" xfId="1880"/>
    <cellStyle name="好_地方配套按人均增幅控制8.31（调整结案率后）xl 3" xfId="1881"/>
    <cellStyle name="差_Book2 2" xfId="1882"/>
    <cellStyle name="差_2007年人员分部门统计表 3" xfId="1883"/>
    <cellStyle name="常规_农业生产情况" xfId="1884"/>
    <cellStyle name="输出 6 2" xfId="1885"/>
    <cellStyle name="60% - 强调文字颜色 3 3 3" xfId="1886"/>
    <cellStyle name="Accent2 - 60% 8" xfId="1887"/>
    <cellStyle name="解释性文本 3 6" xfId="1888"/>
    <cellStyle name="差_M01-2(州市补助收入) 3" xfId="1889"/>
    <cellStyle name="标题 5 6" xfId="1890"/>
    <cellStyle name="差_~4190974 8" xfId="1891"/>
    <cellStyle name="常规 7 7" xfId="1892"/>
    <cellStyle name="Accent6 - 40% 6" xfId="1893"/>
    <cellStyle name="检查单元格 3 5" xfId="1894"/>
    <cellStyle name="好_0605石屏县 8" xfId="1895"/>
    <cellStyle name="差_2007年政法部门业务指标 8" xfId="1896"/>
    <cellStyle name="差_00省级(定稿) 6" xfId="1897"/>
    <cellStyle name="差_第五部分(才淼、饶永宏） 2" xfId="1898"/>
    <cellStyle name="20% - 强调文字颜色 4 2" xfId="1899"/>
    <cellStyle name="好_第五部分(才淼、饶永宏） 6" xfId="1900"/>
    <cellStyle name="差_2009年一般性转移支付标准工资_~4190974 6" xfId="1901"/>
    <cellStyle name="适中 3 4" xfId="1902"/>
    <cellStyle name="20% - 强调文字颜色 1 3 3" xfId="1903"/>
    <cellStyle name="差_2009年一般性转移支付标准工资_~5676413 4" xfId="1904"/>
    <cellStyle name="常规 29" xfId="1905"/>
    <cellStyle name="常规 34" xfId="1906"/>
    <cellStyle name="PSHeading" xfId="1907"/>
    <cellStyle name="常规 5 7" xfId="1908"/>
    <cellStyle name="差_2009年一般性转移支付标准工资_奖励补助测算5.22测试 5" xfId="1909"/>
    <cellStyle name="60% - 强调文字颜色 6 8 2" xfId="1910"/>
    <cellStyle name="Accent1 - 60% 9" xfId="1911"/>
    <cellStyle name="标题 1 3" xfId="1912"/>
    <cellStyle name="40% - Accent3 2" xfId="1913"/>
    <cellStyle name="百分比 3 6" xfId="1914"/>
    <cellStyle name="好_11大理 7" xfId="1915"/>
    <cellStyle name="强调文字颜色 2 9 2" xfId="1916"/>
    <cellStyle name="好_530629_2006年县级财政报表附表" xfId="1917"/>
    <cellStyle name="Accent2 - 20% 4" xfId="1918"/>
    <cellStyle name="20% - 强调文字颜色 1 6 2" xfId="1919"/>
    <cellStyle name="输入 4 2" xfId="1920"/>
    <cellStyle name="_Book1" xfId="1921"/>
    <cellStyle name="20% - Accent4 6" xfId="1922"/>
    <cellStyle name="差_0605石屏县 2" xfId="1923"/>
    <cellStyle name="好_第五部分(才淼、饶永宏） 7" xfId="1924"/>
    <cellStyle name="标题 1 8 2" xfId="1925"/>
    <cellStyle name="常规 3 6" xfId="1926"/>
    <cellStyle name="20% - 强调文字颜色 3 5 2" xfId="1927"/>
    <cellStyle name="百分比 2 7" xfId="1928"/>
    <cellStyle name="差_2006年水利统计指标统计表 3" xfId="1929"/>
    <cellStyle name="40% - Accent2 3" xfId="1930"/>
    <cellStyle name="Accent5 2" xfId="1931"/>
    <cellStyle name="Warning Text 3" xfId="1932"/>
    <cellStyle name="60% - 强调文字颜色 3 10" xfId="1933"/>
    <cellStyle name="_Book1_1" xfId="1934"/>
    <cellStyle name="Comma [0]" xfId="1935"/>
    <cellStyle name="差_奖励补助测算7.25 4" xfId="1936"/>
    <cellStyle name="差_0605石屏县 5" xfId="1937"/>
    <cellStyle name="好_2009年一般性转移支付标准工资_地方配套按人均增幅控制8.31（调整结案率后）xl 4" xfId="1938"/>
    <cellStyle name="20% - Accent4 9" xfId="1939"/>
    <cellStyle name="差_11大理 9" xfId="1940"/>
    <cellStyle name="差_2009年一般性转移支付标准工资_地方配套按人均增幅控制8.30xl 7" xfId="1941"/>
    <cellStyle name="表标题 4" xfId="1942"/>
    <cellStyle name="40% - 强调文字颜色 4 9" xfId="1943"/>
    <cellStyle name="好_财政供养人员 9" xfId="1944"/>
    <cellStyle name="差_2008云南省分县市中小学教职工统计表（教育厅提供）" xfId="1945"/>
    <cellStyle name="常规 2 2 2 6" xfId="1946"/>
    <cellStyle name="20% - Accent1 7" xfId="1947"/>
    <cellStyle name="Accent4 9" xfId="1948"/>
    <cellStyle name="好_2009年一般性转移支付标准工资_~5676413 8" xfId="1949"/>
    <cellStyle name="百分比 7" xfId="1950"/>
    <cellStyle name="差_2006年全省财力计算表（中央、决算） 5" xfId="1951"/>
    <cellStyle name="40% - 强调文字颜色 6 5 2" xfId="1952"/>
    <cellStyle name="Check Cell 7" xfId="1953"/>
    <cellStyle name="好_2006年基础数据 9" xfId="1954"/>
    <cellStyle name="标题 9" xfId="1955"/>
    <cellStyle name="好_检验表（调整后）" xfId="1956"/>
    <cellStyle name="Good 5" xfId="1957"/>
    <cellStyle name="40% - 强调文字颜色 6 7" xfId="1958"/>
    <cellStyle name="差_5334_2006年迪庆县级财政报表附表" xfId="1959"/>
    <cellStyle name="好_2006年基础数据 7" xfId="1960"/>
    <cellStyle name="标题 7" xfId="1961"/>
    <cellStyle name="40% - 强调文字颜色 6 3 2" xfId="1962"/>
    <cellStyle name="60% - 强调文字颜色 1 3 3" xfId="1963"/>
    <cellStyle name="Accent2 6" xfId="1964"/>
    <cellStyle name="표준_0N-HANDLING " xfId="1965"/>
    <cellStyle name="60% - 强调文字颜色 3 3 5" xfId="1966"/>
    <cellStyle name="日期" xfId="1967"/>
    <cellStyle name="Accent3 - 20% 8" xfId="1968"/>
    <cellStyle name="汇总 7" xfId="1969"/>
    <cellStyle name="好_2006年水利统计指标统计表 6" xfId="1970"/>
    <cellStyle name="常规 8 5" xfId="1971"/>
    <cellStyle name="差_2009年一般性转移支付标准工资_奖励补助测算7.25 (version 1) (version 1) 6" xfId="1972"/>
    <cellStyle name="差_03昭通 9" xfId="1973"/>
    <cellStyle name="差_2008云南省分县市中小学教职工统计表（教育厅提供） 5" xfId="1974"/>
    <cellStyle name="强调文字颜色 4 8" xfId="1975"/>
    <cellStyle name="适中 3" xfId="1976"/>
    <cellStyle name="好_2009年一般性转移支付标准工资_不用软件计算9.1不考虑经费管理评价xl 2" xfId="1977"/>
    <cellStyle name="标题 2 3 3" xfId="1978"/>
    <cellStyle name="60% - 强调文字颜色 3 7 2" xfId="1979"/>
    <cellStyle name="差_奖励补助测算7.25 8" xfId="1980"/>
    <cellStyle name="Accent2 - 20% 5" xfId="1981"/>
    <cellStyle name="60% - 强调文字颜色 4 3 3" xfId="1982"/>
    <cellStyle name="_ET_STYLE_NoName_00_" xfId="1983"/>
    <cellStyle name="Accent2 7" xfId="1984"/>
    <cellStyle name="Output 5" xfId="1985"/>
    <cellStyle name="60% - Accent4 5" xfId="1986"/>
    <cellStyle name="Accent2 - 20% 6" xfId="1987"/>
    <cellStyle name="警告文本 5 2" xfId="1988"/>
    <cellStyle name="Input 3" xfId="1989"/>
    <cellStyle name="差_2、土地面积、人口、粮食产量基本情况" xfId="1990"/>
    <cellStyle name="差_M03 9" xfId="1991"/>
    <cellStyle name="强调文字颜色 6 6 2" xfId="1992"/>
    <cellStyle name="Accent2 - 60% 6" xfId="1993"/>
    <cellStyle name="差_00省级(打印) 5" xfId="1994"/>
    <cellStyle name="差_奖励补助测算7.25 (version 1) (version 1) 3" xfId="1995"/>
    <cellStyle name="差_2009年一般性转移支付标准工资 9" xfId="1996"/>
    <cellStyle name="差_2006年基础数据 8" xfId="1997"/>
    <cellStyle name="Accent2 - 60% 5" xfId="1998"/>
    <cellStyle name="40% - 强调文字颜色 2 3 3" xfId="1999"/>
    <cellStyle name="40% - 强调文字颜色 3 5 2" xfId="2000"/>
    <cellStyle name="好_云南省2008年转移支付测算——州市本级考核部分及政策性测算 3" xfId="2001"/>
    <cellStyle name="适中 8" xfId="2002"/>
    <cellStyle name="百分比 4" xfId="2003"/>
    <cellStyle name="标题 2 5 2" xfId="2004"/>
    <cellStyle name="输出 9" xfId="2005"/>
    <cellStyle name="20% - 强调文字颜色 4 8" xfId="2006"/>
    <cellStyle name="Accent3 2" xfId="2007"/>
    <cellStyle name="差_第五部分(才淼、饶永宏） 8" xfId="2008"/>
    <cellStyle name="差_高中教师人数（教育厅1.6日提供） 6" xfId="2009"/>
    <cellStyle name="好_2009年一般性转移支付标准工资_奖励补助测算7.23 9" xfId="2010"/>
    <cellStyle name="百分比 10 2" xfId="2011"/>
    <cellStyle name="40% - Accent4 7" xfId="2012"/>
    <cellStyle name="Accent1 7" xfId="2013"/>
    <cellStyle name="好_奖励补助测算5.24冯铸 9" xfId="2014"/>
    <cellStyle name="40% - 强调文字颜色 4 8 2" xfId="2015"/>
    <cellStyle name="百分比 3 5" xfId="2016"/>
    <cellStyle name="差_11大理" xfId="2017"/>
    <cellStyle name="差 3 7" xfId="2018"/>
    <cellStyle name="差_奖励补助测算5.23新 3" xfId="2019"/>
    <cellStyle name="好_05玉溪" xfId="2020"/>
    <cellStyle name="好_2009年一般性转移支付标准工资 3" xfId="2021"/>
    <cellStyle name="60% - 强调文字颜色 4 4" xfId="2022"/>
    <cellStyle name="常规 2 6 4" xfId="2023"/>
    <cellStyle name="40% - 强调文字颜色 6 10" xfId="2024"/>
    <cellStyle name="好 3 4" xfId="2025"/>
    <cellStyle name="警告文本 3 5" xfId="2026"/>
    <cellStyle name="差_下半年禁吸戒毒经费1000万元 4" xfId="2027"/>
    <cellStyle name="40% - 强调文字颜色 4 6 2" xfId="2028"/>
    <cellStyle name="好_2009年一般性转移支付标准工资_~4190974 7" xfId="2029"/>
    <cellStyle name="6mal" xfId="2030"/>
    <cellStyle name="20% - 强调文字颜色 4 6" xfId="2031"/>
    <cellStyle name="Input 6" xfId="2032"/>
    <cellStyle name="40% - 强调文字颜色 2 2" xfId="2033"/>
    <cellStyle name="60% - 强调文字颜色 5 8" xfId="2034"/>
    <cellStyle name="常规 2 7 8" xfId="2035"/>
    <cellStyle name="小数 5" xfId="2036"/>
    <cellStyle name="千位分隔 2 2 8" xfId="2037"/>
    <cellStyle name="好_M01-2(州市补助收入) 2" xfId="2038"/>
    <cellStyle name="输出 7 2" xfId="2039"/>
    <cellStyle name="百分比 2 2" xfId="2040"/>
    <cellStyle name="好_奖励补助测算5.23新 2" xfId="2041"/>
    <cellStyle name="差_奖励补助测算5.23新 9" xfId="2042"/>
    <cellStyle name="强调文字颜色 5 6" xfId="2043"/>
    <cellStyle name="输出 2" xfId="2044"/>
    <cellStyle name="常规 2 10" xfId="2045"/>
    <cellStyle name="好_奖励补助测算7.25 (version 1) (version 1) 9" xfId="2046"/>
    <cellStyle name="Explanatory Text 6" xfId="2047"/>
    <cellStyle name="Accent4 3" xfId="2048"/>
    <cellStyle name="20% - 强调文字颜色 5 9" xfId="2049"/>
    <cellStyle name="20% - 强调文字颜色 2 3" xfId="2050"/>
    <cellStyle name="40% - Accent3" xfId="2051"/>
    <cellStyle name="Heading 1 7" xfId="2052"/>
    <cellStyle name="好_Book1" xfId="2053"/>
    <cellStyle name="20% - 强调文字颜色 2 7 2" xfId="2054"/>
    <cellStyle name="差_M03" xfId="2055"/>
    <cellStyle name="差_汇总-县级财政报表附表 7" xfId="2056"/>
    <cellStyle name="60% - Accent3 6" xfId="2057"/>
    <cellStyle name="Accent1 - 20% 9" xfId="2058"/>
    <cellStyle name="60% - 强调文字颜色 2 8 2" xfId="2059"/>
    <cellStyle name="好_地方配套按人均增幅控制8.30xl 5" xfId="2060"/>
    <cellStyle name="好_云南农村义务教育统计表 6" xfId="2061"/>
    <cellStyle name="好_汇总 8" xfId="2062"/>
    <cellStyle name="好_奖励补助测算7.25 (version 1) (version 1) 7" xfId="2063"/>
    <cellStyle name="好_文体广播部门" xfId="2064"/>
    <cellStyle name="Explanatory Text 4" xfId="2065"/>
    <cellStyle name="好_2006年全省财力计算表（中央、决算） 5" xfId="2066"/>
    <cellStyle name="Accent4 - 60% 9" xfId="2067"/>
    <cellStyle name="60% - Accent2 5" xfId="2068"/>
    <cellStyle name="40% - Accent5" xfId="2069"/>
    <cellStyle name="Accent5 - 60% 3" xfId="2070"/>
    <cellStyle name="数字 3" xfId="2071"/>
    <cellStyle name="Calculation 5" xfId="2072"/>
    <cellStyle name="好_三季度－表二 6" xfId="2073"/>
    <cellStyle name="差_2009年一般性转移支付标准工资_不用软件计算9.1不考虑经费管理评价xl 6" xfId="2074"/>
    <cellStyle name="20% - Accent5 8" xfId="2075"/>
    <cellStyle name="20% - 强调文字颜色 2 8" xfId="2076"/>
    <cellStyle name="20% - 强调文字颜色 2 9" xfId="2077"/>
    <cellStyle name="60% - 强调文字颜色 3 2" xfId="2078"/>
    <cellStyle name="常规 2 5 2" xfId="2079"/>
    <cellStyle name="60% - Accent6 8" xfId="2080"/>
    <cellStyle name="差_2009年一般性转移支付标准工资_奖励补助测算5.24冯铸 8" xfId="2081"/>
    <cellStyle name="差_教育厅提供义务教育及高中教师人数（2009年1月6日） 9" xfId="2082"/>
    <cellStyle name="好_义务教育阶段教职工人数（教育厅提供最终） 3" xfId="2083"/>
    <cellStyle name="好_530623_2006年县级财政报表附表 3" xfId="2084"/>
    <cellStyle name="寘嬫愗傝 [0.00]_Region Orders (2)" xfId="2085"/>
    <cellStyle name="差_云南省2008年转移支付测算——州市本级考核部分及政策性测算 5" xfId="2086"/>
    <cellStyle name="常规 2 5 4" xfId="2087"/>
    <cellStyle name="60% - 强调文字颜色 3 4" xfId="2088"/>
    <cellStyle name="20% - 强调文字颜色 6 3" xfId="2089"/>
    <cellStyle name="好_530623_2006年县级财政报表附表 7" xfId="2090"/>
    <cellStyle name="20% - 强调文字颜色 4 3 2" xfId="2091"/>
    <cellStyle name="40% - 强调文字颜色 6 3 7" xfId="2092"/>
    <cellStyle name="Accent6 - 20%" xfId="2093"/>
    <cellStyle name="差_2006年全省财力计算表（中央、决算） 4" xfId="2094"/>
    <cellStyle name="Title 5" xfId="2095"/>
    <cellStyle name="后继超链接 7" xfId="2096"/>
    <cellStyle name="20% - Accent4 8" xfId="2097"/>
    <cellStyle name="差_0605石屏县 4" xfId="2098"/>
    <cellStyle name="好_2009年一般性转移支付标准工资_地方配套按人均增幅控制8.31（调整结案率后）xl 3" xfId="2099"/>
    <cellStyle name="Accent6 - 20% 9" xfId="2100"/>
    <cellStyle name="40% - 强调文字颜色 1 9" xfId="2101"/>
    <cellStyle name="差_奖励补助测算7.23 3" xfId="2102"/>
    <cellStyle name="20% - 强调文字颜色 4 6 2" xfId="2103"/>
    <cellStyle name="差_2008云南省分县市中小学教职工统计表（教育厅提供） 7" xfId="2104"/>
    <cellStyle name="Accent3 - 20% 9" xfId="2105"/>
    <cellStyle name="Good 6" xfId="2106"/>
    <cellStyle name="差_汇总 6" xfId="2107"/>
    <cellStyle name="20% - 强调文字颜色 1 3 2" xfId="2108"/>
    <cellStyle name="常规_2001-2002年报表制度" xfId="2109"/>
    <cellStyle name="差_530623_2006年县级财政报表附表 5" xfId="2110"/>
    <cellStyle name="好_2006年基础数据" xfId="2111"/>
    <cellStyle name="差_05玉溪 4" xfId="2112"/>
    <cellStyle name="链接单元格 6 2" xfId="2113"/>
    <cellStyle name="差_2006年全省财力计算表（中央、决算）" xfId="2114"/>
    <cellStyle name="计算 6" xfId="2115"/>
    <cellStyle name="40% - Accent1 2" xfId="2116"/>
    <cellStyle name="40% - 强调文字颜色 6 3" xfId="2117"/>
    <cellStyle name="好_地方配套按人均增幅控制8.30xl 4" xfId="2118"/>
    <cellStyle name="Accent2 - 20% 7" xfId="2119"/>
    <cellStyle name="好_义务教育阶段教职工人数（教育厅提供最终） 7" xfId="2120"/>
    <cellStyle name="好_1110洱源县 6" xfId="2121"/>
    <cellStyle name="60% - Accent2 3" xfId="2122"/>
    <cellStyle name="差_05玉溪 3" xfId="2123"/>
    <cellStyle name="好_云南省2008年转移支付测算——州市本级考核部分及政策性测算 8" xfId="2124"/>
    <cellStyle name="Note 2" xfId="2125"/>
    <cellStyle name="好_03昭通 8" xfId="2126"/>
    <cellStyle name="好_2007年检察院案件数 4" xfId="2127"/>
    <cellStyle name="注释 2" xfId="2128"/>
    <cellStyle name="差_2009年一般性转移支付标准工资_奖励补助测算7.23 3" xfId="2129"/>
    <cellStyle name="强调文字颜色 1 8 2" xfId="2130"/>
    <cellStyle name="통화_BOILER-CO1" xfId="2131"/>
    <cellStyle name="差_云南农村义务教育统计表 2" xfId="2132"/>
    <cellStyle name="警告文本 8" xfId="2133"/>
    <cellStyle name="标题 3 9 2" xfId="2134"/>
    <cellStyle name="好_2007年人员分部门统计表 6" xfId="2135"/>
    <cellStyle name="标题 6 5" xfId="2136"/>
    <cellStyle name="Accent3 - 40% 9" xfId="2137"/>
    <cellStyle name="20% - Accent5 5" xfId="2138"/>
    <cellStyle name="好_2009年一般性转移支付标准工资_奖励补助测算7.25 (version 1) (version 1) 6" xfId="2139"/>
    <cellStyle name="20% - 强调文字颜色 4 5 2" xfId="2140"/>
    <cellStyle name="_20100326高清市院遂宁检察院1080P配置清单26日改" xfId="2141"/>
    <cellStyle name="差_汇总 4" xfId="2142"/>
    <cellStyle name="常规 8 4" xfId="2143"/>
    <cellStyle name="好_2007年政法部门业务指标 7" xfId="2144"/>
    <cellStyle name="Note 9" xfId="2145"/>
    <cellStyle name="好_奖励补助测算5.22测试 3" xfId="2146"/>
    <cellStyle name="40% - 强调文字颜色 1 5 2" xfId="2147"/>
    <cellStyle name="20% - 强调文字颜色 2 3 3" xfId="2148"/>
    <cellStyle name="好_义务教育阶段教职工人数（教育厅提供最终） 6" xfId="2149"/>
    <cellStyle name="好_云南省2008年中小学教职工情况（教育厅提供20090101加工整理） 5" xfId="2150"/>
    <cellStyle name="Linked Cell 7" xfId="2151"/>
    <cellStyle name="注释 5 2" xfId="2152"/>
    <cellStyle name="警告文本 3 7" xfId="2153"/>
    <cellStyle name="20% - 强调文字颜色 6 3 6" xfId="2154"/>
    <cellStyle name="40% - 强调文字颜色 1 3 7" xfId="2155"/>
    <cellStyle name="常规 73" xfId="2156"/>
    <cellStyle name="强调文字颜色 6 3 4" xfId="2157"/>
    <cellStyle name="好_2009年一般性转移支付标准工资_~5676413 5" xfId="2158"/>
    <cellStyle name="HEADING2" xfId="2159"/>
    <cellStyle name="40% - Accent1" xfId="2160"/>
    <cellStyle name="Accent3 - 20% 6" xfId="2161"/>
    <cellStyle name="常规 6 8" xfId="2162"/>
    <cellStyle name="好_2007年检察院案件数 2" xfId="2163"/>
    <cellStyle name="强调文字颜色 3 8 2" xfId="2164"/>
    <cellStyle name="常规 2 7" xfId="2165"/>
    <cellStyle name="常规_2023101016536921" xfId="2166"/>
    <cellStyle name="常规 3 2 8" xfId="2167"/>
    <cellStyle name="强调文字颜色 1 6 2" xfId="2168"/>
    <cellStyle name="Accent3 - 40% 2" xfId="2169"/>
    <cellStyle name="20% - 强调文字颜色 6 4 2" xfId="2170"/>
    <cellStyle name="Fixed" xfId="2171"/>
    <cellStyle name="好_奖励补助测算5.22测试 2" xfId="2172"/>
    <cellStyle name="20% - 强调文字颜色 2 3 2" xfId="2173"/>
    <cellStyle name="60% - 强调文字颜色 4 6 2" xfId="2174"/>
    <cellStyle name="千位分隔 2 7" xfId="2175"/>
    <cellStyle name="好_基础数据分析 3" xfId="2176"/>
    <cellStyle name="20% - Accent4 5" xfId="2177"/>
    <cellStyle name="Heading 2 2" xfId="2178"/>
    <cellStyle name="差_11大理 5" xfId="2179"/>
    <cellStyle name="差_2009年一般性转移支付标准工资_地方配套按人均增幅控制8.30xl 3" xfId="2180"/>
    <cellStyle name="20% - 强调文字颜色 3 4 2" xfId="2181"/>
    <cellStyle name="常规 2 6" xfId="2182"/>
    <cellStyle name="常规 3 2" xfId="2183"/>
    <cellStyle name="好_财政供养人员 7" xfId="2184"/>
    <cellStyle name="注释 8" xfId="2185"/>
    <cellStyle name="Accent4 2" xfId="2186"/>
    <cellStyle name="好_M03 8" xfId="2187"/>
    <cellStyle name="20% - 强调文字颜色 5 7 2" xfId="2188"/>
    <cellStyle name="好_奖励补助测算7.25 (version 1) (version 1) 5" xfId="2189"/>
    <cellStyle name="好_汇总 6" xfId="2190"/>
    <cellStyle name="60% - Accent4 2" xfId="2191"/>
    <cellStyle name="常规 2 4" xfId="2192"/>
    <cellStyle name="20% - 强调文字颜色 6 9 2" xfId="2193"/>
    <cellStyle name="注释 2 5" xfId="2194"/>
    <cellStyle name="Dollar (zero dec)" xfId="2195"/>
    <cellStyle name="差_2007年政法部门业务指标 4" xfId="2196"/>
    <cellStyle name="差_00省级(定稿) 2" xfId="2197"/>
    <cellStyle name="60% - Accent6 6" xfId="2198"/>
    <cellStyle name="标题 4 3 3" xfId="2199"/>
    <cellStyle name="60% - 强调文字颜色 5 7 2" xfId="2200"/>
    <cellStyle name="好_05玉溪 5" xfId="2201"/>
    <cellStyle name="Good 2" xfId="2202"/>
    <cellStyle name="40% - 强调文字颜色 6 4" xfId="2203"/>
    <cellStyle name="差_5334_2006年迪庆县级财政报表附表 6" xfId="2204"/>
    <cellStyle name="好_2007年政法部门业务指标" xfId="2205"/>
    <cellStyle name="计算 3 5" xfId="2206"/>
    <cellStyle name="差_1003牟定县 9" xfId="2207"/>
    <cellStyle name="40% - Accent6 3" xfId="2208"/>
    <cellStyle name="差_2006年全省财力计算表（中央、决算） 7" xfId="2209"/>
    <cellStyle name="40% - 强调文字颜色 5 3" xfId="2210"/>
    <cellStyle name="好_00省级(定稿) 3" xfId="2211"/>
    <cellStyle name="好_奖励补助测算5.22测试 5" xfId="2212"/>
    <cellStyle name="差_2009年一般性转移支付标准工资 3" xfId="2213"/>
    <cellStyle name="标题 1 9" xfId="2214"/>
    <cellStyle name="20% - 强调文字颜色 4 3 3" xfId="2215"/>
    <cellStyle name="好_2009年一般性转移支付标准工资_奖励补助测算7.23 2" xfId="2216"/>
    <cellStyle name="40% - 强调文字颜色 1 4" xfId="2217"/>
    <cellStyle name="Accent6 - 20% 4" xfId="2218"/>
    <cellStyle name="好_2006年基础数据 2" xfId="2219"/>
    <cellStyle name="40% - 强调文字颜色 6 9" xfId="2220"/>
    <cellStyle name="差_云南省2008年转移支付测算——州市本级考核部分及政策性测算 3" xfId="2221"/>
    <cellStyle name="警告文本 3 4" xfId="2222"/>
    <cellStyle name="常规_20245791246125" xfId="2223"/>
    <cellStyle name="差_县级公安机关公用经费标准奖励测算方案（定稿） 8" xfId="2224"/>
    <cellStyle name="标题 2 2" xfId="2225"/>
    <cellStyle name="40% - 强调文字颜色 6 9 2" xfId="2226"/>
    <cellStyle name="常规 5 2 3" xfId="2227"/>
    <cellStyle name="强调文字颜色 6 7 2" xfId="2228"/>
    <cellStyle name="差_基础数据分析" xfId="2229"/>
    <cellStyle name="常规_20245791243234" xfId="2230"/>
    <cellStyle name="差_云南省2008年转移支付测算——州市本级考核部分及政策性测算 2" xfId="2231"/>
    <cellStyle name="差_Book1_1 6" xfId="2232"/>
    <cellStyle name="Neutral 9" xfId="2233"/>
    <cellStyle name="好_Book2 5" xfId="2234"/>
    <cellStyle name="强调文字颜色 3 3" xfId="2235"/>
    <cellStyle name="差_2006年全省财力计算表（中央、决算） 3" xfId="2236"/>
    <cellStyle name="40% - 强调文字颜色 2 9" xfId="2237"/>
    <cellStyle name="Title 4" xfId="2238"/>
    <cellStyle name="差_2009年一般性转移支付标准工资_奖励补助测算5.22测试 7" xfId="2239"/>
    <cellStyle name="常规 5 9" xfId="2240"/>
    <cellStyle name="强调文字颜色 6 5 2" xfId="2241"/>
    <cellStyle name="好_奖励补助测算5.22测试 6" xfId="2242"/>
    <cellStyle name="差_2009年一般性转移支付标准工资 4" xfId="2243"/>
    <cellStyle name="差_5334_2006年迪庆县级财政报表附表 4" xfId="2244"/>
    <cellStyle name="捠壿_Region Orders (2)" xfId="2245"/>
    <cellStyle name="20% - 强调文字颜色 5 6" xfId="2246"/>
    <cellStyle name="Accent3" xfId="2247"/>
    <cellStyle name="40% - 强调文字颜色 6 8" xfId="2248"/>
    <cellStyle name="警告文本 3 3" xfId="2249"/>
    <cellStyle name="标题 10" xfId="2250"/>
    <cellStyle name="好_汇总-县级财政报表附表 6" xfId="2251"/>
    <cellStyle name="汇总 8 2" xfId="2252"/>
    <cellStyle name="解释性文本 3 2" xfId="2253"/>
    <cellStyle name="好_教育厅提供义务教育及高中教师人数（2009年1月6日） 6" xfId="2254"/>
    <cellStyle name="千分位_ 白土" xfId="2255"/>
    <cellStyle name="好_2009年一般性转移支付标准工资_不用软件计算9.1不考虑经费管理评价xl 9" xfId="2256"/>
    <cellStyle name="差_2009年一般性转移支付标准工资_奖励补助测算7.23 5" xfId="2257"/>
    <cellStyle name="小数" xfId="2258"/>
    <cellStyle name="60% - 强调文字颜色 1 10" xfId="2259"/>
    <cellStyle name="差_Book1_1 7" xfId="2260"/>
    <cellStyle name="差_05玉溪 6" xfId="2261"/>
    <cellStyle name="好_5334_2006年迪庆县级财政报表附表" xfId="2262"/>
    <cellStyle name="Accent3 5" xfId="2263"/>
    <cellStyle name="60% - 强调文字颜色 1 4 2" xfId="2264"/>
    <cellStyle name="常规 3 2 6" xfId="2265"/>
    <cellStyle name="Linked Cell" xfId="2266"/>
    <cellStyle name="标题 1 5" xfId="2267"/>
    <cellStyle name="好_云南省2008年中小学教职工情况（教育厅提供20090101加工整理） 6" xfId="2268"/>
    <cellStyle name="Linked Cell 8" xfId="2269"/>
    <cellStyle name="强调文字颜色 2 2" xfId="2270"/>
    <cellStyle name="好_Book1 4" xfId="2271"/>
    <cellStyle name="好_云南农村义务教育统计表" xfId="2272"/>
    <cellStyle name="差_Book1 5" xfId="2273"/>
    <cellStyle name="Accent1 - 60% 2" xfId="2274"/>
    <cellStyle name="好_第五部分(才淼、饶永宏） 4" xfId="2275"/>
    <cellStyle name="Accent6 - 60% 2" xfId="2276"/>
    <cellStyle name="差_汇总-县级财政报表附表 5" xfId="2277"/>
    <cellStyle name="60% - Accent3 4" xfId="2278"/>
    <cellStyle name="20% - 强调文字颜色 6 7 2" xfId="2279"/>
    <cellStyle name="强调 2" xfId="2280"/>
    <cellStyle name="差_2009年一般性转移支付标准工资_奖励补助测算7.25 2" xfId="2281"/>
    <cellStyle name="好_05玉溪 9" xfId="2282"/>
    <cellStyle name="标题 4 3 7" xfId="2283"/>
    <cellStyle name="计算 6 2" xfId="2284"/>
    <cellStyle name="Heading 4 4" xfId="2285"/>
    <cellStyle name="60% - 强调文字颜色 5 3 3" xfId="2286"/>
    <cellStyle name="好_业务工作量指标 5" xfId="2287"/>
    <cellStyle name="差_地方配套按人均增幅控制8.30一般预算平均增幅、人均可用财力平均增幅两次控制、社会治安系数调整、案件数调整xl 4" xfId="2288"/>
    <cellStyle name="好_2006年基础数据 4" xfId="2289"/>
    <cellStyle name="差_03昭通 4" xfId="2290"/>
    <cellStyle name="差_云南省2008年中小学教职工情况（教育厅提供20090101加工整理） 8" xfId="2291"/>
    <cellStyle name="20% - Accent6 7" xfId="2292"/>
    <cellStyle name="60% - Accent1 5" xfId="2293"/>
    <cellStyle name="60% - Accent6 3" xfId="2294"/>
    <cellStyle name="60% - 强调文字颜色 5 10" xfId="2295"/>
    <cellStyle name="Title 7" xfId="2296"/>
    <cellStyle name="标题 4 8" xfId="2297"/>
    <cellStyle name="差_03昭通 5" xfId="2298"/>
    <cellStyle name="标题 4 5 2" xfId="2299"/>
    <cellStyle name="差_云南省2008年中小学教职工情况（教育厅提供20090101加工整理） 9" xfId="2300"/>
    <cellStyle name="常规 2" xfId="2301"/>
    <cellStyle name="好_汇总-县级财政报表附表 3" xfId="2302"/>
    <cellStyle name="20% - 强调文字颜色 2 9 2" xfId="2303"/>
    <cellStyle name="好_2006年基础数据 8" xfId="2304"/>
    <cellStyle name="标题 8" xfId="2305"/>
    <cellStyle name="常规_20241515102731" xfId="2306"/>
    <cellStyle name="好_2008云南省分县市中小学教职工统计表（教育厅提供） 5" xfId="2307"/>
    <cellStyle name="好_2009年一般性转移支付标准工资_地方配套按人均增幅控制8.31（调整结案率后）xl 8" xfId="2308"/>
    <cellStyle name="差_0605石屏县 9" xfId="2309"/>
    <cellStyle name="差_云南省2008年中小学教职工情况（教育厅提供20090101加工整理） 4" xfId="2310"/>
    <cellStyle name="标题 2 3 4" xfId="2311"/>
    <cellStyle name="差_奖励补助测算7.25 9" xfId="2312"/>
    <cellStyle name="检查单元格 2" xfId="2313"/>
    <cellStyle name="Accent6 - 60% 6" xfId="2314"/>
    <cellStyle name="40% - 强调文字颜色 2 3" xfId="2315"/>
    <cellStyle name="Input 7" xfId="2316"/>
    <cellStyle name="强调文字颜色 5 9 2" xfId="2317"/>
    <cellStyle name="好_汇总-县级财政报表附表 4" xfId="2318"/>
    <cellStyle name="60% - Accent5 5" xfId="2319"/>
    <cellStyle name="Accent3 - 40% 5" xfId="2320"/>
    <cellStyle name="20% - Accent4 4" xfId="2321"/>
    <cellStyle name="40% - 强调文字颜色 5 5 2" xfId="2322"/>
    <cellStyle name="40% - 强调文字颜色 4 6" xfId="2323"/>
    <cellStyle name="标题 1 8" xfId="2324"/>
    <cellStyle name="警告文本 4" xfId="2325"/>
    <cellStyle name="Accent5 - 20% 6" xfId="2326"/>
    <cellStyle name="百分比 4 4" xfId="2327"/>
    <cellStyle name="差_05玉溪 2" xfId="2328"/>
    <cellStyle name="烹拳_ +Foil &amp; -FOIL &amp; PAPER" xfId="2329"/>
    <cellStyle name="百分比 2" xfId="2330"/>
    <cellStyle name="好_2008云南省分县市中小学教职工统计表（教育厅提供） 2" xfId="2331"/>
    <cellStyle name="PSSpacer" xfId="2332"/>
    <cellStyle name="千位分隔 3 6" xfId="2333"/>
    <cellStyle name="常规 6" xfId="2334"/>
    <cellStyle name="好_卫生部门 5" xfId="2335"/>
    <cellStyle name="comma zerodec" xfId="2336"/>
    <cellStyle name="好_00省级(定稿) 4" xfId="2337"/>
    <cellStyle name="差_高中教师人数（教育厅1.6日提供） 5" xfId="2338"/>
    <cellStyle name="好_2009年一般性转移支付标准工资_奖励补助测算7.23 8" xfId="2339"/>
    <cellStyle name="强调文字颜色 4 3 7" xfId="2340"/>
    <cellStyle name="Accent4 - 60% 3" xfId="2341"/>
    <cellStyle name="60% - 强调文字颜色 2 3 2" xfId="2342"/>
    <cellStyle name="Accent4 - 20%" xfId="2343"/>
    <cellStyle name="20% - 强调文字颜色 3 3" xfId="2344"/>
    <cellStyle name="Accent2 - 20% 9" xfId="2345"/>
    <cellStyle name="20% - 强调文字颜色 5 5" xfId="2346"/>
    <cellStyle name="差_530629_2006年县级财政报表附表 6" xfId="2347"/>
    <cellStyle name="20% - Accent2 9" xfId="2348"/>
    <cellStyle name="好_不用软件计算9.1不考虑经费管理评价xl 8" xfId="2349"/>
    <cellStyle name="40% - 强调文字颜色 5 3 7" xfId="2350"/>
    <cellStyle name="Accent4 - 40% 9" xfId="2351"/>
    <cellStyle name="Title 2" xfId="2352"/>
    <cellStyle name="40% - 强调文字颜色 2 7" xfId="2353"/>
    <cellStyle name="差_2006年基础数据" xfId="2354"/>
    <cellStyle name="注释 2 8" xfId="2355"/>
    <cellStyle name="20% - Accent6" xfId="2356"/>
    <cellStyle name="常规 45" xfId="2357"/>
    <cellStyle name="好_2009年一般性转移支付标准工资_地方配套按人均增幅控制8.31（调整结案率后）xl 6" xfId="2358"/>
    <cellStyle name="差_0605石屏县 7" xfId="2359"/>
    <cellStyle name="差_云南省2008年中小学教职工情况（教育厅提供20090101加工整理） 2" xfId="2360"/>
    <cellStyle name="60% - Accent4 6" xfId="2361"/>
    <cellStyle name="好_M03 2" xfId="2362"/>
    <cellStyle name="差_M03 8" xfId="2363"/>
    <cellStyle name="Accent2 - 40% 4" xfId="2364"/>
    <cellStyle name="40% - Accent5 7" xfId="2365"/>
    <cellStyle name="解释性文本 10" xfId="2366"/>
    <cellStyle name="商品名称" xfId="2367"/>
    <cellStyle name="好_11大理 2" xfId="2368"/>
    <cellStyle name="60% - Accent1 9" xfId="2369"/>
    <cellStyle name="20% - 强调文字颜色 1 10" xfId="2370"/>
    <cellStyle name="标题 13" xfId="2371"/>
    <cellStyle name="常规 5 2 2" xfId="2372"/>
    <cellStyle name="60% - 强调文字颜色 1 9 2" xfId="2373"/>
    <cellStyle name="40% - 强调文字颜色 5 6 2" xfId="2374"/>
    <cellStyle name="20% - Accent5 4" xfId="2375"/>
    <cellStyle name="标题 6 4" xfId="2376"/>
    <cellStyle name="Accent3 - 40% 8" xfId="2377"/>
    <cellStyle name="好_00省级(打印) 5" xfId="2378"/>
    <cellStyle name="好_奖励补助测算5.23新 8" xfId="2379"/>
    <cellStyle name="40% - 强调文字颜色 3 5" xfId="2380"/>
    <cellStyle name="差_奖励补助测算7.25 (version 1) (version 1) 7" xfId="2381"/>
    <cellStyle name="差_00省级(打印) 9" xfId="2382"/>
    <cellStyle name="差_05玉溪 5" xfId="2383"/>
    <cellStyle name="差_M01-2(州市补助收入) 5" xfId="2384"/>
    <cellStyle name="Accent4 - 40%" xfId="2385"/>
    <cellStyle name="常规 36" xfId="2386"/>
    <cellStyle name="常规 41" xfId="2387"/>
    <cellStyle name="Date" xfId="2388"/>
    <cellStyle name="差_2009年一般性转移支付标准工资_~5676413 6" xfId="2389"/>
    <cellStyle name="20% - Accent2" xfId="2390"/>
    <cellStyle name="差_2006年在职人员情况 6" xfId="2391"/>
    <cellStyle name="常规 3 3 6" xfId="2392"/>
    <cellStyle name="标题 4 9 2" xfId="2393"/>
    <cellStyle name="差_2007年检察院案件数 5" xfId="2394"/>
    <cellStyle name="好_00省级(打印) 9" xfId="2395"/>
    <cellStyle name="Accent2 - 40% 9" xfId="2396"/>
    <cellStyle name="Heading 2 4" xfId="2397"/>
    <cellStyle name="好_县级公安机关公用经费标准奖励测算方案（定稿） 7" xfId="2398"/>
    <cellStyle name="40% - 强调文字颜色 4 3 5" xfId="2399"/>
    <cellStyle name="好_2009年一般性转移支付标准工资_奖励补助测算5.22测试 3" xfId="2400"/>
    <cellStyle name="40% - 强调文字颜色 2 5 2" xfId="2401"/>
    <cellStyle name="千位分隔 3 3" xfId="2402"/>
    <cellStyle name="Accent5 - 20% 3" xfId="2403"/>
    <cellStyle name="好_2006年全省财力计算表（中央、决算） 8" xfId="2404"/>
    <cellStyle name="标题 5 3" xfId="2405"/>
    <cellStyle name="差_~4190974 5" xfId="2406"/>
    <cellStyle name="40% - Accent6 7" xfId="2407"/>
    <cellStyle name="60% - 强调文字颜色 4 4 2" xfId="2408"/>
    <cellStyle name="强调文字颜色 2 4 2" xfId="2409"/>
    <cellStyle name="差_2009年一般性转移支付标准工资_不用软件计算9.1不考虑经费管理评价xl" xfId="2410"/>
    <cellStyle name="差_2009年一般性转移支付标准工资_奖励补助测算5.22测试 9" xfId="2411"/>
    <cellStyle name="20% - 强调文字颜色 4 5" xfId="2412"/>
    <cellStyle name="警告文本 9 2" xfId="2413"/>
    <cellStyle name="好_第五部分(才淼、饶永宏） 9" xfId="2414"/>
    <cellStyle name="60% - 强调文字颜色 1 3 2" xfId="2415"/>
    <cellStyle name="差_2009年一般性转移支付标准工资 2" xfId="2416"/>
    <cellStyle name="20% - 强调文字颜色 6 5 2" xfId="2417"/>
    <cellStyle name="好_奖励补助测算5.22测试 4" xfId="2418"/>
    <cellStyle name="20% - 强调文字颜色 5 10" xfId="2419"/>
    <cellStyle name="Normal_3H8" xfId="2420"/>
    <cellStyle name="注释 2 6" xfId="2421"/>
    <cellStyle name="输入 10" xfId="2422"/>
    <cellStyle name="Accent2 - 60% 7" xfId="2423"/>
    <cellStyle name="60% - 强调文字颜色 6 3 2" xfId="2424"/>
    <cellStyle name="差_县级基础数据" xfId="2425"/>
    <cellStyle name="常规 2 2 6" xfId="2426"/>
    <cellStyle name="好_2006年在职人员情况 8" xfId="2427"/>
    <cellStyle name="好_Book2 2" xfId="2428"/>
    <cellStyle name="好_2009年一般性转移支付标准工资_地方配套按人均增幅控制8.30xl 8" xfId="2429"/>
    <cellStyle name="常规 3 10" xfId="2430"/>
    <cellStyle name="常规 3 2 9" xfId="2431"/>
    <cellStyle name="Accent3 - 40% 3" xfId="2432"/>
    <cellStyle name="强调文字颜色 4 3 2" xfId="2433"/>
    <cellStyle name="好_2009年一般性转移支付标准工资_奖励补助测算7.23 3" xfId="2434"/>
    <cellStyle name="20% - 强调文字颜色 4 3 4" xfId="2435"/>
    <cellStyle name="好_2009年一般性转移支付标准工资_地方配套按人均增幅控制8.30一般预算平均增幅、人均可用财力平均增幅两次控制、社会治安系数调整、案件数调整xl 8" xfId="2436"/>
    <cellStyle name="40% - 强调文字颜色 4 3" xfId="2437"/>
    <cellStyle name="标题 3 2" xfId="2438"/>
    <cellStyle name="强调文字颜色 1 3 6" xfId="2439"/>
    <cellStyle name="差_2009年一般性转移支付标准工资_奖励补助测算7.25 (version 1) (version 1) 3" xfId="2440"/>
    <cellStyle name="差_下半年禁毒办案经费分配2544.3万元" xfId="2441"/>
    <cellStyle name="好_1003牟定县" xfId="2442"/>
    <cellStyle name="40% - Accent5 9" xfId="2443"/>
    <cellStyle name="Accent2 - 40% 6" xfId="2444"/>
    <cellStyle name="好_Book2 4" xfId="2445"/>
    <cellStyle name="强调文字颜色 3 2" xfId="2446"/>
    <cellStyle name="40% - Accent6 5" xfId="2447"/>
    <cellStyle name="计算 3 7" xfId="2448"/>
    <cellStyle name="好_530629_2006年县级财政报表附表 6" xfId="2449"/>
    <cellStyle name="40% - Accent4 6" xfId="2450"/>
    <cellStyle name="好_指标四" xfId="2451"/>
    <cellStyle name="60% - 强调文字颜色 5 4" xfId="2452"/>
    <cellStyle name="常规 2 7 4" xfId="2453"/>
    <cellStyle name="40% - Accent6 8" xfId="2454"/>
    <cellStyle name="40% - 强调文字颜色 5 5" xfId="2455"/>
    <cellStyle name="Accent5 - 20% 5" xfId="2456"/>
    <cellStyle name="Check Cell 9" xfId="2457"/>
    <cellStyle name="警告文本 3" xfId="2458"/>
    <cellStyle name="百分比 4 3" xfId="2459"/>
    <cellStyle name="差_县级公安机关公用经费标准奖励测算方案（定稿）" xfId="2460"/>
    <cellStyle name="警告文本 3 2" xfId="2461"/>
    <cellStyle name="常规_2024109104733609" xfId="2462"/>
    <cellStyle name="Heading 2 7" xfId="2463"/>
    <cellStyle name="差_云南农村义务教育统计表 3" xfId="2464"/>
    <cellStyle name="好_~4190974 2" xfId="2465"/>
    <cellStyle name="好_财政供养人员 8" xfId="2466"/>
    <cellStyle name="注释 9" xfId="2467"/>
    <cellStyle name="常规_分市5" xfId="2468"/>
    <cellStyle name="常规 19 2" xfId="2469"/>
    <cellStyle name="Accent3 - 40% 7" xfId="2470"/>
    <cellStyle name="标题 6 3" xfId="2471"/>
    <cellStyle name="差_1003牟定县 8" xfId="2472"/>
    <cellStyle name="计算 3 4" xfId="2473"/>
    <cellStyle name="40% - Accent6 2" xfId="2474"/>
    <cellStyle name="好_M03 4" xfId="2475"/>
    <cellStyle name="60% - Accent4 8" xfId="2476"/>
    <cellStyle name="好_2007年人员分部门统计表 2" xfId="2477"/>
    <cellStyle name="Accent1 - 20%" xfId="2478"/>
    <cellStyle name="百分比 2 5" xfId="2479"/>
    <cellStyle name="差_奖励补助测算5.23新" xfId="2480"/>
    <cellStyle name="40% - Accent1 5" xfId="2481"/>
    <cellStyle name="计算 9" xfId="2482"/>
    <cellStyle name="60% - 强调文字颜色 2 4" xfId="2483"/>
    <cellStyle name="好_2、土地面积、人口、粮食产量基本情况 3" xfId="2484"/>
    <cellStyle name="常规 2 4 4" xfId="2485"/>
    <cellStyle name="借出原因" xfId="2486"/>
    <cellStyle name="输入 4" xfId="2487"/>
    <cellStyle name="20% - 强调文字颜色 1 6" xfId="2488"/>
    <cellStyle name="差_义务教育阶段教职工人数（教育厅提供最终） 3" xfId="2489"/>
    <cellStyle name="好_教育厅提供义务教育及高中教师人数（2009年1月6日） 5" xfId="2490"/>
    <cellStyle name="20% - 强调文字颜色 6 9" xfId="2491"/>
    <cellStyle name="Accent5 3" xfId="2492"/>
    <cellStyle name="Warning Text 4" xfId="2493"/>
    <cellStyle name="60% - 强调文字颜色 2 6 2" xfId="2494"/>
    <cellStyle name="好_2006年基础数据 3" xfId="2495"/>
    <cellStyle name="好_业务工作量指标 7" xfId="2496"/>
    <cellStyle name="60% - 强调文字颜色 5 3 5" xfId="2497"/>
    <cellStyle name="Heading 4 6" xfId="2498"/>
    <cellStyle name="60% - Accent1 7" xfId="2499"/>
    <cellStyle name="20% - Accent6 9" xfId="2500"/>
    <cellStyle name="差_奖励补助测算7.23 2" xfId="2501"/>
    <cellStyle name="常规 2 2 5" xfId="2502"/>
    <cellStyle name="Accent6 - 20% 8" xfId="2503"/>
    <cellStyle name="好 10" xfId="2504"/>
    <cellStyle name="40% - 强调文字颜色 1 8" xfId="2505"/>
    <cellStyle name="差_2、土地面积、人口、粮食产量基本情况 9" xfId="2506"/>
    <cellStyle name="Pourcentage_pldt" xfId="2507"/>
    <cellStyle name="输入 9" xfId="2508"/>
    <cellStyle name="好_县级公安机关公用经费标准奖励测算方案（定稿） 5" xfId="2509"/>
    <cellStyle name="常规 10 2" xfId="2510"/>
    <cellStyle name="差_5334_2006年迪庆县级财政报表附表 7" xfId="2511"/>
    <cellStyle name="差_Book1 6" xfId="2512"/>
    <cellStyle name="差_2006年在职人员情况 8" xfId="2513"/>
    <cellStyle name="常规 3 3 8" xfId="2514"/>
    <cellStyle name="差_Book2 5" xfId="2515"/>
    <cellStyle name="好_地方配套按人均增幅控制8.31（调整结案率后）xl 6" xfId="2516"/>
    <cellStyle name="常规 80" xfId="2517"/>
    <cellStyle name="强调文字颜色 6 3 6" xfId="2518"/>
    <cellStyle name="千位分隔 2 6" xfId="2519"/>
    <cellStyle name="20% - 强调文字颜色 5 4 2" xfId="2520"/>
    <cellStyle name="好_2009年一般性转移支付标准工资_不用软件计算9.1不考虑经费管理评价xl 4" xfId="2521"/>
    <cellStyle name="好_0502通海县 9" xfId="2522"/>
    <cellStyle name="20% - 强调文字颜色 3 10" xfId="2523"/>
    <cellStyle name="20% - Accent3 9" xfId="2524"/>
    <cellStyle name="Heading 1 6" xfId="2525"/>
    <cellStyle name="差_基础数据分析 3" xfId="2526"/>
    <cellStyle name="40% - 强调文字颜色 2 10" xfId="2527"/>
    <cellStyle name="检查单元格 3 7" xfId="2528"/>
    <cellStyle name="40% - 强调文字颜色 2 3 5" xfId="2529"/>
    <cellStyle name="Accent6 3" xfId="2530"/>
    <cellStyle name="数字 2" xfId="2531"/>
    <cellStyle name="Calculation 4" xfId="2532"/>
    <cellStyle name="Accent5 - 60% 2" xfId="2533"/>
    <cellStyle name="Accent2 - 40% 7" xfId="2534"/>
    <cellStyle name="强调文字颜色 1 3 3" xfId="2535"/>
    <cellStyle name="20% - 强调文字颜色 1 3 5" xfId="2536"/>
    <cellStyle name="常规_202247145842125" xfId="2537"/>
    <cellStyle name="千位分隔 2 2 7" xfId="2538"/>
    <cellStyle name="60% - Accent6 2" xfId="2539"/>
    <cellStyle name="汇总 3 4" xfId="2540"/>
    <cellStyle name="60% - Accent6 9" xfId="2541"/>
    <cellStyle name="Mon閠aire_!!!GO" xfId="2542"/>
    <cellStyle name="Input 2" xfId="2543"/>
    <cellStyle name="差_530623_2006年县级财政报表附表 6" xfId="2544"/>
    <cellStyle name="差_奖励补助测算5.24冯铸 8" xfId="2545"/>
    <cellStyle name="强调文字颜色 5 3 5" xfId="2546"/>
    <cellStyle name="差_业务工作量指标 7" xfId="2547"/>
    <cellStyle name="20% - 强调文字颜色 5 3 7" xfId="2548"/>
    <cellStyle name="20% - 强调文字颜色 6 3 7" xfId="2549"/>
    <cellStyle name="强调文字颜色 6 3 5" xfId="2550"/>
    <cellStyle name="解释性文本 2" xfId="2551"/>
    <cellStyle name="Accent6 - 60% 3" xfId="2552"/>
    <cellStyle name="60% - Accent4 3" xfId="2553"/>
    <cellStyle name="好_汇总 7" xfId="2554"/>
    <cellStyle name="好_奖励补助测算7.25 (version 1) (version 1) 6" xfId="2555"/>
    <cellStyle name="输入 7 2" xfId="2556"/>
    <cellStyle name="20% - 强调文字颜色 1 9 2" xfId="2557"/>
    <cellStyle name="Accent4 - 60% 4" xfId="2558"/>
    <cellStyle name="60% - 强调文字颜色 2 3 3" xfId="2559"/>
    <cellStyle name="差_奖励补助测算7.23 4" xfId="2560"/>
    <cellStyle name="好_财政供养人员 2" xfId="2561"/>
    <cellStyle name="注释 3" xfId="2562"/>
    <cellStyle name="差_2009年一般性转移支付标准工资_奖励补助测算7.23 4" xfId="2563"/>
    <cellStyle name="好_2009年一般性转移支付标准工资_奖励补助测算7.25 6" xfId="2564"/>
    <cellStyle name="差_0502通海县 4" xfId="2565"/>
    <cellStyle name="_分县2" xfId="2566"/>
    <cellStyle name="40% - Accent3 3" xfId="2567"/>
    <cellStyle name="百分比 3 7" xfId="2568"/>
    <cellStyle name="20% - Accent5 2" xfId="2569"/>
    <cellStyle name="差_0502通海县 3" xfId="2570"/>
    <cellStyle name="_分县1" xfId="2571"/>
    <cellStyle name="60% - 强调文字颜色 3 6 2" xfId="2572"/>
    <cellStyle name="好_云南农村义务教育统计表 8" xfId="2573"/>
    <cellStyle name="差_业务工作量指标" xfId="2574"/>
    <cellStyle name="20% - 强调文字颜色 5 3" xfId="2575"/>
    <cellStyle name="好_Book1_1 9" xfId="2576"/>
    <cellStyle name="差_2009年一般性转移支付标准工资_地方配套按人均增幅控制8.31（调整结案率后）xl 9" xfId="2577"/>
    <cellStyle name="标题 1 4 2" xfId="2578"/>
    <cellStyle name="Accent1 - 20% 8" xfId="2579"/>
    <cellStyle name="好_地方配套按人均增幅控制8.31（调整结案率后）xl" xfId="2580"/>
    <cellStyle name="差_义务教育阶段教职工人数（教育厅提供最终） 6" xfId="2581"/>
    <cellStyle name="20% - 强调文字颜色 1 9" xfId="2582"/>
    <cellStyle name="输入 7" xfId="2583"/>
    <cellStyle name="60% - 强调文字颜色 3 3 7" xfId="2584"/>
    <cellStyle name="40% - 强调文字颜色 2 3 2" xfId="2585"/>
    <cellStyle name="差_下半年禁吸戒毒经费1000万元" xfId="2586"/>
    <cellStyle name="40% - 强调文字颜色 2 3 7" xfId="2587"/>
    <cellStyle name="百分比 8" xfId="2588"/>
    <cellStyle name="差_地方配套按人均增幅控制8.31（调整结案率后）xl 4" xfId="2589"/>
    <cellStyle name="数字 4" xfId="2590"/>
    <cellStyle name="Calculation 6" xfId="2591"/>
    <cellStyle name="Accent5 - 60% 4" xfId="2592"/>
    <cellStyle name="Heading 1 3" xfId="2593"/>
    <cellStyle name="差_不用软件计算9.1不考虑经费管理评价xl 3" xfId="2594"/>
    <cellStyle name="Linked Cell 2" xfId="2595"/>
    <cellStyle name="好_2009年一般性转移支付标准工资_~4190974 9" xfId="2596"/>
    <cellStyle name="Warning Text" xfId="2597"/>
    <cellStyle name="Accent3 - 60% 9" xfId="2598"/>
    <cellStyle name="差_1110洱源县 8" xfId="2599"/>
    <cellStyle name="差_05玉溪 8" xfId="2600"/>
    <cellStyle name="好_2009年一般性转移支付标准工资_奖励补助测算7.25 2" xfId="2601"/>
    <cellStyle name="常规_2011年全省各市主要指标排位" xfId="2602"/>
    <cellStyle name="好_地方配套按人均增幅控制8.31（调整结案率后）xl 2" xfId="2603"/>
    <cellStyle name="Accent6_公安安全支出补充表5.14" xfId="2604"/>
    <cellStyle name="差_Book1 2" xfId="2605"/>
    <cellStyle name="后继超链接 3" xfId="2606"/>
    <cellStyle name="60% - Accent6 5" xfId="2607"/>
    <cellStyle name="好_云南省2008年中小学教师人数统计表" xfId="2608"/>
    <cellStyle name="差_2009年一般性转移支付标准工资_地方配套按人均增幅控制8.30一般预算平均增幅、人均可用财力平均增幅两次控制、社会治安系数调整、案件数调整xl 9" xfId="2609"/>
    <cellStyle name="Accent6 - 60%" xfId="2610"/>
    <cellStyle name="40% - 强调文字颜色 5 2" xfId="2611"/>
    <cellStyle name="差_下半年禁吸戒毒经费1000万元 3" xfId="2612"/>
    <cellStyle name="Accent3_公安安全支出补充表5.14" xfId="2613"/>
    <cellStyle name="60% - 强调文字颜色 1 5 2" xfId="2614"/>
    <cellStyle name="40% - 强调文字颜色 2 6 2" xfId="2615"/>
    <cellStyle name="千位分隔 4 3" xfId="2616"/>
    <cellStyle name="差_2008云南省分县市中小学教职工统计表（教育厅提供） 8" xfId="2617"/>
    <cellStyle name="Good 3" xfId="2618"/>
    <cellStyle name="40% - 强调文字颜色 6 5" xfId="2619"/>
    <cellStyle name="Moneda [0]_96 Risk" xfId="2620"/>
    <cellStyle name="差_Book1_1 9" xfId="2621"/>
    <cellStyle name="_ET_STYLE_NoName_00__Sheet3" xfId="2622"/>
    <cellStyle name="60% - 强调文字颜色 1 8 2" xfId="2623"/>
    <cellStyle name="60% - Accent1 6" xfId="2624"/>
    <cellStyle name="20% - Accent6 8" xfId="2625"/>
    <cellStyle name="差_Book1_1" xfId="2626"/>
    <cellStyle name="差_奖励补助测算5.23新 5" xfId="2627"/>
    <cellStyle name="强调文字颜色 5 2" xfId="2628"/>
    <cellStyle name="好_县级公安机关公用经费标准奖励测算方案（定稿） 4" xfId="2629"/>
    <cellStyle name="差_奖励补助测算7.25 (version 1) (version 1) 6" xfId="2630"/>
    <cellStyle name="差_00省级(打印) 8" xfId="2631"/>
    <cellStyle name="60% - 强调文字颜色 4 3 6" xfId="2632"/>
    <cellStyle name="常规 2 7 6" xfId="2633"/>
    <cellStyle name="60% - 强调文字颜色 5 6" xfId="2634"/>
    <cellStyle name="Calc Currency (0)" xfId="2635"/>
    <cellStyle name="差_2006年在职人员情况 7" xfId="2636"/>
    <cellStyle name="常规 3 3 7" xfId="2637"/>
    <cellStyle name="强调文字颜色 5 5" xfId="2638"/>
    <cellStyle name="差_奖励补助测算5.23新 8" xfId="2639"/>
    <cellStyle name="差_2006年水利统计指标统计表 5" xfId="2640"/>
    <cellStyle name="百分比 2 9" xfId="2641"/>
    <cellStyle name="40% - Accent2 5" xfId="2642"/>
    <cellStyle name="好_地方配套按人均增幅控制8.30xl" xfId="2643"/>
    <cellStyle name="标题 3 5" xfId="2644"/>
    <cellStyle name="Bad" xfId="2645"/>
    <cellStyle name="好_奖励补助测算5.24冯铸 4" xfId="2646"/>
    <cellStyle name="差_地方配套按人均增幅控制8.30xl 7" xfId="2647"/>
    <cellStyle name="40% - Accent3 9" xfId="2648"/>
    <cellStyle name="好_2009年一般性转移支付标准工资_~4190974 6" xfId="2649"/>
    <cellStyle name="差_1110洱源县 5" xfId="2650"/>
    <cellStyle name="Accent3 - 60% 6" xfId="2651"/>
    <cellStyle name="好_11大理 8" xfId="2652"/>
    <cellStyle name="Heading 1 5" xfId="2653"/>
    <cellStyle name="差_不用软件计算9.1不考虑经费管理评价xl 5" xfId="2654"/>
    <cellStyle name="差_基础数据分析 2" xfId="2655"/>
    <cellStyle name="标题 4 4 2" xfId="2656"/>
    <cellStyle name="60% - 强调文字颜色 3 9 2" xfId="2657"/>
    <cellStyle name="常规 3 2 7" xfId="2658"/>
    <cellStyle name="好_0502通海县 3" xfId="2659"/>
    <cellStyle name="Accent6 5" xfId="2660"/>
    <cellStyle name="20% - Accent3 3" xfId="2661"/>
    <cellStyle name="好_2009年一般性转移支付标准工资_不用软件计算9.1不考虑经费管理评价xl" xfId="2662"/>
    <cellStyle name="20% - 强调文字颜色 3 4" xfId="2663"/>
    <cellStyle name="适中 9" xfId="2664"/>
    <cellStyle name="差_00省级(定稿) 8" xfId="2665"/>
    <cellStyle name="差_第五部分(才淼、饶永宏） 4" xfId="2666"/>
    <cellStyle name="40% - 强调文字颜色 6 7 2" xfId="2667"/>
    <cellStyle name="40% - Accent6" xfId="2668"/>
    <cellStyle name="好_汇总-县级财政报表附表 7" xfId="2669"/>
    <cellStyle name="差_1003牟定县 2" xfId="2670"/>
    <cellStyle name="标题 6 6" xfId="2671"/>
    <cellStyle name="好_2009年一般性转移支付标准工资_奖励补助测算5.23新 2" xfId="2672"/>
    <cellStyle name="Accent3 3" xfId="2673"/>
    <cellStyle name="差_2007年检察院案件数 3" xfId="2674"/>
    <cellStyle name="常规 19" xfId="2675"/>
    <cellStyle name="常规 24" xfId="2676"/>
    <cellStyle name="60% - 强调文字颜色 6 9 2" xfId="2677"/>
    <cellStyle name="差_Book2 8" xfId="2678"/>
    <cellStyle name="好_地方配套按人均增幅控制8.31（调整结案率后）xl 9" xfId="2679"/>
    <cellStyle name="差_Book1 9" xfId="2680"/>
    <cellStyle name="差_地方配套按人均增幅控制8.30xl" xfId="2681"/>
    <cellStyle name="Heading 1 9" xfId="2682"/>
    <cellStyle name="标题 1 4" xfId="2683"/>
    <cellStyle name="差_2008云南省分县市中小学教职工统计表（教育厅提供） 3" xfId="2684"/>
    <cellStyle name="好_5334_2006年迪庆县级财政报表附表 8" xfId="2685"/>
    <cellStyle name="40% - 强调文字颜色 2 7 2" xfId="2686"/>
    <cellStyle name="差_2006年基础数据 2" xfId="2687"/>
    <cellStyle name="Good 8" xfId="2688"/>
    <cellStyle name="差_2009年一般性转移支付标准工资_地方配套按人均增幅控制8.31（调整结案率后）xl 4" xfId="2689"/>
    <cellStyle name="Accent1 - 20% 3" xfId="2690"/>
    <cellStyle name="好_财政供养人员 5" xfId="2691"/>
    <cellStyle name="注释 6" xfId="2692"/>
    <cellStyle name="输入 2" xfId="2693"/>
    <cellStyle name="20% - 强调文字颜色 1 4" xfId="2694"/>
    <cellStyle name="Accent5 - 60% 7" xfId="2695"/>
    <cellStyle name="数字 7" xfId="2696"/>
    <cellStyle name="Calculation 9" xfId="2697"/>
    <cellStyle name="Accent6 - 60% 5" xfId="2698"/>
    <cellStyle name="40% - 强调文字颜色 5 8 2" xfId="2699"/>
    <cellStyle name="60% - Accent2 2" xfId="2700"/>
    <cellStyle name="注释 4" xfId="2701"/>
    <cellStyle name="好_财政供养人员 3" xfId="2702"/>
    <cellStyle name="Norma,_laroux_4_营业在建 (2)_E21" xfId="2703"/>
    <cellStyle name="差_奖励补助测算7.23 5" xfId="2704"/>
    <cellStyle name="好_~5676413 4" xfId="2705"/>
    <cellStyle name="标题 3 3 4" xfId="2706"/>
    <cellStyle name="差_地方配套按人均增幅控制8.30一般预算平均增幅、人均可用财力平均增幅两次控制、社会治安系数调整、案件数调整xl 7" xfId="2707"/>
    <cellStyle name="20% - 强调文字颜色 3 3 3" xfId="2708"/>
    <cellStyle name="好_高中教师人数（教育厅1.6日提供） 4" xfId="2709"/>
    <cellStyle name="输出 4 2" xfId="2710"/>
    <cellStyle name="输入 6 2" xfId="2711"/>
    <cellStyle name="20% - 强调文字颜色 1 8 2" xfId="2712"/>
    <cellStyle name="差_2009年一般性转移支付标准工资_奖励补助测算7.23 8" xfId="2713"/>
    <cellStyle name="40% - 强调文字颜色 4 8" xfId="2714"/>
    <cellStyle name="差_2009年一般性转移支付标准工资_~5676413 7" xfId="2715"/>
    <cellStyle name="20% - Accent3" xfId="2716"/>
    <cellStyle name="好_0502通海县" xfId="2717"/>
    <cellStyle name="常规 42" xfId="2718"/>
    <cellStyle name="常规 37" xfId="2719"/>
    <cellStyle name="60% - Accent6 7" xfId="2720"/>
    <cellStyle name="Normal - Style1" xfId="2721"/>
    <cellStyle name="no dec" xfId="2722"/>
    <cellStyle name="好_2007年政法部门业务指标 9" xfId="2723"/>
    <cellStyle name="20% - 强调文字颜色 1 3" xfId="2724"/>
    <cellStyle name="40% - Accent1 7" xfId="2725"/>
    <cellStyle name="常规 65" xfId="2726"/>
    <cellStyle name="40% - 强调文字颜色 1 3 4" xfId="2727"/>
    <cellStyle name="20% - 强调文字颜色 6 3 3" xfId="2728"/>
    <cellStyle name="20% - 强调文字颜色 1 3 4" xfId="2729"/>
    <cellStyle name="强调文字颜色 1 3 2" xfId="2730"/>
    <cellStyle name="Accent4 4" xfId="2731"/>
    <cellStyle name="20% - Accent1 2" xfId="2732"/>
    <cellStyle name="好_教育厅提供义务教育及高中教师人数（2009年1月6日）" xfId="2733"/>
    <cellStyle name="40% - 强调文字颜色 3 6 2" xfId="2734"/>
    <cellStyle name="差_奖励补助测算5.23新 6" xfId="2735"/>
    <cellStyle name="强调文字颜色 5 3" xfId="2736"/>
    <cellStyle name="好_教育厅提供义务教育及高中教师人数（2009年1月6日） 2" xfId="2737"/>
    <cellStyle name="20% - 强调文字颜色 6 6" xfId="2738"/>
    <cellStyle name="好_2007年人员分部门统计表 8" xfId="2739"/>
    <cellStyle name="40% - Accent1 9" xfId="2740"/>
    <cellStyle name="好_2006年在职人员情况" xfId="2741"/>
    <cellStyle name="差_M01-2(州市补助收入) 2" xfId="2742"/>
    <cellStyle name="解释性文本 3 5" xfId="2743"/>
    <cellStyle name="强调文字颜色 6 5" xfId="2744"/>
    <cellStyle name="好_汇总-县级财政报表附表 5" xfId="2745"/>
    <cellStyle name="20% - Accent6 3" xfId="2746"/>
    <cellStyle name="20% - 强调文字颜色 6 4" xfId="2747"/>
    <cellStyle name="40% - 强调文字颜色 2 5" xfId="2748"/>
    <cellStyle name="Input 9" xfId="2749"/>
    <cellStyle name="好_1003牟定县 6" xfId="2750"/>
    <cellStyle name="Neutral 7" xfId="2751"/>
    <cellStyle name="好_义务教育阶段教职工人数（教育厅提供最终） 8" xfId="2752"/>
    <cellStyle name="Accent4_公安安全支出补充表5.14" xfId="2753"/>
    <cellStyle name="差_地方配套按人均增幅控制8.30一般预算平均增幅、人均可用财力平均增幅两次控制、社会治安系数调整、案件数调整xl 6" xfId="2754"/>
    <cellStyle name="Input Cells" xfId="2755"/>
    <cellStyle name="60% - 强调文字颜色 4 7 2" xfId="2756"/>
    <cellStyle name="标题 3 3 3" xfId="2757"/>
    <cellStyle name="差_5334_2006年迪庆县级财政报表附表 3" xfId="2758"/>
    <cellStyle name="警告文本 3 6" xfId="2759"/>
    <cellStyle name="差_2009年一般性转移支付标准工资_奖励补助测算7.25 (version 1) (version 1) 7" xfId="2760"/>
    <cellStyle name="60% - Accent2" xfId="2761"/>
    <cellStyle name="好_2009年一般性转移支付标准工资_奖励补助测算5.24冯铸 4" xfId="2762"/>
    <cellStyle name="40% - 强调文字颜色 5 8" xfId="2763"/>
    <cellStyle name="好_00省级(定稿) 8" xfId="2764"/>
    <cellStyle name="60% - 强调文字颜色 4 7" xfId="2765"/>
    <cellStyle name="常规 2 6 7" xfId="2766"/>
    <cellStyle name="注释 3 4" xfId="2767"/>
    <cellStyle name="好_2009年一般性转移支付标准工资_奖励补助测算5.23新 7" xfId="2768"/>
    <cellStyle name="常规 2 2 8" xfId="2769"/>
    <cellStyle name="60% - Accent2 8" xfId="2770"/>
    <cellStyle name="Accent3 - 20% 3" xfId="2771"/>
    <cellStyle name="好_2009年一般性转移支付标准工资_地方配套按人均增幅控制8.30一般预算平均增幅、人均可用财力平均增幅两次控制、社会治安系数调整、案件数调整xl 9" xfId="2772"/>
    <cellStyle name="40% - 强调文字颜色 4 4" xfId="2773"/>
    <cellStyle name="标题 9 2" xfId="2774"/>
    <cellStyle name="差_2009年一般性转移支付标准工资_地方配套按人均增幅控制8.30xl 2" xfId="2775"/>
    <cellStyle name="60% - Accent2 7" xfId="2776"/>
    <cellStyle name="解释性文本 5 2" xfId="2777"/>
    <cellStyle name="好_指标四 3" xfId="2778"/>
    <cellStyle name="差_2、土地面积、人口、粮食产量基本情况 2" xfId="2779"/>
    <cellStyle name="适中 10" xfId="2780"/>
    <cellStyle name="Accent6 - 40% 5" xfId="2781"/>
    <cellStyle name="好_业务工作量指标 8" xfId="2782"/>
    <cellStyle name="60% - 强调文字颜色 5 3 6" xfId="2783"/>
    <cellStyle name="Heading 4 7" xfId="2784"/>
    <cellStyle name="差_奖励补助测算5.23新 4" xfId="2785"/>
    <cellStyle name="40% - Accent1 3" xfId="2786"/>
    <cellStyle name="好_M01-2(州市补助收入)" xfId="2787"/>
    <cellStyle name="差_~5676413 4" xfId="2788"/>
    <cellStyle name="Accent4 - 20% 3" xfId="2789"/>
    <cellStyle name="差_三季度－表二 4" xfId="2790"/>
    <cellStyle name="标题 3 10" xfId="2791"/>
    <cellStyle name="差_汇总-县级财政报表附表 4" xfId="2792"/>
    <cellStyle name="60% - Accent3 3" xfId="2793"/>
    <cellStyle name="差_县级公安机关公用经费标准奖励测算方案（定稿） 4" xfId="2794"/>
    <cellStyle name="千位分隔[0]_2011年1月份进度表" xfId="2795"/>
    <cellStyle name="差_不用软件计算9.1不考虑经费管理评价xl 6" xfId="2796"/>
    <cellStyle name="0,0_x000d__x000a_NA_x000d__x000a_" xfId="2797"/>
    <cellStyle name="链接单元格 3 5" xfId="2798"/>
    <cellStyle name="差 7" xfId="2799"/>
    <cellStyle name="20% - 强调文字颜色 3 3 7" xfId="2800"/>
    <cellStyle name="强调文字颜色 3 3 5" xfId="2801"/>
    <cellStyle name="好_高中教师人数（教育厅1.6日提供） 8" xfId="2802"/>
    <cellStyle name="20% - 强调文字颜色 1 7 2" xfId="2803"/>
    <cellStyle name="输入 5 2" xfId="2804"/>
    <cellStyle name="常规 3 2 5" xfId="2805"/>
    <cellStyle name="Bad 9" xfId="2806"/>
    <cellStyle name="Accent6 - 20% 3" xfId="2807"/>
    <cellStyle name="强调文字颜色 5 8 2" xfId="2808"/>
    <cellStyle name="40% - 强调文字颜色 1 3" xfId="2809"/>
    <cellStyle name="差_奖励补助测算7.25 5" xfId="2810"/>
    <cellStyle name="60% - Accent4 7" xfId="2811"/>
    <cellStyle name="好_M03 3" xfId="2812"/>
    <cellStyle name="60% - 强调文字颜色 2 4 2" xfId="2813"/>
    <cellStyle name="好_2008云南省分县市中小学教职工统计表（教育厅提供） 4" xfId="2814"/>
    <cellStyle name="Calculation 3" xfId="2815"/>
    <cellStyle name="差_Book1" xfId="2816"/>
    <cellStyle name="差_2009年一般性转移支付标准工资_地方配套按人均增幅控制8.30一般预算平均增幅、人均可用财力平均增幅两次控制、社会治安系数调整、案件数调整xl" xfId="2817"/>
    <cellStyle name="Accent1 - 60% 7" xfId="2818"/>
    <cellStyle name="差_5334_2006年迪庆县级财政报表附表 8" xfId="2819"/>
    <cellStyle name="40% - 强调文字颜色 1 3 2" xfId="2820"/>
    <cellStyle name="注释 7" xfId="2821"/>
    <cellStyle name="好_财政供养人员 6" xfId="2822"/>
    <cellStyle name="Heading 3 5" xfId="2823"/>
    <cellStyle name="千位分隔[0] 2 2" xfId="2824"/>
    <cellStyle name="强调文字颜色 1 4" xfId="2825"/>
    <cellStyle name="好_2007年人员分部门统计表 4" xfId="2826"/>
    <cellStyle name="20% - 强调文字颜色 6 2" xfId="2827"/>
    <cellStyle name="Heading 1" xfId="2828"/>
    <cellStyle name="20% - 强调文字颜色 1 4 2" xfId="2829"/>
    <cellStyle name="注释 9 2" xfId="2830"/>
    <cellStyle name="警告文本 7" xfId="2831"/>
    <cellStyle name="千分位[0]_ 白土" xfId="2832"/>
    <cellStyle name="好_下半年禁毒办案经费分配2544.3万元" xfId="2833"/>
    <cellStyle name="Accent5 - 40%" xfId="2834"/>
    <cellStyle name="40% - 强调文字颜色 4 4 2" xfId="2835"/>
    <cellStyle name="40% - 强调文字颜色 6 2" xfId="2836"/>
    <cellStyle name="20% - 强调文字颜色 3 6" xfId="2837"/>
    <cellStyle name="好_0502通海县 5" xfId="2838"/>
    <cellStyle name="Accent6 7" xfId="2839"/>
    <cellStyle name="20% - Accent3 5" xfId="2840"/>
    <cellStyle name="常规 2 7 9" xfId="2841"/>
    <cellStyle name="60% - 强调文字颜色 5 9" xfId="2842"/>
    <cellStyle name="常规 9 2" xfId="2843"/>
    <cellStyle name="差_1110洱源县 6" xfId="2844"/>
    <cellStyle name="Accent3 - 60% 7" xfId="2845"/>
    <cellStyle name="差_2009年一般性转移支付标准工资_不用软件计算9.1不考虑经费管理评价xl 7" xfId="2846"/>
    <cellStyle name="好_三季度－表二 7" xfId="2847"/>
    <cellStyle name="好_Book1 9" xfId="2848"/>
    <cellStyle name="强调文字颜色 2 7" xfId="2849"/>
    <cellStyle name="差_2006年全省财力计算表（中央、决算） 2" xfId="2850"/>
    <cellStyle name="好_奖励补助测算7.23" xfId="2851"/>
    <cellStyle name="强调文字颜色 6 4 2" xfId="2852"/>
    <cellStyle name="常规 3_Book1" xfId="2853"/>
    <cellStyle name="好_云南省2008年转移支付测算——州市本级考核部分及政策性测算 2" xfId="2854"/>
    <cellStyle name="40% - 强调文字颜色 2 9 2" xfId="2855"/>
    <cellStyle name="好_2009年一般性转移支付标准工资_奖励补助测算7.25 (version 1) (version 1) 7" xfId="2856"/>
    <cellStyle name="40% - 强调文字颜色 6 4 2" xfId="2857"/>
    <cellStyle name="20% - 强调文字颜色 4 3 7" xfId="2858"/>
    <cellStyle name="好_2009年一般性转移支付标准工资_奖励补助测算7.23 6" xfId="2859"/>
    <cellStyle name="常规_yb4000" xfId="2860"/>
    <cellStyle name="强调文字颜色 4 3 5" xfId="2861"/>
    <cellStyle name="差_高中教师人数（教育厅1.6日提供） 3" xfId="2862"/>
    <cellStyle name="好_2007年人员分部门统计表 9" xfId="2863"/>
    <cellStyle name="60% - Accent1 4" xfId="2864"/>
    <cellStyle name="20% - Accent6 6" xfId="2865"/>
    <cellStyle name="千位分隔[0] 2 3" xfId="2866"/>
    <cellStyle name="Heading 3 6" xfId="2867"/>
    <cellStyle name="常规 2 8 5" xfId="2868"/>
    <cellStyle name="60% - 强调文字颜色 6 5" xfId="2869"/>
    <cellStyle name="60% - 强调文字颜色 6 7" xfId="2870"/>
    <cellStyle name="Output 2" xfId="2871"/>
    <cellStyle name="常规 2 8 7" xfId="2872"/>
    <cellStyle name="Accent3 - 60% 5" xfId="2873"/>
    <cellStyle name="差_卫生部门 9" xfId="2874"/>
    <cellStyle name="差_1110洱源县 4" xfId="2875"/>
    <cellStyle name="差_M01-2(州市补助收入) 7" xfId="2876"/>
    <cellStyle name="常规_2023101016533984" xfId="2877"/>
    <cellStyle name="差_M01-2(州市补助收入) 6" xfId="2878"/>
    <cellStyle name="Accent3 - 40% 4" xfId="2879"/>
    <cellStyle name="40% - Accent4" xfId="2880"/>
    <cellStyle name="差_530623_2006年县级财政报表附表" xfId="2881"/>
    <cellStyle name="20% - 强调文字颜色 4 7 2" xfId="2882"/>
    <cellStyle name="常规 3 2 2" xfId="2883"/>
    <cellStyle name="强调文字颜色 4 9" xfId="2884"/>
    <cellStyle name="适中 4" xfId="2885"/>
    <cellStyle name="好_2009年一般性转移支付标准工资_不用软件计算9.1不考虑经费管理评价xl 3" xfId="2886"/>
    <cellStyle name="千位分隔 2 5" xfId="2887"/>
    <cellStyle name="40% - 强调文字颜色 2 8 2" xfId="2888"/>
    <cellStyle name="好_2007年人员分部门统计表 7" xfId="2889"/>
    <cellStyle name="差_不用软件计算9.1不考虑经费管理评价xl 8" xfId="2890"/>
    <cellStyle name="60% - Accent3 5" xfId="2891"/>
    <cellStyle name="差_汇总-县级财政报表附表 6" xfId="2892"/>
    <cellStyle name="好_县级公安机关公用经费标准奖励测算方案（定稿） 3" xfId="2893"/>
    <cellStyle name="差_2006年基础数据 5" xfId="2894"/>
    <cellStyle name="Accent2 - 60% 2" xfId="2895"/>
    <cellStyle name="20% - 强调文字颜色 4 9 2" xfId="2896"/>
    <cellStyle name="好_奖励补助测算5.23新 5" xfId="2897"/>
    <cellStyle name="好_00省级(打印) 2" xfId="2898"/>
    <cellStyle name="20% - Accent6 5" xfId="2899"/>
    <cellStyle name="60% - Accent1 3" xfId="2900"/>
    <cellStyle name="20% - 强调文字颜色 6 8 2" xfId="2901"/>
    <cellStyle name="Accent5 - 40% 8" xfId="2902"/>
    <cellStyle name="链接单元格 9" xfId="2903"/>
    <cellStyle name="好_1003牟定县 9" xfId="2904"/>
    <cellStyle name="好_云南农村义务教育统计表 4" xfId="2905"/>
    <cellStyle name="好_~5676413 7" xfId="2906"/>
    <cellStyle name="PSDate" xfId="2907"/>
    <cellStyle name="常规 7 5" xfId="2908"/>
    <cellStyle name="60% - 强调文字颜色 5 8 2" xfId="2909"/>
    <cellStyle name="差_0605石屏县 8" xfId="2910"/>
    <cellStyle name="差_云南省2008年中小学教职工情况（教育厅提供20090101加工整理） 3" xfId="2911"/>
    <cellStyle name="好_2009年一般性转移支付标准工资_地方配套按人均增幅控制8.31（调整结案率后）xl 7" xfId="2912"/>
    <cellStyle name="20% - Accent1" xfId="2913"/>
    <cellStyle name="常规 40" xfId="2914"/>
    <cellStyle name="常规 35" xfId="2915"/>
    <cellStyle name="差_2009年一般性转移支付标准工资_~5676413 5" xfId="2916"/>
    <cellStyle name="20% - Accent3 8" xfId="2917"/>
    <cellStyle name="好_0502通海县 8" xfId="2918"/>
    <cellStyle name="好_00省级(定稿) 6" xfId="2919"/>
    <cellStyle name="40% - 强调文字颜色 2 3 4" xfId="2920"/>
    <cellStyle name="Accent6 2" xfId="2921"/>
    <cellStyle name="常规 5 2 4" xfId="2922"/>
    <cellStyle name="标题 2 3" xfId="2923"/>
    <cellStyle name="好_业务工作量指标 2" xfId="2924"/>
    <cellStyle name="Note 4" xfId="2925"/>
    <cellStyle name="好_2007年政法部门业务指标 2" xfId="2926"/>
    <cellStyle name="40% - 强调文字颜色 5 7 2" xfId="2927"/>
    <cellStyle name="20% - Accent6 4" xfId="2928"/>
    <cellStyle name="60% - Accent1 2" xfId="2929"/>
    <cellStyle name="强调文字颜色 1 3" xfId="2930"/>
    <cellStyle name="注释 10" xfId="2931"/>
    <cellStyle name="40% - Accent4 9" xfId="2932"/>
    <cellStyle name="40% - Accent6 6" xfId="2933"/>
    <cellStyle name="差_2007年人员分部门统计表 8" xfId="2934"/>
    <cellStyle name="好_0502通海县 4" xfId="2935"/>
    <cellStyle name="Accent6 6" xfId="2936"/>
    <cellStyle name="20% - Accent3 4" xfId="2937"/>
    <cellStyle name="40% - 强调文字颜色 5 4 2" xfId="2938"/>
    <cellStyle name="好_2009年一般性转移支付标准工资_奖励补助测算5.24冯铸 8" xfId="2939"/>
    <cellStyle name="好_2009年一般性转移支付标准工资_奖励补助测算7.25 (version 1) (version 1) 4" xfId="2940"/>
    <cellStyle name="60% - Accent6" xfId="2941"/>
    <cellStyle name="强调文字颜色 4 3" xfId="2942"/>
    <cellStyle name="强调文字颜色 2 10" xfId="2943"/>
    <cellStyle name="好_2009年一般性转移支付标准工资_奖励补助测算7.25" xfId="2944"/>
    <cellStyle name="20% - 强调文字颜色 3 2" xfId="2945"/>
    <cellStyle name="适中 7" xfId="2946"/>
    <cellStyle name="百分比 3" xfId="2947"/>
    <cellStyle name="60% - 强调文字颜色 2 3 6" xfId="2948"/>
    <cellStyle name="好_2006年全省财力计算表（中央、决算） 3" xfId="2949"/>
    <cellStyle name="Accent4 - 60% 7" xfId="2950"/>
    <cellStyle name="好_汇总-县级财政报表附表 2" xfId="2951"/>
    <cellStyle name="好_2008云南省分县市中小学教职工统计表（教育厅提供）" xfId="2952"/>
    <cellStyle name="好_2009年一般性转移支付标准工资 5" xfId="2953"/>
    <cellStyle name="20% - 强调文字颜色 1 8" xfId="2954"/>
    <cellStyle name="输入 6" xfId="2955"/>
    <cellStyle name="20% - 强调文字颜色 6 3 2" xfId="2956"/>
    <cellStyle name="40% - 强调文字颜色 1 3 3" xfId="2957"/>
    <cellStyle name="差_5334_2006年迪庆县级财政报表附表 9" xfId="2958"/>
    <cellStyle name="差_2009年一般性转移支付标准工资_奖励补助测算5.22测试 8" xfId="2959"/>
    <cellStyle name="好_第五部分(才淼、饶永宏） 8" xfId="2960"/>
    <cellStyle name="20% - Accent4 3" xfId="2961"/>
    <cellStyle name="20% - 强调文字颜色 4 4" xfId="2962"/>
    <cellStyle name="Currency [0]" xfId="2963"/>
    <cellStyle name="常规 2 2 3" xfId="2964"/>
    <cellStyle name="40% - 强调文字颜色 3 9 2" xfId="2965"/>
    <cellStyle name="差_Book1_1 8" xfId="2966"/>
    <cellStyle name="常规 30" xfId="2967"/>
    <cellStyle name="常规 25" xfId="2968"/>
    <cellStyle name="60% - 强调文字颜色 4 3 7" xfId="2969"/>
    <cellStyle name="差_0502通海县 2" xfId="2970"/>
    <cellStyle name="小数 7" xfId="2971"/>
    <cellStyle name="检查单元格 9" xfId="2972"/>
    <cellStyle name="40% - 强调文字颜色 3 8" xfId="2973"/>
    <cellStyle name="好_03昭通 4" xfId="2974"/>
    <cellStyle name="数字 6" xfId="2975"/>
    <cellStyle name="Calculation 8" xfId="2976"/>
    <cellStyle name="Accent5 - 60% 6" xfId="2977"/>
    <cellStyle name="好_卫生部门" xfId="2978"/>
    <cellStyle name="差_2006年全省财力计算表（中央、决算） 6" xfId="2979"/>
    <cellStyle name="标题 3 8 2" xfId="2980"/>
    <cellStyle name="好_2009年一般性转移支付标准工资_奖励补助测算7.25 5" xfId="2981"/>
    <cellStyle name="百分比 10" xfId="2982"/>
    <cellStyle name="40% - Accent6 9" xfId="2983"/>
    <cellStyle name="表标题" xfId="2984"/>
    <cellStyle name="注释 3 5" xfId="2985"/>
    <cellStyle name="好_2009年一般性转移支付标准工资_奖励补助测算5.23新 8" xfId="2986"/>
    <cellStyle name="40% - 强调文字颜色 1 4 2" xfId="2987"/>
    <cellStyle name="样式 1" xfId="2988"/>
    <cellStyle name="Accent1 8" xfId="2989"/>
    <cellStyle name="好_Book1_1 4" xfId="2990"/>
    <cellStyle name="适中 7 2" xfId="2991"/>
    <cellStyle name="好_530623_2006年县级财政报表附表 9" xfId="2992"/>
    <cellStyle name="60% - Accent2 6" xfId="2993"/>
    <cellStyle name="Accent4 - 60%" xfId="2994"/>
    <cellStyle name="捠壿 [0.00]_Region Orders (2)" xfId="2995"/>
    <cellStyle name="40% - 强调文字颜色 3 3 7" xfId="2996"/>
    <cellStyle name="Accent4 - 20% 9" xfId="2997"/>
    <cellStyle name="输入 3 5" xfId="2998"/>
    <cellStyle name="千位分隔[0] 2 4" xfId="2999"/>
    <cellStyle name="Heading 3 7" xfId="3000"/>
    <cellStyle name="好_2006年水利统计指标统计表 4" xfId="3001"/>
    <cellStyle name="汇总 5" xfId="3002"/>
    <cellStyle name="输出 3 2" xfId="3003"/>
    <cellStyle name="好_03昭通" xfId="3004"/>
    <cellStyle name="20% - Accent1 4" xfId="3005"/>
    <cellStyle name="常规 2 2 2 3" xfId="3006"/>
    <cellStyle name="Accent4 6" xfId="3007"/>
    <cellStyle name="后继超链接 8" xfId="3008"/>
    <cellStyle name="差_2006年基础数据 4" xfId="3009"/>
    <cellStyle name="差_2006年基础数据 6" xfId="3010"/>
    <cellStyle name="Accent2 - 60% 3" xfId="3011"/>
    <cellStyle name="常规 10" xfId="3012"/>
    <cellStyle name="好_奖励补助测算5.23新 6" xfId="3013"/>
    <cellStyle name="好_00省级(打印) 3" xfId="3014"/>
    <cellStyle name="Good" xfId="3015"/>
    <cellStyle name="60% - 强调文字颜色 5 4 2" xfId="3016"/>
    <cellStyle name="链接单元格 3 7" xfId="3017"/>
    <cellStyle name="差 9" xfId="3018"/>
    <cellStyle name="Neutral 8" xfId="3019"/>
    <cellStyle name="好_2006年在职人员情况 2" xfId="3020"/>
    <cellStyle name="好_2009年一般性转移支付标准工资_地方配套按人均增幅控制8.30xl 2" xfId="3021"/>
    <cellStyle name="Accent5 - 40% 2" xfId="3022"/>
    <cellStyle name="链接单元格 3" xfId="3023"/>
    <cellStyle name="好_2006年在职人员情况 9" xfId="3024"/>
    <cellStyle name="好_2009年一般性转移支付标准工资_地方配套按人均增幅控制8.30xl 9" xfId="3025"/>
    <cellStyle name="好_Book2 3" xfId="3026"/>
    <cellStyle name="好_地方配套按人均增幅控制8.31（调整结案率后）xl 5" xfId="3027"/>
    <cellStyle name="差_Book2 4" xfId="3028"/>
    <cellStyle name="40% - Accent1 6" xfId="3029"/>
    <cellStyle name="好_2006年水利统计指标统计表 9" xfId="3030"/>
    <cellStyle name="Neutral" xfId="3031"/>
    <cellStyle name="常规 8 8" xfId="3032"/>
    <cellStyle name="Total" xfId="3033"/>
    <cellStyle name="60% - 强调文字颜色 2 3 7" xfId="3034"/>
    <cellStyle name="好_2006年全省财力计算表（中央、决算） 4" xfId="3035"/>
    <cellStyle name="Accent4 - 60% 8" xfId="3036"/>
    <cellStyle name="好_财政供养人员" xfId="3037"/>
    <cellStyle name="标题 10 2" xfId="3038"/>
    <cellStyle name="检查单元格 3 6" xfId="3039"/>
    <cellStyle name="好_0605石屏县 9" xfId="3040"/>
    <cellStyle name="Explanatory Text 5" xfId="3041"/>
    <cellStyle name="好_530623_2006年县级财政报表附表 4" xfId="3042"/>
    <cellStyle name="好_2007年人员分部门统计表" xfId="3043"/>
    <cellStyle name="差_2009年一般性转移支付标准工资_不用软件计算9.1不考虑经费管理评价xl 3" xfId="3044"/>
    <cellStyle name="好_2009年一般性转移支付标准工资 7" xfId="3045"/>
    <cellStyle name="好_三季度－表二 3" xfId="3046"/>
    <cellStyle name="好_不用软件计算9.1不考虑经费管理评价xl 9" xfId="3047"/>
    <cellStyle name="60% - 强调文字颜色 5 5" xfId="3048"/>
    <cellStyle name="常规 2 7 5" xfId="3049"/>
    <cellStyle name="Neutral 4" xfId="3050"/>
    <cellStyle name="好_2009年一般性转移支付标准工资_地方配套按人均增幅控制8.31（调整结案率后）xl" xfId="3051"/>
    <cellStyle name="差_2009年一般性转移支付标准工资_~4190974 9" xfId="3052"/>
    <cellStyle name="适中 3 7" xfId="3053"/>
    <cellStyle name="强调文字颜色 3 3 6" xfId="3054"/>
    <cellStyle name="好_高中教师人数（教育厅1.6日提供） 9" xfId="3055"/>
    <cellStyle name="差_2007年政法部门业务指标 9" xfId="3056"/>
    <cellStyle name="Accent6 - 40%" xfId="3057"/>
    <cellStyle name="好_奖励补助测算7.25 (version 1) (version 1)" xfId="3058"/>
    <cellStyle name="差_第五部分(才淼、饶永宏） 3" xfId="3059"/>
    <cellStyle name="差_00省级(定稿) 7" xfId="3060"/>
    <cellStyle name="好_~5676413 9" xfId="3061"/>
    <cellStyle name="差_2007年检察院案件数" xfId="3062"/>
    <cellStyle name="常规 2 8 4" xfId="3063"/>
    <cellStyle name="60% - 强调文字颜色 6 4" xfId="3064"/>
    <cellStyle name="20% - 强调文字颜色 3 9 2" xfId="3065"/>
    <cellStyle name="常规 7 6" xfId="3066"/>
    <cellStyle name="链接单元格 3 4" xfId="3067"/>
    <cellStyle name="差 6" xfId="3068"/>
    <cellStyle name="好_2009年一般性转移支付标准工资_~4190974 5" xfId="3069"/>
    <cellStyle name="链接单元格 8 2" xfId="3070"/>
    <cellStyle name="解释性文本 9" xfId="3071"/>
    <cellStyle name="差_2009年一般性转移支付标准工资_~5676413 3" xfId="3072"/>
    <cellStyle name="常规 28" xfId="3073"/>
    <cellStyle name="常规 33" xfId="3074"/>
    <cellStyle name="差_2009年一般性转移支付标准工资_奖励补助测算5.22测试 4" xfId="3075"/>
    <cellStyle name="常规 5 6" xfId="3076"/>
    <cellStyle name="20% - 强调文字颜色 3 7 2" xfId="3077"/>
    <cellStyle name="好_~5676413 8" xfId="3078"/>
    <cellStyle name="差_2、土地面积、人口、粮食产量基本情况 8" xfId="3079"/>
    <cellStyle name="后继超链接" xfId="3080"/>
    <cellStyle name="Accent4 - 60% 5" xfId="3081"/>
    <cellStyle name="60% - 强调文字颜色 2 3 4" xfId="3082"/>
    <cellStyle name="Milliers_!!!GO" xfId="3083"/>
    <cellStyle name="常规 2 3 7" xfId="3084"/>
    <cellStyle name="60% - 强调文字颜色 1 7" xfId="3085"/>
    <cellStyle name="常规_2024109104737906" xfId="3086"/>
    <cellStyle name="好_2009年一般性转移支付标准工资_~5676413 7" xfId="3087"/>
    <cellStyle name="常规 2 2 7" xfId="3088"/>
    <cellStyle name="好_指标四 2" xfId="3089"/>
    <cellStyle name="好_03昭通 7" xfId="3090"/>
    <cellStyle name="好_2、土地面积、人口、粮食产量基本情况" xfId="3091"/>
    <cellStyle name="20% - 强调文字颜色 2 2" xfId="3092"/>
    <cellStyle name="Accent3 - 20% 4" xfId="3093"/>
    <cellStyle name="常规 11 2" xfId="3094"/>
    <cellStyle name="差_财政供养人员 2" xfId="3095"/>
    <cellStyle name="差_奖励补助测算7.23 6" xfId="3096"/>
    <cellStyle name="常规 6 3" xfId="3097"/>
    <cellStyle name="差_2009年一般性转移支付标准工资_奖励补助测算5.23新 6" xfId="3098"/>
    <cellStyle name="好_2、土地面积、人口、粮食产量基本情况 9" xfId="3099"/>
    <cellStyle name="强调文字颜色 2 3 5" xfId="3100"/>
    <cellStyle name="20% - 强调文字颜色 2 3 7" xfId="3101"/>
    <cellStyle name="标题 6 7" xfId="3102"/>
    <cellStyle name="好_2009年一般性转移支付标准工资_奖励补助测算5.23新 3" xfId="3103"/>
    <cellStyle name="强调文字颜色 2 3 7" xfId="3104"/>
    <cellStyle name="检查单元格 7" xfId="3105"/>
    <cellStyle name="好_2009年一般性转移支付标准工资_奖励补助测算5.24冯铸 9" xfId="3106"/>
    <cellStyle name="好_2009年一般性转移支付标准工资_奖励补助测算7.25 (version 1) (version 1) 5" xfId="3107"/>
    <cellStyle name="解释性文本 4 2" xfId="3108"/>
    <cellStyle name="40% - 强调文字颜色 1 9 2" xfId="3109"/>
    <cellStyle name="注释 2 4" xfId="3110"/>
    <cellStyle name="常规_2012年3月月报_2014年10月月报" xfId="3111"/>
    <cellStyle name="40% - 强调文字颜色 3 6" xfId="3112"/>
    <cellStyle name="好_03昭通 2" xfId="3113"/>
    <cellStyle name="40% - 强调文字颜色 2 4" xfId="3114"/>
    <cellStyle name="Input 8" xfId="3115"/>
    <cellStyle name="Heading 3" xfId="3116"/>
    <cellStyle name="强调文字颜色 1 4 2" xfId="3117"/>
    <cellStyle name="好_2009年一般性转移支付标准工资_奖励补助测算7.25 4" xfId="3118"/>
    <cellStyle name="好_2009年一般性转移支付标准工资_奖励补助测算7.25 8" xfId="3119"/>
    <cellStyle name="好_2009年一般性转移支付标准工资_奖励补助测算5.23新 6" xfId="3120"/>
    <cellStyle name="注释 3 3" xfId="3121"/>
    <cellStyle name="昗弨_Pacific Region P&amp;L" xfId="3122"/>
    <cellStyle name="标题 2 3 2" xfId="3123"/>
    <cellStyle name="差_05玉溪" xfId="3124"/>
    <cellStyle name="差_奖励补助测算7.25 7" xfId="3125"/>
    <cellStyle name="常规 2 2 2 9" xfId="3126"/>
    <cellStyle name="Percent [2]" xfId="3127"/>
    <cellStyle name="好_2009年一般性转移支付标准工资_奖励补助测算7.25 (version 1) (version 1) 9" xfId="3128"/>
    <cellStyle name="常规 3 5" xfId="3129"/>
    <cellStyle name="差_奖励补助测算7.25 (version 1) (version 1)" xfId="3130"/>
    <cellStyle name="数字 9" xfId="3131"/>
    <cellStyle name="Accent5 - 60% 9" xfId="3132"/>
    <cellStyle name="好_2009年一般性转移支付标准工资_地方配套按人均增幅控制8.30一般预算平均增幅、人均可用财力平均增幅两次控制、社会治安系数调整、案件数调整xl 5" xfId="3133"/>
    <cellStyle name="60% - 强调文字颜色 4 3" xfId="3134"/>
    <cellStyle name="常规 2 6 3" xfId="3135"/>
    <cellStyle name="好_2009年一般性转移支付标准工资_奖励补助测算5.22测试 6" xfId="3136"/>
    <cellStyle name="差_指标四 3" xfId="3137"/>
    <cellStyle name="常规 6 7" xfId="3138"/>
    <cellStyle name="好_2007年检察院案件数 9" xfId="3139"/>
    <cellStyle name="20% - 强调文字颜色 3 8" xfId="3140"/>
    <cellStyle name="20% - 强调文字颜色 5 5 2" xfId="3141"/>
    <cellStyle name="好_义务教育阶段教职工人数（教育厅提供最终） 4" xfId="3142"/>
    <cellStyle name="好_1110洱源县 3" xfId="3143"/>
    <cellStyle name="差_2008云南省分县市中小学教职工统计表（教育厅提供） 6" xfId="3144"/>
    <cellStyle name="60% - 强调文字颜色 4 3 2" xfId="3145"/>
    <cellStyle name="好_M03 7" xfId="3146"/>
    <cellStyle name="好_M01-2(州市补助收入) 9" xfId="3147"/>
    <cellStyle name="60% - 强调文字颜色 4 9 2" xfId="3148"/>
    <cellStyle name="60% - 强调文字颜色 6 3 6" xfId="3149"/>
    <cellStyle name="20% - 强调文字颜色 4 8 2" xfId="3150"/>
    <cellStyle name="差_2009年一般性转移支付标准工资_~4190974 2" xfId="3151"/>
    <cellStyle name="常规 5 2 5" xfId="3152"/>
    <cellStyle name="标题 2 4" xfId="3153"/>
    <cellStyle name="标题 1 10" xfId="3154"/>
    <cellStyle name="Note 5" xfId="3155"/>
    <cellStyle name="好_2007年政法部门业务指标 3" xfId="3156"/>
    <cellStyle name="常规 17" xfId="3157"/>
    <cellStyle name="常规 22" xfId="3158"/>
    <cellStyle name="好_下半年禁吸戒毒经费1000万元 8" xfId="3159"/>
    <cellStyle name="常规 17 3" xfId="3160"/>
    <cellStyle name="好 3 6" xfId="3161"/>
    <cellStyle name="百分比 9 2" xfId="3162"/>
    <cellStyle name="40% - 强调文字颜色 3 3 6" xfId="3163"/>
    <cellStyle name="差_三季度－表二 9" xfId="3164"/>
    <cellStyle name="差_~5676413 9" xfId="3165"/>
    <cellStyle name="Accent4 - 20% 8" xfId="3166"/>
    <cellStyle name="常规 3 7" xfId="3167"/>
    <cellStyle name="差_2009年一般性转移支付标准工资_地方配套按人均增幅控制8.30xl 8" xfId="3168"/>
    <cellStyle name="表标题 5" xfId="3169"/>
    <cellStyle name="40% - 强调文字颜色 3 2" xfId="3170"/>
    <cellStyle name="常规 2 3 2" xfId="3171"/>
    <cellStyle name="60% - 强调文字颜色 1 2" xfId="3172"/>
    <cellStyle name="差_2009年一般性转移支付标准工资_奖励补助测算5.23新 7" xfId="3173"/>
    <cellStyle name="常规 6 4" xfId="3174"/>
    <cellStyle name="好_2007年检察院案件数 6" xfId="3175"/>
    <cellStyle name="常规_2024129102146109" xfId="3176"/>
    <cellStyle name="常规_2024129102151328" xfId="3177"/>
    <cellStyle name="常规_20231259119531" xfId="3178"/>
    <cellStyle name="常规_20231259116515" xfId="3179"/>
    <cellStyle name="常规_202551311112062" xfId="3180"/>
  </cellStyles>
  <tableStyles count="0" defaultTableStyle="TableStyleMedium9" defaultPivotStyle="PivotStyleLight16"/>
  <colors>
    <mruColors>
      <color rgb="00FFFF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tyles" Target="styles.xml"/><Relationship Id="rId42" Type="http://schemas.openxmlformats.org/officeDocument/2006/relationships/sharedStrings" Target="sharedStrings.xml"/><Relationship Id="rId41" Type="http://schemas.openxmlformats.org/officeDocument/2006/relationships/theme" Target="theme/theme1.xml"/><Relationship Id="rId4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4.xml"/><Relationship Id="rId38" Type="http://schemas.openxmlformats.org/officeDocument/2006/relationships/externalLink" Target="externalLinks/externalLink3.xml"/><Relationship Id="rId37" Type="http://schemas.openxmlformats.org/officeDocument/2006/relationships/externalLink" Target="externalLinks/externalLink2.xml"/><Relationship Id="rId36" Type="http://schemas.openxmlformats.org/officeDocument/2006/relationships/externalLink" Target="externalLinks/externalLink1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10&#26376;&#25968;&#25454;\&#26376;&#24230;&#26376;&#25253;\\home\uos\Desktop\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10&#26376;&#25968;&#25454;\&#26376;&#24230;&#26376;&#25253;\\\home\uos\Desktop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10&#26376;&#25968;&#25454;\&#26376;&#24230;&#26376;&#25253;\\home\uos\Desktop\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os\Desktop\10&#26376;&#25968;&#25454;\&#26376;&#24230;&#26376;&#25253;\\home\uos\Desktop\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10&#26376;&#25968;&#25454;\&#26376;&#24230;&#26376;&#25253;\\\home\uos\Desktop\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X19" sqref="X19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J34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J20" sqref="J20"/>
    </sheetView>
  </sheetViews>
  <sheetFormatPr defaultColWidth="9" defaultRowHeight="14.25"/>
  <cols>
    <col min="1" max="1" width="29.625" style="257" customWidth="1"/>
    <col min="2" max="2" width="10.625" style="257" customWidth="1"/>
    <col min="3" max="3" width="9.375" style="257"/>
    <col min="4" max="8" width="8.75" style="257" customWidth="1"/>
    <col min="9" max="9" width="10.625" style="257" customWidth="1"/>
    <col min="10" max="10" width="9.68333333333333" style="257" customWidth="1"/>
    <col min="11" max="16384" width="9" style="257"/>
  </cols>
  <sheetData>
    <row r="1" ht="24.95" customHeight="1" spans="1:10">
      <c r="A1" s="136" t="s">
        <v>197</v>
      </c>
      <c r="B1" s="136"/>
      <c r="C1" s="136"/>
      <c r="D1" s="136"/>
      <c r="E1" s="136"/>
      <c r="F1" s="136"/>
      <c r="G1" s="136"/>
      <c r="H1" s="136"/>
      <c r="I1" s="136"/>
      <c r="J1" s="136"/>
    </row>
    <row r="2" s="273" customFormat="1" ht="21" customHeight="1" spans="1:10">
      <c r="A2" s="137" t="s">
        <v>1</v>
      </c>
      <c r="B2" s="233" t="s">
        <v>93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</row>
    <row r="3" s="273" customFormat="1" ht="21" customHeight="1" spans="1:10">
      <c r="A3" s="140"/>
      <c r="B3" s="234"/>
      <c r="C3" s="141" t="s">
        <v>7</v>
      </c>
      <c r="D3" s="142" t="s">
        <v>8</v>
      </c>
      <c r="E3" s="141" t="s">
        <v>7</v>
      </c>
      <c r="F3" s="142" t="s">
        <v>8</v>
      </c>
      <c r="G3" s="141" t="s">
        <v>7</v>
      </c>
      <c r="H3" s="142" t="s">
        <v>8</v>
      </c>
      <c r="I3" s="141" t="s">
        <v>7</v>
      </c>
      <c r="J3" s="142" t="s">
        <v>8</v>
      </c>
    </row>
    <row r="4" ht="18" customHeight="1" spans="1:10">
      <c r="A4" s="260" t="s">
        <v>198</v>
      </c>
      <c r="B4" s="261" t="s">
        <v>103</v>
      </c>
      <c r="C4" s="242">
        <v>402</v>
      </c>
      <c r="D4" s="148">
        <v>3.1</v>
      </c>
      <c r="E4" s="242">
        <v>58.38446</v>
      </c>
      <c r="F4" s="148">
        <v>24.8</v>
      </c>
      <c r="G4" s="242">
        <v>89.48868</v>
      </c>
      <c r="H4" s="148">
        <v>0.3</v>
      </c>
      <c r="I4" s="242">
        <v>120</v>
      </c>
      <c r="J4" s="148">
        <v>0.5</v>
      </c>
    </row>
    <row r="5" ht="18" customHeight="1" spans="1:10">
      <c r="A5" s="260" t="s">
        <v>199</v>
      </c>
      <c r="B5" s="261" t="s">
        <v>103</v>
      </c>
      <c r="C5" s="242">
        <v>38</v>
      </c>
      <c r="D5" s="148">
        <v>-12</v>
      </c>
      <c r="E5" s="242">
        <v>3.87</v>
      </c>
      <c r="F5" s="148">
        <v>-31.7</v>
      </c>
      <c r="G5" s="242">
        <v>6</v>
      </c>
      <c r="H5" s="148">
        <v>-30</v>
      </c>
      <c r="I5" s="242">
        <v>9</v>
      </c>
      <c r="J5" s="148">
        <v>-25</v>
      </c>
    </row>
    <row r="6" ht="18" customHeight="1" spans="1:10">
      <c r="A6" s="260" t="s">
        <v>200</v>
      </c>
      <c r="B6" s="261" t="s">
        <v>103</v>
      </c>
      <c r="C6" s="242">
        <v>55.10899</v>
      </c>
      <c r="D6" s="148">
        <v>4.9</v>
      </c>
      <c r="E6" s="242">
        <v>39</v>
      </c>
      <c r="F6" s="148">
        <v>38.1</v>
      </c>
      <c r="G6" s="242">
        <v>45</v>
      </c>
      <c r="H6" s="148">
        <v>28.8</v>
      </c>
      <c r="I6" s="242">
        <v>46</v>
      </c>
      <c r="J6" s="148">
        <v>28.5</v>
      </c>
    </row>
    <row r="7" ht="18" customHeight="1" spans="1:10">
      <c r="A7" s="260" t="s">
        <v>201</v>
      </c>
      <c r="B7" s="261" t="s">
        <v>103</v>
      </c>
      <c r="C7" s="242">
        <v>6</v>
      </c>
      <c r="D7" s="148">
        <v>-12.6</v>
      </c>
      <c r="E7" s="242">
        <v>1</v>
      </c>
      <c r="F7" s="148">
        <v>104.2</v>
      </c>
      <c r="G7" s="242">
        <v>2</v>
      </c>
      <c r="H7" s="148">
        <v>229.9</v>
      </c>
      <c r="I7" s="242">
        <v>3</v>
      </c>
      <c r="J7" s="148">
        <v>333.7</v>
      </c>
    </row>
    <row r="8" ht="18" customHeight="1" spans="1:10">
      <c r="A8" s="260" t="s">
        <v>202</v>
      </c>
      <c r="B8" s="261" t="s">
        <v>103</v>
      </c>
      <c r="C8" s="242">
        <v>8</v>
      </c>
      <c r="D8" s="148">
        <v>-9.7</v>
      </c>
      <c r="E8" s="242">
        <v>1</v>
      </c>
      <c r="F8" s="148">
        <v>-4.3</v>
      </c>
      <c r="G8" s="242">
        <v>2</v>
      </c>
      <c r="H8" s="148">
        <v>-3.5</v>
      </c>
      <c r="I8" s="242">
        <v>3</v>
      </c>
      <c r="J8" s="148">
        <v>-3.3</v>
      </c>
    </row>
    <row r="9" ht="18" customHeight="1" spans="1:10">
      <c r="A9" s="260" t="s">
        <v>203</v>
      </c>
      <c r="B9" s="261" t="s">
        <v>204</v>
      </c>
      <c r="C9" s="242">
        <v>102637.2</v>
      </c>
      <c r="D9" s="148">
        <v>-4</v>
      </c>
      <c r="E9" s="242">
        <v>13662</v>
      </c>
      <c r="F9" s="148">
        <v>9.3</v>
      </c>
      <c r="G9" s="242">
        <v>22590</v>
      </c>
      <c r="H9" s="148">
        <v>12.4</v>
      </c>
      <c r="I9" s="242">
        <v>33051</v>
      </c>
      <c r="J9" s="148">
        <v>35.5</v>
      </c>
    </row>
    <row r="10" ht="18" customHeight="1" spans="1:10">
      <c r="A10" s="260" t="s">
        <v>205</v>
      </c>
      <c r="B10" s="261" t="s">
        <v>204</v>
      </c>
      <c r="C10" s="242">
        <v>102299</v>
      </c>
      <c r="D10" s="148">
        <v>-4</v>
      </c>
      <c r="E10" s="242">
        <v>13662</v>
      </c>
      <c r="F10" s="148">
        <v>9.3</v>
      </c>
      <c r="G10" s="242">
        <v>22590</v>
      </c>
      <c r="H10" s="148">
        <v>12.4</v>
      </c>
      <c r="I10" s="242">
        <v>33051</v>
      </c>
      <c r="J10" s="148">
        <v>35.5</v>
      </c>
    </row>
    <row r="11" ht="18" customHeight="1" spans="1:10">
      <c r="A11" s="260" t="s">
        <v>206</v>
      </c>
      <c r="B11" s="261" t="s">
        <v>103</v>
      </c>
      <c r="C11" s="242">
        <v>43</v>
      </c>
      <c r="D11" s="148">
        <v>-0.3</v>
      </c>
      <c r="E11" s="242">
        <v>7</v>
      </c>
      <c r="F11" s="148">
        <v>-0.1</v>
      </c>
      <c r="G11" s="242">
        <v>10</v>
      </c>
      <c r="H11" s="148">
        <v>-3.9</v>
      </c>
      <c r="I11" s="242">
        <v>13</v>
      </c>
      <c r="J11" s="148">
        <v>-11.7</v>
      </c>
    </row>
    <row r="12" ht="18" customHeight="1" spans="1:10">
      <c r="A12" s="260" t="s">
        <v>207</v>
      </c>
      <c r="B12" s="261" t="s">
        <v>103</v>
      </c>
      <c r="C12" s="242">
        <v>30</v>
      </c>
      <c r="D12" s="148">
        <v>4.2</v>
      </c>
      <c r="E12" s="242">
        <v>4</v>
      </c>
      <c r="F12" s="148">
        <v>7.1</v>
      </c>
      <c r="G12" s="242">
        <v>7</v>
      </c>
      <c r="H12" s="148">
        <v>8.4</v>
      </c>
      <c r="I12" s="242">
        <v>9</v>
      </c>
      <c r="J12" s="148">
        <v>4.5</v>
      </c>
    </row>
    <row r="13" ht="18" customHeight="1" spans="1:10">
      <c r="A13" s="260" t="s">
        <v>208</v>
      </c>
      <c r="B13" s="261" t="s">
        <v>209</v>
      </c>
      <c r="C13" s="242">
        <v>114</v>
      </c>
      <c r="D13" s="148">
        <v>2.9</v>
      </c>
      <c r="E13" s="242">
        <v>28</v>
      </c>
      <c r="F13" s="148">
        <v>16.6</v>
      </c>
      <c r="G13" s="242">
        <v>40</v>
      </c>
      <c r="H13" s="148">
        <v>4.4</v>
      </c>
      <c r="I13" s="242">
        <v>48</v>
      </c>
      <c r="J13" s="148">
        <v>-3.4</v>
      </c>
    </row>
    <row r="14" ht="18" customHeight="1" spans="1:10">
      <c r="A14" s="260" t="s">
        <v>210</v>
      </c>
      <c r="B14" s="261" t="s">
        <v>211</v>
      </c>
      <c r="C14" s="242">
        <v>8777.3</v>
      </c>
      <c r="D14" s="148">
        <v>-9.8</v>
      </c>
      <c r="E14" s="242">
        <v>1347.1</v>
      </c>
      <c r="F14" s="148">
        <v>-15.6</v>
      </c>
      <c r="G14" s="242">
        <v>1994.5</v>
      </c>
      <c r="H14" s="148">
        <v>-4.2</v>
      </c>
      <c r="I14" s="242">
        <v>2883</v>
      </c>
      <c r="J14" s="148">
        <v>-1.8</v>
      </c>
    </row>
    <row r="15" ht="18" customHeight="1" spans="1:10">
      <c r="A15" s="260" t="s">
        <v>212</v>
      </c>
      <c r="B15" s="261" t="s">
        <v>213</v>
      </c>
      <c r="C15" s="242">
        <v>385.5</v>
      </c>
      <c r="D15" s="148">
        <v>8.1</v>
      </c>
      <c r="E15" s="242">
        <v>133.9</v>
      </c>
      <c r="F15" s="148">
        <v>83.2</v>
      </c>
      <c r="G15" s="242">
        <v>188.8</v>
      </c>
      <c r="H15" s="148">
        <v>38.7</v>
      </c>
      <c r="I15" s="242">
        <v>246.3</v>
      </c>
      <c r="J15" s="148">
        <v>32.7</v>
      </c>
    </row>
    <row r="16" ht="18" customHeight="1" spans="1:10">
      <c r="A16" s="260" t="s">
        <v>214</v>
      </c>
      <c r="B16" s="261" t="s">
        <v>103</v>
      </c>
      <c r="C16" s="242">
        <v>67</v>
      </c>
      <c r="D16" s="148">
        <v>7.1</v>
      </c>
      <c r="E16" s="242">
        <v>0</v>
      </c>
      <c r="F16" s="148">
        <v>-100</v>
      </c>
      <c r="G16" s="242">
        <v>0</v>
      </c>
      <c r="H16" s="148">
        <v>-100</v>
      </c>
      <c r="I16" s="242">
        <v>0</v>
      </c>
      <c r="J16" s="148">
        <v>-100</v>
      </c>
    </row>
    <row r="17" ht="18" customHeight="1" spans="1:10">
      <c r="A17" s="260" t="s">
        <v>215</v>
      </c>
      <c r="B17" s="261" t="s">
        <v>216</v>
      </c>
      <c r="C17" s="242">
        <v>33</v>
      </c>
      <c r="D17" s="148">
        <v>-50.1</v>
      </c>
      <c r="E17" s="242">
        <v>2</v>
      </c>
      <c r="F17" s="148">
        <v>-68.5</v>
      </c>
      <c r="G17" s="242">
        <v>3</v>
      </c>
      <c r="H17" s="148">
        <v>-69.5</v>
      </c>
      <c r="I17" s="242">
        <v>4</v>
      </c>
      <c r="J17" s="148">
        <v>-70.2</v>
      </c>
    </row>
    <row r="18" ht="18" customHeight="1" spans="1:10">
      <c r="A18" s="260" t="s">
        <v>217</v>
      </c>
      <c r="B18" s="261" t="s">
        <v>213</v>
      </c>
      <c r="C18" s="242">
        <v>118</v>
      </c>
      <c r="D18" s="148">
        <v>-16.3</v>
      </c>
      <c r="E18" s="242">
        <v>14</v>
      </c>
      <c r="F18" s="148">
        <v>-13.1</v>
      </c>
      <c r="G18" s="242">
        <v>23</v>
      </c>
      <c r="H18" s="148">
        <v>-14.6</v>
      </c>
      <c r="I18" s="242">
        <v>33</v>
      </c>
      <c r="J18" s="148">
        <v>-16.8</v>
      </c>
    </row>
    <row r="19" ht="18" customHeight="1" spans="1:10">
      <c r="A19" s="260" t="s">
        <v>218</v>
      </c>
      <c r="B19" s="261" t="s">
        <v>103</v>
      </c>
      <c r="C19" s="242">
        <v>215.07432</v>
      </c>
      <c r="D19" s="148">
        <v>8.9</v>
      </c>
      <c r="E19" s="242">
        <v>14.91111</v>
      </c>
      <c r="F19" s="148">
        <v>-60.1</v>
      </c>
      <c r="G19" s="242">
        <v>20.78494</v>
      </c>
      <c r="H19" s="148">
        <v>-65.1</v>
      </c>
      <c r="I19" s="242">
        <v>29</v>
      </c>
      <c r="J19" s="148">
        <v>-64.5</v>
      </c>
    </row>
    <row r="20" ht="18" customHeight="1" spans="1:10">
      <c r="A20" s="260" t="s">
        <v>219</v>
      </c>
      <c r="B20" s="261" t="s">
        <v>103</v>
      </c>
      <c r="C20" s="242">
        <v>29.27412</v>
      </c>
      <c r="D20" s="148">
        <v>-8.2</v>
      </c>
      <c r="E20" s="242">
        <v>2.30523</v>
      </c>
      <c r="F20" s="148">
        <v>-59.6</v>
      </c>
      <c r="G20" s="242">
        <v>3.30478</v>
      </c>
      <c r="H20" s="148">
        <v>-60.4</v>
      </c>
      <c r="I20" s="242">
        <v>4.6</v>
      </c>
      <c r="J20" s="148">
        <v>-57.9</v>
      </c>
    </row>
    <row r="21" ht="18" customHeight="1" spans="1:10">
      <c r="A21" s="260" t="s">
        <v>220</v>
      </c>
      <c r="B21" s="261" t="s">
        <v>103</v>
      </c>
      <c r="C21" s="242">
        <v>1366.6567</v>
      </c>
      <c r="D21" s="148">
        <v>-1.5646</v>
      </c>
      <c r="E21" s="242">
        <v>246.7275</v>
      </c>
      <c r="F21" s="148">
        <v>2.5293</v>
      </c>
      <c r="G21" s="242">
        <v>365.9928</v>
      </c>
      <c r="H21" s="148">
        <v>5.6874</v>
      </c>
      <c r="I21" s="242">
        <v>495.9586</v>
      </c>
      <c r="J21" s="148">
        <v>25.889</v>
      </c>
    </row>
    <row r="22" ht="18" customHeight="1" spans="1:10">
      <c r="A22" s="260" t="s">
        <v>221</v>
      </c>
      <c r="B22" s="261" t="s">
        <v>103</v>
      </c>
      <c r="C22" s="242">
        <v>435.7741</v>
      </c>
      <c r="D22" s="148">
        <v>5.1847</v>
      </c>
      <c r="E22" s="242">
        <v>81.8546</v>
      </c>
      <c r="F22" s="148">
        <v>11.4483</v>
      </c>
      <c r="G22" s="242">
        <v>117.1828</v>
      </c>
      <c r="H22" s="148">
        <v>13.9638</v>
      </c>
      <c r="I22" s="242">
        <v>163.6984</v>
      </c>
      <c r="J22" s="148">
        <v>37.0809</v>
      </c>
    </row>
    <row r="23" ht="18" customHeight="1" spans="1:10">
      <c r="A23" s="260" t="s">
        <v>222</v>
      </c>
      <c r="B23" s="261" t="s">
        <v>103</v>
      </c>
      <c r="C23" s="242">
        <v>404.9815</v>
      </c>
      <c r="D23" s="148">
        <v>-1.768</v>
      </c>
      <c r="E23" s="242">
        <v>62.4841</v>
      </c>
      <c r="F23" s="148">
        <v>-14.8386</v>
      </c>
      <c r="G23" s="242">
        <v>91.3027</v>
      </c>
      <c r="H23" s="148">
        <v>-12.6958</v>
      </c>
      <c r="I23" s="242">
        <v>125.404</v>
      </c>
      <c r="J23" s="148">
        <v>4.1807</v>
      </c>
    </row>
    <row r="24" ht="18" customHeight="1" spans="1:10">
      <c r="A24" s="260" t="s">
        <v>223</v>
      </c>
      <c r="B24" s="261" t="s">
        <v>103</v>
      </c>
      <c r="C24" s="242">
        <v>85.5531</v>
      </c>
      <c r="D24" s="148">
        <v>14.8432</v>
      </c>
      <c r="E24" s="242">
        <v>8.2938</v>
      </c>
      <c r="F24" s="148">
        <v>-27.9682</v>
      </c>
      <c r="G24" s="242">
        <v>13</v>
      </c>
      <c r="H24" s="148">
        <v>-26.7</v>
      </c>
      <c r="I24" s="242">
        <v>15.6531</v>
      </c>
      <c r="J24" s="148">
        <v>-30.5157</v>
      </c>
    </row>
    <row r="25" ht="18" customHeight="1" spans="1:10">
      <c r="A25" s="260" t="s">
        <v>224</v>
      </c>
      <c r="B25" s="261" t="s">
        <v>103</v>
      </c>
      <c r="C25" s="242">
        <v>33.1143</v>
      </c>
      <c r="D25" s="148">
        <v>17.569</v>
      </c>
      <c r="E25" s="242">
        <v>3.762</v>
      </c>
      <c r="F25" s="148">
        <v>-26.0714</v>
      </c>
      <c r="G25" s="242">
        <v>5.0171</v>
      </c>
      <c r="H25" s="148">
        <v>-37.0327</v>
      </c>
      <c r="I25" s="242">
        <v>4.8976</v>
      </c>
      <c r="J25" s="148">
        <v>-49.7304</v>
      </c>
    </row>
    <row r="26" ht="18" customHeight="1" spans="1:10">
      <c r="A26" s="260" t="s">
        <v>225</v>
      </c>
      <c r="B26" s="261" t="s">
        <v>103</v>
      </c>
      <c r="C26" s="242">
        <v>62.3966</v>
      </c>
      <c r="D26" s="148">
        <v>9.8046</v>
      </c>
      <c r="E26" s="242">
        <v>10.7514</v>
      </c>
      <c r="F26" s="148">
        <v>2.9343</v>
      </c>
      <c r="G26" s="242">
        <v>14.4864</v>
      </c>
      <c r="H26" s="148">
        <v>-13.9676</v>
      </c>
      <c r="I26" s="242">
        <v>20.4359</v>
      </c>
      <c r="J26" s="148">
        <v>3.4357</v>
      </c>
    </row>
    <row r="27" ht="18" customHeight="1" spans="1:10">
      <c r="A27" s="260" t="s">
        <v>226</v>
      </c>
      <c r="B27" s="261" t="s">
        <v>103</v>
      </c>
      <c r="C27" s="269">
        <v>408.64861</v>
      </c>
      <c r="D27" s="152">
        <v>-21.8</v>
      </c>
      <c r="E27" s="269">
        <v>59.78769</v>
      </c>
      <c r="F27" s="152">
        <v>-13</v>
      </c>
      <c r="G27" s="269">
        <v>96</v>
      </c>
      <c r="H27" s="152">
        <v>-3.6</v>
      </c>
      <c r="I27" s="269">
        <v>132.8</v>
      </c>
      <c r="J27" s="152">
        <v>-1.3</v>
      </c>
    </row>
    <row r="28" ht="18" customHeight="1" spans="1:10">
      <c r="A28" s="237" t="s">
        <v>227</v>
      </c>
      <c r="B28" s="238" t="s">
        <v>216</v>
      </c>
      <c r="C28" s="242">
        <v>951.05154</v>
      </c>
      <c r="D28" s="148">
        <v>-7.7</v>
      </c>
      <c r="E28" s="242">
        <v>158.01923</v>
      </c>
      <c r="F28" s="148">
        <v>-1.7</v>
      </c>
      <c r="G28" s="242">
        <v>234</v>
      </c>
      <c r="H28" s="148">
        <v>-0.4</v>
      </c>
      <c r="I28" s="242">
        <v>310.4</v>
      </c>
      <c r="J28" s="148">
        <v>-1.1</v>
      </c>
    </row>
    <row r="29" ht="18" customHeight="1" spans="1:10">
      <c r="A29" s="237" t="s">
        <v>228</v>
      </c>
      <c r="B29" s="238" t="s">
        <v>103</v>
      </c>
      <c r="C29" s="242">
        <v>1173.7946</v>
      </c>
      <c r="D29" s="148">
        <v>-3.4</v>
      </c>
      <c r="E29" s="242">
        <v>198.3069</v>
      </c>
      <c r="F29" s="148">
        <v>5.1</v>
      </c>
      <c r="G29" s="242">
        <v>301.7945</v>
      </c>
      <c r="H29" s="148">
        <v>3.6</v>
      </c>
      <c r="I29" s="242">
        <v>402.2</v>
      </c>
      <c r="J29" s="148">
        <v>2.9</v>
      </c>
    </row>
    <row r="30" ht="18" customHeight="1" spans="1:10">
      <c r="A30" s="262" t="s">
        <v>229</v>
      </c>
      <c r="B30" s="263" t="s">
        <v>103</v>
      </c>
      <c r="C30" s="242">
        <v>1283.756</v>
      </c>
      <c r="D30" s="148">
        <v>0.2</v>
      </c>
      <c r="E30" s="242">
        <v>219.571</v>
      </c>
      <c r="F30" s="148">
        <v>5.5</v>
      </c>
      <c r="G30" s="242">
        <v>329.6603</v>
      </c>
      <c r="H30" s="148">
        <v>3</v>
      </c>
      <c r="I30" s="242">
        <v>436.2</v>
      </c>
      <c r="J30" s="148">
        <v>2.1</v>
      </c>
    </row>
    <row r="31" ht="18" customHeight="1" spans="1:10">
      <c r="A31" s="262" t="s">
        <v>230</v>
      </c>
      <c r="B31" s="263" t="s">
        <v>103</v>
      </c>
      <c r="C31" s="242">
        <v>1194.54704</v>
      </c>
      <c r="D31" s="148">
        <v>-0.6</v>
      </c>
      <c r="E31" s="242">
        <v>203.5187</v>
      </c>
      <c r="F31" s="148">
        <v>7.5</v>
      </c>
      <c r="G31" s="242">
        <v>307.9178</v>
      </c>
      <c r="H31" s="148">
        <v>4.5</v>
      </c>
      <c r="I31" s="242">
        <v>409.3</v>
      </c>
      <c r="J31" s="148">
        <v>4</v>
      </c>
    </row>
    <row r="32" ht="18" customHeight="1" spans="1:10">
      <c r="A32" s="262" t="s">
        <v>231</v>
      </c>
      <c r="B32" s="263" t="s">
        <v>232</v>
      </c>
      <c r="C32" s="242">
        <v>3531.1242</v>
      </c>
      <c r="D32" s="148">
        <v>7.7</v>
      </c>
      <c r="E32" s="242">
        <v>529.3076</v>
      </c>
      <c r="F32" s="148">
        <v>5.8</v>
      </c>
      <c r="G32" s="242">
        <v>853</v>
      </c>
      <c r="H32" s="148">
        <v>6</v>
      </c>
      <c r="I32" s="242">
        <v>1049.5</v>
      </c>
      <c r="J32" s="148">
        <v>-4.7</v>
      </c>
    </row>
    <row r="33" ht="18" customHeight="1" spans="1:10">
      <c r="A33" s="262" t="s">
        <v>233</v>
      </c>
      <c r="B33" s="263" t="s">
        <v>234</v>
      </c>
      <c r="C33" s="242">
        <v>133.9673</v>
      </c>
      <c r="D33" s="148">
        <v>-20.8</v>
      </c>
      <c r="E33" s="242">
        <v>6.721</v>
      </c>
      <c r="F33" s="148">
        <v>-83.3</v>
      </c>
      <c r="G33" s="242">
        <v>6</v>
      </c>
      <c r="H33" s="148">
        <v>-87.4</v>
      </c>
      <c r="I33" s="242">
        <v>9</v>
      </c>
      <c r="J33" s="148">
        <v>-87.6</v>
      </c>
    </row>
    <row r="34" ht="18" customHeight="1" spans="1:10">
      <c r="A34" s="264" t="s">
        <v>235</v>
      </c>
      <c r="B34" s="265" t="s">
        <v>61</v>
      </c>
      <c r="C34" s="274">
        <v>394.3532</v>
      </c>
      <c r="D34" s="155">
        <v>0.0229</v>
      </c>
      <c r="E34" s="274">
        <v>63.8544</v>
      </c>
      <c r="F34" s="155">
        <v>2.3115</v>
      </c>
      <c r="G34" s="274">
        <v>101</v>
      </c>
      <c r="H34" s="155">
        <v>0.2</v>
      </c>
      <c r="I34" s="274">
        <v>134</v>
      </c>
      <c r="J34" s="155">
        <v>-2.3</v>
      </c>
    </row>
  </sheetData>
  <mergeCells count="7">
    <mergeCell ref="A1:J1"/>
    <mergeCell ref="C2:D2"/>
    <mergeCell ref="E2:F2"/>
    <mergeCell ref="G2:H2"/>
    <mergeCell ref="I2:J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I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9" defaultRowHeight="14.25"/>
  <cols>
    <col min="1" max="1" width="43.325" style="257" customWidth="1"/>
    <col min="2" max="2" width="11.625" style="257"/>
    <col min="3" max="7" width="9.44166666666667" style="257" customWidth="1"/>
    <col min="8" max="8" width="11.625" style="257"/>
    <col min="9" max="9" width="10.4333333333333" style="257" customWidth="1"/>
    <col min="10" max="16384" width="9" style="257"/>
  </cols>
  <sheetData>
    <row r="1" ht="24.95" customHeight="1" spans="1:9">
      <c r="A1" s="136" t="s">
        <v>236</v>
      </c>
      <c r="B1" s="136"/>
      <c r="C1" s="136"/>
      <c r="D1" s="136"/>
      <c r="E1" s="136"/>
      <c r="F1" s="136"/>
      <c r="G1" s="136"/>
      <c r="H1" s="136"/>
      <c r="I1" s="136"/>
    </row>
    <row r="2" s="256" customFormat="1" ht="21" customHeight="1" spans="1:9">
      <c r="A2" s="266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</row>
    <row r="3" s="256" customFormat="1" ht="30" customHeight="1" spans="1:9">
      <c r="A3" s="267"/>
      <c r="B3" s="141" t="s">
        <v>7</v>
      </c>
      <c r="C3" s="142" t="s">
        <v>8</v>
      </c>
      <c r="D3" s="141" t="s">
        <v>7</v>
      </c>
      <c r="E3" s="142" t="s">
        <v>8</v>
      </c>
      <c r="F3" s="141" t="s">
        <v>7</v>
      </c>
      <c r="G3" s="142" t="s">
        <v>8</v>
      </c>
      <c r="H3" s="141" t="s">
        <v>7</v>
      </c>
      <c r="I3" s="142" t="s">
        <v>8</v>
      </c>
    </row>
    <row r="4" ht="23.45" customHeight="1" spans="1:9">
      <c r="A4" s="235" t="s">
        <v>237</v>
      </c>
      <c r="B4" s="212">
        <v>2231.15</v>
      </c>
      <c r="C4" s="190">
        <v>-3.3</v>
      </c>
      <c r="D4" s="212">
        <v>384.2</v>
      </c>
      <c r="E4" s="190">
        <v>0.8</v>
      </c>
      <c r="F4" s="212">
        <v>589.97</v>
      </c>
      <c r="G4" s="190">
        <v>4</v>
      </c>
      <c r="H4" s="212">
        <v>785.93</v>
      </c>
      <c r="I4" s="190">
        <v>9.6</v>
      </c>
    </row>
    <row r="5" ht="23.45" customHeight="1" spans="1:9">
      <c r="A5" s="237" t="s">
        <v>238</v>
      </c>
      <c r="B5" s="147">
        <v>72.08</v>
      </c>
      <c r="C5" s="148">
        <v>8.8</v>
      </c>
      <c r="D5" s="147">
        <v>14.7</v>
      </c>
      <c r="E5" s="148">
        <v>27.8</v>
      </c>
      <c r="F5" s="147">
        <v>22.96</v>
      </c>
      <c r="G5" s="148">
        <v>31.8</v>
      </c>
      <c r="H5" s="147">
        <v>31.1</v>
      </c>
      <c r="I5" s="148">
        <v>35.6</v>
      </c>
    </row>
    <row r="6" ht="23.45" customHeight="1" spans="1:9">
      <c r="A6" s="237" t="s">
        <v>239</v>
      </c>
      <c r="B6" s="147">
        <v>1758.84</v>
      </c>
      <c r="C6" s="148">
        <v>-3.8</v>
      </c>
      <c r="D6" s="147">
        <v>308.68</v>
      </c>
      <c r="E6" s="148">
        <v>-0.7</v>
      </c>
      <c r="F6" s="147">
        <v>465.24</v>
      </c>
      <c r="G6" s="148">
        <v>2.6</v>
      </c>
      <c r="H6" s="147">
        <v>614.82</v>
      </c>
      <c r="I6" s="148">
        <v>10.3</v>
      </c>
    </row>
    <row r="7" ht="23.45" customHeight="1" spans="1:9">
      <c r="A7" s="237" t="s">
        <v>240</v>
      </c>
      <c r="B7" s="147">
        <v>400.24</v>
      </c>
      <c r="C7" s="148">
        <v>-2.9</v>
      </c>
      <c r="D7" s="147">
        <v>60.83</v>
      </c>
      <c r="E7" s="148">
        <v>3.3</v>
      </c>
      <c r="F7" s="147">
        <v>101.77</v>
      </c>
      <c r="G7" s="148">
        <v>5.2</v>
      </c>
      <c r="H7" s="147">
        <v>140.02</v>
      </c>
      <c r="I7" s="148">
        <v>2.7</v>
      </c>
    </row>
    <row r="8" ht="23.45" customHeight="1" spans="1:9">
      <c r="A8" s="239" t="s">
        <v>241</v>
      </c>
      <c r="B8" s="212">
        <v>2008.85</v>
      </c>
      <c r="C8" s="190">
        <v>-4.2</v>
      </c>
      <c r="D8" s="212">
        <v>345.46</v>
      </c>
      <c r="E8" s="190">
        <v>3.9</v>
      </c>
      <c r="F8" s="212">
        <v>534.39</v>
      </c>
      <c r="G8" s="190">
        <v>7.1</v>
      </c>
      <c r="H8" s="212">
        <v>716.52</v>
      </c>
      <c r="I8" s="190">
        <v>13.4</v>
      </c>
    </row>
    <row r="9" ht="23.45" customHeight="1" spans="1:9">
      <c r="A9" s="237" t="s">
        <v>145</v>
      </c>
      <c r="B9" s="147">
        <v>585.21</v>
      </c>
      <c r="C9" s="148">
        <v>-6.3</v>
      </c>
      <c r="D9" s="147">
        <v>115.54</v>
      </c>
      <c r="E9" s="148">
        <v>6.5</v>
      </c>
      <c r="F9" s="147">
        <v>176.41</v>
      </c>
      <c r="G9" s="148">
        <v>17.9</v>
      </c>
      <c r="H9" s="147">
        <v>233.61</v>
      </c>
      <c r="I9" s="148">
        <v>49.1</v>
      </c>
    </row>
    <row r="10" ht="23.45" customHeight="1" spans="1:9">
      <c r="A10" s="268" t="s">
        <v>242</v>
      </c>
      <c r="B10" s="147">
        <v>108.69</v>
      </c>
      <c r="C10" s="148">
        <v>4.5</v>
      </c>
      <c r="D10" s="147">
        <v>17.27</v>
      </c>
      <c r="E10" s="148">
        <v>2.8</v>
      </c>
      <c r="F10" s="147">
        <v>26.03</v>
      </c>
      <c r="G10" s="148">
        <v>0.6</v>
      </c>
      <c r="H10" s="147">
        <v>36.15</v>
      </c>
      <c r="I10" s="148">
        <v>5.4</v>
      </c>
    </row>
    <row r="11" ht="23.45" customHeight="1" spans="1:9">
      <c r="A11" s="237" t="s">
        <v>243</v>
      </c>
      <c r="B11" s="147">
        <v>19.43</v>
      </c>
      <c r="C11" s="148">
        <v>-37.5</v>
      </c>
      <c r="D11" s="147">
        <v>3.4</v>
      </c>
      <c r="E11" s="148">
        <v>5.2</v>
      </c>
      <c r="F11" s="147">
        <v>5.14</v>
      </c>
      <c r="G11" s="148">
        <v>24.1</v>
      </c>
      <c r="H11" s="147">
        <v>6.94</v>
      </c>
      <c r="I11" s="148">
        <v>29.4</v>
      </c>
    </row>
    <row r="12" ht="23.45" customHeight="1" spans="1:9">
      <c r="A12" s="237" t="s">
        <v>244</v>
      </c>
      <c r="B12" s="147">
        <v>897.09</v>
      </c>
      <c r="C12" s="148">
        <v>-3.1</v>
      </c>
      <c r="D12" s="147">
        <v>148.72</v>
      </c>
      <c r="E12" s="148">
        <v>2.2</v>
      </c>
      <c r="F12" s="147">
        <v>225.5</v>
      </c>
      <c r="G12" s="148">
        <v>1.1</v>
      </c>
      <c r="H12" s="147">
        <v>300.41</v>
      </c>
      <c r="I12" s="148">
        <v>0.2</v>
      </c>
    </row>
    <row r="13" ht="23.45" customHeight="1" spans="1:9">
      <c r="A13" s="237" t="s">
        <v>245</v>
      </c>
      <c r="B13" s="147">
        <v>0.32</v>
      </c>
      <c r="C13" s="148">
        <v>63.5</v>
      </c>
      <c r="D13" s="147">
        <v>0.03</v>
      </c>
      <c r="E13" s="148">
        <v>-18.9</v>
      </c>
      <c r="F13" s="147">
        <v>0.05</v>
      </c>
      <c r="G13" s="148">
        <v>-31.6</v>
      </c>
      <c r="H13" s="147">
        <v>0.08</v>
      </c>
      <c r="I13" s="148">
        <v>-14.9</v>
      </c>
    </row>
    <row r="14" ht="23.45" customHeight="1" spans="1:9">
      <c r="A14" s="237" t="s">
        <v>160</v>
      </c>
      <c r="B14" s="147">
        <v>398.11</v>
      </c>
      <c r="C14" s="148">
        <v>-2.9</v>
      </c>
      <c r="D14" s="147">
        <v>60.5</v>
      </c>
      <c r="E14" s="148">
        <v>3.3</v>
      </c>
      <c r="F14" s="147">
        <v>101.26</v>
      </c>
      <c r="G14" s="148">
        <v>5.2</v>
      </c>
      <c r="H14" s="147">
        <v>139.33</v>
      </c>
      <c r="I14" s="148">
        <v>2.7</v>
      </c>
    </row>
    <row r="15" ht="23.45" customHeight="1" spans="1:9">
      <c r="A15" s="239" t="s">
        <v>246</v>
      </c>
      <c r="B15" s="241">
        <v>1224025.68</v>
      </c>
      <c r="C15" s="190">
        <v>-2.2</v>
      </c>
      <c r="D15" s="241">
        <v>200910.14</v>
      </c>
      <c r="E15" s="190">
        <v>0.6</v>
      </c>
      <c r="F15" s="241">
        <v>306707.09</v>
      </c>
      <c r="G15" s="190">
        <v>0.7</v>
      </c>
      <c r="H15" s="241">
        <v>410955.84</v>
      </c>
      <c r="I15" s="190">
        <v>4.9</v>
      </c>
    </row>
    <row r="16" ht="23.45" customHeight="1" spans="1:9">
      <c r="A16" s="237" t="s">
        <v>145</v>
      </c>
      <c r="B16" s="269">
        <v>239438.32</v>
      </c>
      <c r="C16" s="270">
        <v>-7.7</v>
      </c>
      <c r="D16" s="269">
        <v>42517.95</v>
      </c>
      <c r="E16" s="270">
        <v>-2.8</v>
      </c>
      <c r="F16" s="269">
        <v>65159.09</v>
      </c>
      <c r="G16" s="152">
        <v>2</v>
      </c>
      <c r="H16" s="269">
        <v>87106.48</v>
      </c>
      <c r="I16" s="152">
        <v>29.7</v>
      </c>
    </row>
    <row r="17" ht="23.45" customHeight="1" spans="1:9">
      <c r="A17" s="237" t="s">
        <v>242</v>
      </c>
      <c r="B17" s="242">
        <v>137947.83</v>
      </c>
      <c r="C17" s="148">
        <v>1</v>
      </c>
      <c r="D17" s="242">
        <v>22307.28</v>
      </c>
      <c r="E17" s="148">
        <v>1.6</v>
      </c>
      <c r="F17" s="242">
        <v>34185.57</v>
      </c>
      <c r="G17" s="148">
        <v>0.3</v>
      </c>
      <c r="H17" s="242">
        <v>46249.93</v>
      </c>
      <c r="I17" s="148">
        <v>2.7</v>
      </c>
    </row>
    <row r="18" ht="23.45" customHeight="1" spans="1:9">
      <c r="A18" s="237" t="s">
        <v>243</v>
      </c>
      <c r="B18" s="242">
        <v>45666.52</v>
      </c>
      <c r="C18" s="148">
        <v>-16.7</v>
      </c>
      <c r="D18" s="242">
        <v>7392.69</v>
      </c>
      <c r="E18" s="148">
        <v>0.4</v>
      </c>
      <c r="F18" s="242">
        <v>11258.81</v>
      </c>
      <c r="G18" s="148">
        <v>8</v>
      </c>
      <c r="H18" s="242">
        <v>15482.92</v>
      </c>
      <c r="I18" s="148">
        <v>10.5</v>
      </c>
    </row>
    <row r="19" ht="23.45" customHeight="1" spans="1:9">
      <c r="A19" s="237" t="s">
        <v>244</v>
      </c>
      <c r="B19" s="242">
        <v>646849.47</v>
      </c>
      <c r="C19" s="148">
        <v>0.4</v>
      </c>
      <c r="D19" s="242">
        <v>106163.26</v>
      </c>
      <c r="E19" s="148">
        <v>2.6</v>
      </c>
      <c r="F19" s="242">
        <v>159548.51</v>
      </c>
      <c r="G19" s="148">
        <v>0.3</v>
      </c>
      <c r="H19" s="242">
        <v>212181.24</v>
      </c>
      <c r="I19" s="148">
        <v>-0.5</v>
      </c>
    </row>
    <row r="20" ht="23.45" customHeight="1" spans="1:9">
      <c r="A20" s="237" t="s">
        <v>245</v>
      </c>
      <c r="B20" s="242">
        <v>1124.33</v>
      </c>
      <c r="C20" s="148">
        <v>34</v>
      </c>
      <c r="D20" s="242">
        <v>160.13</v>
      </c>
      <c r="E20" s="148">
        <v>2.2</v>
      </c>
      <c r="F20" s="242">
        <v>248.22</v>
      </c>
      <c r="G20" s="148">
        <v>-24.3</v>
      </c>
      <c r="H20" s="242">
        <v>394.4</v>
      </c>
      <c r="I20" s="148">
        <v>27.1</v>
      </c>
    </row>
    <row r="21" ht="23.45" customHeight="1" spans="1:9">
      <c r="A21" s="262" t="s">
        <v>160</v>
      </c>
      <c r="B21" s="242">
        <v>152999.21</v>
      </c>
      <c r="C21" s="148">
        <v>-1.4</v>
      </c>
      <c r="D21" s="242">
        <v>22368.83</v>
      </c>
      <c r="E21" s="148">
        <v>-2.9</v>
      </c>
      <c r="F21" s="242">
        <v>36306.89</v>
      </c>
      <c r="G21" s="148">
        <v>-1.8</v>
      </c>
      <c r="H21" s="242">
        <v>49540.87</v>
      </c>
      <c r="I21" s="148">
        <v>-4.4</v>
      </c>
    </row>
    <row r="22" ht="23.45" customHeight="1" spans="1:9">
      <c r="A22" s="271" t="s">
        <v>247</v>
      </c>
      <c r="B22" s="212"/>
      <c r="C22" s="190">
        <v>-1.4</v>
      </c>
      <c r="D22" s="212"/>
      <c r="E22" s="190">
        <v>-0.2</v>
      </c>
      <c r="F22" s="212"/>
      <c r="G22" s="190">
        <v>0.4</v>
      </c>
      <c r="H22" s="212"/>
      <c r="I22" s="190">
        <v>9.7</v>
      </c>
    </row>
    <row r="23" ht="23.45" customHeight="1" spans="1:9">
      <c r="A23" s="262" t="s">
        <v>145</v>
      </c>
      <c r="B23" s="147"/>
      <c r="C23" s="148">
        <v>0.1</v>
      </c>
      <c r="D23" s="147"/>
      <c r="E23" s="148">
        <v>2.6</v>
      </c>
      <c r="F23" s="147"/>
      <c r="G23" s="148">
        <v>4.6</v>
      </c>
      <c r="H23" s="147"/>
      <c r="I23" s="148">
        <v>23.5</v>
      </c>
    </row>
    <row r="24" ht="23.45" customHeight="1" spans="1:9">
      <c r="A24" s="262" t="s">
        <v>242</v>
      </c>
      <c r="B24" s="147"/>
      <c r="C24" s="148">
        <v>-4.4</v>
      </c>
      <c r="D24" s="147"/>
      <c r="E24" s="148">
        <v>4.1</v>
      </c>
      <c r="F24" s="147"/>
      <c r="G24" s="148">
        <v>10.3</v>
      </c>
      <c r="H24" s="147"/>
      <c r="I24" s="148">
        <v>29.5</v>
      </c>
    </row>
    <row r="25" ht="23.45" customHeight="1" spans="1:9">
      <c r="A25" s="262" t="s">
        <v>243</v>
      </c>
      <c r="B25" s="147"/>
      <c r="C25" s="148">
        <v>-4.9</v>
      </c>
      <c r="D25" s="147"/>
      <c r="E25" s="148">
        <v>1.3</v>
      </c>
      <c r="F25" s="147"/>
      <c r="G25" s="148">
        <v>3.7</v>
      </c>
      <c r="H25" s="147"/>
      <c r="I25" s="148">
        <v>6.5</v>
      </c>
    </row>
    <row r="26" ht="23.45" customHeight="1" spans="1:9">
      <c r="A26" s="262" t="s">
        <v>244</v>
      </c>
      <c r="B26" s="147"/>
      <c r="C26" s="148">
        <v>-4.8</v>
      </c>
      <c r="D26" s="147"/>
      <c r="E26" s="148">
        <v>1.1</v>
      </c>
      <c r="F26" s="147"/>
      <c r="G26" s="148">
        <v>-1</v>
      </c>
      <c r="H26" s="147"/>
      <c r="I26" s="148">
        <v>-1</v>
      </c>
    </row>
    <row r="27" ht="23.45" customHeight="1" spans="1:9">
      <c r="A27" s="262" t="s">
        <v>245</v>
      </c>
      <c r="B27" s="147"/>
      <c r="C27" s="148">
        <v>55.7</v>
      </c>
      <c r="D27" s="147"/>
      <c r="E27" s="148">
        <v>34.3</v>
      </c>
      <c r="F27" s="147"/>
      <c r="G27" s="148">
        <v>15.4</v>
      </c>
      <c r="H27" s="147"/>
      <c r="I27" s="148">
        <v>-2</v>
      </c>
    </row>
    <row r="28" ht="23.45" customHeight="1" spans="1:9">
      <c r="A28" s="264" t="s">
        <v>160</v>
      </c>
      <c r="B28" s="154"/>
      <c r="C28" s="155">
        <v>0.8</v>
      </c>
      <c r="D28" s="154"/>
      <c r="E28" s="155">
        <v>-10</v>
      </c>
      <c r="F28" s="154"/>
      <c r="G28" s="155">
        <v>-10.4</v>
      </c>
      <c r="H28" s="154"/>
      <c r="I28" s="155">
        <v>-11.5</v>
      </c>
    </row>
    <row r="29" s="257" customFormat="1" ht="41" customHeight="1" spans="1:9">
      <c r="A29" s="272" t="s">
        <v>248</v>
      </c>
      <c r="B29" s="272"/>
      <c r="C29" s="272"/>
      <c r="D29" s="272"/>
      <c r="E29" s="272"/>
      <c r="F29" s="272"/>
      <c r="G29" s="272"/>
      <c r="H29" s="272"/>
      <c r="I29" s="272"/>
    </row>
  </sheetData>
  <mergeCells count="7">
    <mergeCell ref="A1:I1"/>
    <mergeCell ref="B2:C2"/>
    <mergeCell ref="D2:E2"/>
    <mergeCell ref="F2:G2"/>
    <mergeCell ref="H2:I2"/>
    <mergeCell ref="A29:I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J27"/>
  <sheetViews>
    <sheetView zoomScale="80" zoomScaleNormal="80" workbookViewId="0">
      <pane xSplit="2" ySplit="3" topLeftCell="E4" activePane="bottomRight" state="frozen"/>
      <selection/>
      <selection pane="topRight"/>
      <selection pane="bottomLeft"/>
      <selection pane="bottomRight" activeCell="I5" sqref="I5:J27"/>
    </sheetView>
  </sheetViews>
  <sheetFormatPr defaultColWidth="9" defaultRowHeight="14.25"/>
  <cols>
    <col min="1" max="1" width="33.125" style="257" customWidth="1"/>
    <col min="2" max="2" width="9.625" style="257" customWidth="1"/>
    <col min="3" max="3" width="11.5" style="257"/>
    <col min="4" max="8" width="10.375" style="257"/>
    <col min="9" max="9" width="11.5" style="257"/>
    <col min="10" max="10" width="10.375" style="257"/>
    <col min="11" max="16384" width="9" style="257"/>
  </cols>
  <sheetData>
    <row r="1" ht="24.95" customHeight="1" spans="1:10">
      <c r="A1" s="136" t="s">
        <v>249</v>
      </c>
      <c r="B1" s="136"/>
      <c r="C1" s="136"/>
      <c r="D1" s="136"/>
      <c r="E1" s="136"/>
      <c r="F1" s="136"/>
      <c r="G1" s="136"/>
      <c r="H1" s="136"/>
      <c r="I1" s="136"/>
      <c r="J1" s="136"/>
    </row>
    <row r="2" s="256" customFormat="1" ht="21" customHeight="1" spans="1:10">
      <c r="A2" s="137" t="s">
        <v>1</v>
      </c>
      <c r="B2" s="233" t="s">
        <v>93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</row>
    <row r="3" s="256" customFormat="1" ht="37" customHeight="1" spans="1:10">
      <c r="A3" s="140"/>
      <c r="B3" s="234"/>
      <c r="C3" s="141" t="s">
        <v>7</v>
      </c>
      <c r="D3" s="142" t="s">
        <v>8</v>
      </c>
      <c r="E3" s="141" t="s">
        <v>7</v>
      </c>
      <c r="F3" s="142" t="s">
        <v>8</v>
      </c>
      <c r="G3" s="141" t="s">
        <v>7</v>
      </c>
      <c r="H3" s="142" t="s">
        <v>8</v>
      </c>
      <c r="I3" s="141" t="s">
        <v>7</v>
      </c>
      <c r="J3" s="142" t="s">
        <v>8</v>
      </c>
    </row>
    <row r="4" ht="26.1" customHeight="1" spans="1:10">
      <c r="A4" s="258" t="s">
        <v>250</v>
      </c>
      <c r="B4" s="259"/>
      <c r="C4" s="207"/>
      <c r="D4" s="200"/>
      <c r="E4" s="207"/>
      <c r="F4" s="200"/>
      <c r="G4" s="207"/>
      <c r="H4" s="200"/>
      <c r="I4" s="207"/>
      <c r="J4" s="200"/>
    </row>
    <row r="5" ht="26.1" customHeight="1" spans="1:10">
      <c r="A5" s="260" t="s">
        <v>251</v>
      </c>
      <c r="B5" s="261" t="s">
        <v>103</v>
      </c>
      <c r="C5" s="147">
        <v>27499.9288</v>
      </c>
      <c r="D5" s="148">
        <v>-2.73367811539511</v>
      </c>
      <c r="E5" s="147">
        <v>4318.1795</v>
      </c>
      <c r="F5" s="148">
        <v>-4.1</v>
      </c>
      <c r="G5" s="147">
        <v>6745.1007</v>
      </c>
      <c r="H5" s="148">
        <v>-3.91995462297656</v>
      </c>
      <c r="I5" s="147">
        <v>9112</v>
      </c>
      <c r="J5" s="148">
        <v>-4.4</v>
      </c>
    </row>
    <row r="6" ht="26.1" customHeight="1" spans="1:10">
      <c r="A6" s="260" t="s">
        <v>252</v>
      </c>
      <c r="B6" s="261" t="s">
        <v>103</v>
      </c>
      <c r="C6" s="242">
        <v>10707</v>
      </c>
      <c r="D6" s="148">
        <v>-5.49867608120035</v>
      </c>
      <c r="E6" s="242">
        <v>1381</v>
      </c>
      <c r="F6" s="148">
        <v>-17.6</v>
      </c>
      <c r="G6" s="242">
        <v>2174</v>
      </c>
      <c r="H6" s="148">
        <v>-15.7364341085271</v>
      </c>
      <c r="I6" s="242">
        <v>2956</v>
      </c>
      <c r="J6" s="148">
        <v>-16.8261114237479</v>
      </c>
    </row>
    <row r="7" ht="26.1" customHeight="1" spans="1:10">
      <c r="A7" s="260" t="s">
        <v>253</v>
      </c>
      <c r="B7" s="261" t="s">
        <v>70</v>
      </c>
      <c r="C7" s="147">
        <v>165.042875</v>
      </c>
      <c r="D7" s="148">
        <v>4.37418162650518</v>
      </c>
      <c r="E7" s="147">
        <v>21.9576</v>
      </c>
      <c r="F7" s="148">
        <v>-7.8</v>
      </c>
      <c r="G7" s="147">
        <v>35.36975</v>
      </c>
      <c r="H7" s="148">
        <v>-2.96744228792152</v>
      </c>
      <c r="I7" s="147">
        <v>49.25</v>
      </c>
      <c r="J7" s="148">
        <v>-0.98</v>
      </c>
    </row>
    <row r="8" ht="26.1" customHeight="1" spans="1:10">
      <c r="A8" s="258" t="s">
        <v>254</v>
      </c>
      <c r="B8" s="259" t="s">
        <v>255</v>
      </c>
      <c r="C8" s="212"/>
      <c r="D8" s="190"/>
      <c r="E8" s="212"/>
      <c r="F8" s="190"/>
      <c r="G8" s="212"/>
      <c r="H8" s="190"/>
      <c r="I8" s="212"/>
      <c r="J8" s="190"/>
    </row>
    <row r="9" ht="26.1" customHeight="1" spans="1:10">
      <c r="A9" s="260" t="s">
        <v>256</v>
      </c>
      <c r="B9" s="261" t="s">
        <v>68</v>
      </c>
      <c r="C9" s="147">
        <v>1.51716486</v>
      </c>
      <c r="D9" s="148">
        <v>3.41955419222903</v>
      </c>
      <c r="E9" s="147">
        <v>0.223</v>
      </c>
      <c r="F9" s="148">
        <v>6.79</v>
      </c>
      <c r="G9" s="147">
        <v>0.3661</v>
      </c>
      <c r="H9" s="148">
        <v>5.85598095398015</v>
      </c>
      <c r="I9" s="147">
        <v>0.4995139</v>
      </c>
      <c r="J9" s="148">
        <v>5.24076193539771</v>
      </c>
    </row>
    <row r="10" ht="26.1" customHeight="1" spans="1:10">
      <c r="A10" s="260" t="s">
        <v>257</v>
      </c>
      <c r="B10" s="261" t="s">
        <v>65</v>
      </c>
      <c r="C10" s="147">
        <v>254.42953489</v>
      </c>
      <c r="D10" s="148">
        <v>-1.48608075887182</v>
      </c>
      <c r="E10" s="147">
        <v>34.7765</v>
      </c>
      <c r="F10" s="148">
        <v>3.56</v>
      </c>
      <c r="G10" s="147">
        <v>57.93516333</v>
      </c>
      <c r="H10" s="148">
        <v>2.4078845504883</v>
      </c>
      <c r="I10" s="147">
        <v>79.71521216</v>
      </c>
      <c r="J10" s="148">
        <v>0.0446804264812641</v>
      </c>
    </row>
    <row r="11" ht="26.1" customHeight="1" spans="1:10">
      <c r="A11" s="260" t="s">
        <v>258</v>
      </c>
      <c r="B11" s="261" t="s">
        <v>183</v>
      </c>
      <c r="C11" s="147">
        <v>1410.0291</v>
      </c>
      <c r="D11" s="148">
        <v>-3.29018518518519</v>
      </c>
      <c r="E11" s="147">
        <v>226.3945</v>
      </c>
      <c r="F11" s="148">
        <v>-6.02</v>
      </c>
      <c r="G11" s="147">
        <v>341.3604</v>
      </c>
      <c r="H11" s="148">
        <v>-4.04750621065111</v>
      </c>
      <c r="I11" s="147">
        <v>459.6665</v>
      </c>
      <c r="J11" s="148">
        <v>-3.78509839250586</v>
      </c>
    </row>
    <row r="12" ht="26.1" customHeight="1" spans="1:10">
      <c r="A12" s="260" t="s">
        <v>259</v>
      </c>
      <c r="B12" s="261" t="s">
        <v>260</v>
      </c>
      <c r="C12" s="147">
        <v>11.45155064</v>
      </c>
      <c r="D12" s="148">
        <v>0.891163659430489</v>
      </c>
      <c r="E12" s="147">
        <v>1.7957</v>
      </c>
      <c r="F12" s="148">
        <v>-12.92</v>
      </c>
      <c r="G12" s="147">
        <v>2.70889335</v>
      </c>
      <c r="H12" s="148">
        <v>-8.71838262662287</v>
      </c>
      <c r="I12" s="147">
        <v>3.66131509</v>
      </c>
      <c r="J12" s="148">
        <v>-7.75063972675957</v>
      </c>
    </row>
    <row r="13" ht="26.1" customHeight="1" spans="1:10">
      <c r="A13" s="258" t="s">
        <v>261</v>
      </c>
      <c r="B13" s="259"/>
      <c r="C13" s="212"/>
      <c r="D13" s="190"/>
      <c r="E13" s="212"/>
      <c r="F13" s="190"/>
      <c r="G13" s="212"/>
      <c r="H13" s="190"/>
      <c r="I13" s="212"/>
      <c r="J13" s="190"/>
    </row>
    <row r="14" ht="26.1" customHeight="1" spans="1:10">
      <c r="A14" s="260" t="s">
        <v>256</v>
      </c>
      <c r="B14" s="261" t="s">
        <v>103</v>
      </c>
      <c r="C14" s="147">
        <v>5291.5254</v>
      </c>
      <c r="D14" s="148">
        <v>9.68818895522456</v>
      </c>
      <c r="E14" s="147">
        <v>872.94</v>
      </c>
      <c r="F14" s="148">
        <v>4.2</v>
      </c>
      <c r="G14" s="147">
        <v>1420.2713</v>
      </c>
      <c r="H14" s="148">
        <v>0.922260363233685</v>
      </c>
      <c r="I14" s="147">
        <v>1953</v>
      </c>
      <c r="J14" s="148">
        <v>-0.42</v>
      </c>
    </row>
    <row r="15" ht="26.1" customHeight="1" spans="1:10">
      <c r="A15" s="260" t="s">
        <v>257</v>
      </c>
      <c r="B15" s="261" t="s">
        <v>65</v>
      </c>
      <c r="C15" s="147">
        <v>188.35287263</v>
      </c>
      <c r="D15" s="148">
        <v>-0.813555229123963</v>
      </c>
      <c r="E15" s="147">
        <v>27.569</v>
      </c>
      <c r="F15" s="148">
        <v>-8.3</v>
      </c>
      <c r="G15" s="147">
        <v>47.42461228</v>
      </c>
      <c r="H15" s="148">
        <v>7.73375285856188</v>
      </c>
      <c r="I15" s="147">
        <v>62.619</v>
      </c>
      <c r="J15" s="148">
        <v>6.01</v>
      </c>
    </row>
    <row r="16" ht="26.1" customHeight="1" spans="1:10">
      <c r="A16" s="260" t="s">
        <v>258</v>
      </c>
      <c r="B16" s="261" t="s">
        <v>183</v>
      </c>
      <c r="C16" s="147">
        <v>794.78</v>
      </c>
      <c r="D16" s="148">
        <v>-4.45232359931913</v>
      </c>
      <c r="E16" s="147">
        <v>218.7762</v>
      </c>
      <c r="F16" s="148">
        <v>-17.3</v>
      </c>
      <c r="G16" s="147">
        <v>286.0449</v>
      </c>
      <c r="H16" s="148">
        <v>-15.5278547472538</v>
      </c>
      <c r="I16" s="147">
        <v>350</v>
      </c>
      <c r="J16" s="148">
        <v>-13.77</v>
      </c>
    </row>
    <row r="17" ht="26.1" customHeight="1" spans="1:10">
      <c r="A17" s="260" t="s">
        <v>259</v>
      </c>
      <c r="B17" s="261" t="s">
        <v>260</v>
      </c>
      <c r="C17" s="147">
        <v>1.89968082</v>
      </c>
      <c r="D17" s="148">
        <v>-6.84760339613423</v>
      </c>
      <c r="E17" s="147">
        <v>0.5409</v>
      </c>
      <c r="F17" s="148">
        <v>-19.6</v>
      </c>
      <c r="G17" s="147">
        <v>0.70190023</v>
      </c>
      <c r="H17" s="148">
        <v>-17.2084410513796</v>
      </c>
      <c r="I17" s="147">
        <v>0.8564</v>
      </c>
      <c r="J17" s="148">
        <v>-14.92</v>
      </c>
    </row>
    <row r="18" ht="26.1" customHeight="1" spans="1:10">
      <c r="A18" s="258" t="s">
        <v>262</v>
      </c>
      <c r="B18" s="259"/>
      <c r="C18" s="212"/>
      <c r="D18" s="190"/>
      <c r="E18" s="212"/>
      <c r="F18" s="190"/>
      <c r="G18" s="212"/>
      <c r="H18" s="190"/>
      <c r="I18" s="212"/>
      <c r="J18" s="190"/>
    </row>
    <row r="19" ht="26.1" customHeight="1" spans="1:10">
      <c r="A19" s="260" t="s">
        <v>263</v>
      </c>
      <c r="B19" s="261" t="s">
        <v>10</v>
      </c>
      <c r="C19" s="151">
        <v>27.64818263</v>
      </c>
      <c r="D19" s="152">
        <v>5.51754864697437</v>
      </c>
      <c r="E19" s="151">
        <v>4.54859668</v>
      </c>
      <c r="F19" s="152">
        <v>8.37558181660362</v>
      </c>
      <c r="G19" s="151">
        <v>7.06775364</v>
      </c>
      <c r="H19" s="152">
        <v>8.11224705687991</v>
      </c>
      <c r="I19" s="151">
        <v>9.58038761</v>
      </c>
      <c r="J19" s="152">
        <v>7.57848923711049</v>
      </c>
    </row>
    <row r="20" ht="26.1" customHeight="1" spans="1:10">
      <c r="A20" s="237" t="s">
        <v>264</v>
      </c>
      <c r="B20" s="238" t="s">
        <v>10</v>
      </c>
      <c r="C20" s="147">
        <v>0.163888</v>
      </c>
      <c r="D20" s="148">
        <v>-6.26079595502019</v>
      </c>
      <c r="E20" s="147">
        <v>0.027734</v>
      </c>
      <c r="F20" s="148">
        <v>7.66304347826087</v>
      </c>
      <c r="G20" s="147">
        <v>0.042897</v>
      </c>
      <c r="H20" s="148">
        <v>3.14754256035395</v>
      </c>
      <c r="I20" s="147">
        <v>0.053723</v>
      </c>
      <c r="J20" s="148">
        <v>-1.4744988721184</v>
      </c>
    </row>
    <row r="21" ht="26.1" customHeight="1" spans="1:10">
      <c r="A21" s="237" t="s">
        <v>265</v>
      </c>
      <c r="B21" s="238" t="s">
        <v>10</v>
      </c>
      <c r="C21" s="147">
        <v>16.87185271</v>
      </c>
      <c r="D21" s="148">
        <v>20.9638263151576</v>
      </c>
      <c r="E21" s="147">
        <v>2.7205546</v>
      </c>
      <c r="F21" s="148">
        <v>17.2845540316639</v>
      </c>
      <c r="G21" s="147">
        <v>4.25795856</v>
      </c>
      <c r="H21" s="148">
        <v>15.6369615098139</v>
      </c>
      <c r="I21" s="147">
        <v>5.87452753</v>
      </c>
      <c r="J21" s="148">
        <v>14.5816370189379</v>
      </c>
    </row>
    <row r="22" ht="26.1" customHeight="1" spans="1:10">
      <c r="A22" s="262" t="s">
        <v>266</v>
      </c>
      <c r="B22" s="263" t="s">
        <v>10</v>
      </c>
      <c r="C22" s="147">
        <v>29.0438579172</v>
      </c>
      <c r="D22" s="148">
        <v>20.1817047957949</v>
      </c>
      <c r="E22" s="147">
        <v>4.8768362232</v>
      </c>
      <c r="F22" s="148">
        <v>22.5072055903725</v>
      </c>
      <c r="G22" s="147">
        <v>7.9129003982</v>
      </c>
      <c r="H22" s="148">
        <v>24.0967298003446</v>
      </c>
      <c r="I22" s="147">
        <v>10.8425599874</v>
      </c>
      <c r="J22" s="148">
        <v>21.096139151307</v>
      </c>
    </row>
    <row r="23" ht="26.1" customHeight="1" spans="1:10">
      <c r="A23" s="262" t="s">
        <v>267</v>
      </c>
      <c r="B23" s="263" t="s">
        <v>213</v>
      </c>
      <c r="C23" s="147">
        <v>23932.9065</v>
      </c>
      <c r="D23" s="148">
        <v>20.1606596419727</v>
      </c>
      <c r="E23" s="147">
        <v>3444.9994</v>
      </c>
      <c r="F23" s="148">
        <v>28.0581947092292</v>
      </c>
      <c r="G23" s="147">
        <v>5942.4059</v>
      </c>
      <c r="H23" s="148">
        <v>26.4398551883802</v>
      </c>
      <c r="I23" s="147">
        <v>8504.7548</v>
      </c>
      <c r="J23" s="148">
        <v>21.2551353315473</v>
      </c>
    </row>
    <row r="24" ht="26.1" customHeight="1" spans="1:10">
      <c r="A24" s="262" t="s">
        <v>268</v>
      </c>
      <c r="B24" s="263" t="s">
        <v>213</v>
      </c>
      <c r="C24" s="147">
        <v>21565.8265</v>
      </c>
      <c r="D24" s="148">
        <v>25.2742429233962</v>
      </c>
      <c r="E24" s="147">
        <v>3110.9194</v>
      </c>
      <c r="F24" s="148">
        <v>34.1484417053861</v>
      </c>
      <c r="G24" s="147">
        <v>5407.7759</v>
      </c>
      <c r="H24" s="148">
        <v>31.3377115680046</v>
      </c>
      <c r="I24" s="147">
        <v>7794.2848</v>
      </c>
      <c r="J24" s="148">
        <v>24.911539050249</v>
      </c>
    </row>
    <row r="25" ht="26.1" customHeight="1" spans="1:10">
      <c r="A25" s="262" t="s">
        <v>269</v>
      </c>
      <c r="B25" s="263" t="s">
        <v>213</v>
      </c>
      <c r="C25" s="147">
        <v>1145.2759</v>
      </c>
      <c r="D25" s="148">
        <v>-47.0559399765466</v>
      </c>
      <c r="E25" s="147">
        <v>197.6719</v>
      </c>
      <c r="F25" s="148">
        <v>29.9138844909931</v>
      </c>
      <c r="G25" s="147">
        <v>305.1112</v>
      </c>
      <c r="H25" s="148">
        <v>26.8401012854404</v>
      </c>
      <c r="I25" s="147">
        <v>407.5045</v>
      </c>
      <c r="J25" s="148">
        <v>24.3653621723505</v>
      </c>
    </row>
    <row r="26" ht="26.1" customHeight="1" spans="1:10">
      <c r="A26" s="262" t="s">
        <v>270</v>
      </c>
      <c r="B26" s="263" t="s">
        <v>213</v>
      </c>
      <c r="C26" s="147">
        <v>20415.9025</v>
      </c>
      <c r="D26" s="148">
        <v>35.6741639936859</v>
      </c>
      <c r="E26" s="147">
        <v>2912.5174</v>
      </c>
      <c r="F26" s="148">
        <v>34.4461298002809</v>
      </c>
      <c r="G26" s="147">
        <v>5101.5617</v>
      </c>
      <c r="H26" s="148">
        <v>31.6159383206386</v>
      </c>
      <c r="I26" s="147">
        <v>7385.3124</v>
      </c>
      <c r="J26" s="148">
        <v>24.9405821429954</v>
      </c>
    </row>
    <row r="27" ht="26.1" customHeight="1" spans="1:10">
      <c r="A27" s="264" t="s">
        <v>271</v>
      </c>
      <c r="B27" s="265" t="s">
        <v>213</v>
      </c>
      <c r="C27" s="154">
        <v>4.6481</v>
      </c>
      <c r="D27" s="155">
        <v>17.1868697055264</v>
      </c>
      <c r="E27" s="154">
        <v>0.7301</v>
      </c>
      <c r="F27" s="155">
        <v>33.1084776663628</v>
      </c>
      <c r="G27" s="154">
        <v>1.103</v>
      </c>
      <c r="H27" s="155">
        <v>35.5869698832207</v>
      </c>
      <c r="I27" s="154">
        <v>1.4679</v>
      </c>
      <c r="J27" s="155">
        <v>31.4380372492837</v>
      </c>
    </row>
  </sheetData>
  <mergeCells count="7">
    <mergeCell ref="A1:J1"/>
    <mergeCell ref="C2:D2"/>
    <mergeCell ref="E2:F2"/>
    <mergeCell ref="G2:H2"/>
    <mergeCell ref="I2:J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J29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N20" sqref="N20"/>
    </sheetView>
  </sheetViews>
  <sheetFormatPr defaultColWidth="9" defaultRowHeight="14.25"/>
  <cols>
    <col min="1" max="1" width="31.375" style="232" customWidth="1"/>
    <col min="2" max="2" width="9.625" style="232" customWidth="1"/>
    <col min="3" max="3" width="9.84166666666667" style="232" customWidth="1"/>
    <col min="4" max="8" width="9.525" style="232" customWidth="1"/>
    <col min="9" max="9" width="9.84166666666667" style="232" customWidth="1"/>
    <col min="10" max="10" width="9.525" style="232" customWidth="1"/>
    <col min="11" max="16384" width="9" style="232"/>
  </cols>
  <sheetData>
    <row r="1" ht="24.95" customHeight="1" spans="1:10">
      <c r="A1" s="136" t="s">
        <v>75</v>
      </c>
      <c r="B1" s="136"/>
      <c r="C1" s="136"/>
      <c r="D1" s="136"/>
      <c r="E1" s="136"/>
      <c r="F1" s="136"/>
      <c r="G1" s="136"/>
      <c r="H1" s="136"/>
      <c r="I1" s="136"/>
      <c r="J1" s="136"/>
    </row>
    <row r="2" ht="21" customHeight="1" spans="1:10">
      <c r="A2" s="137" t="s">
        <v>1</v>
      </c>
      <c r="B2" s="233" t="s">
        <v>93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</row>
    <row r="3" ht="21" customHeight="1" spans="1:10">
      <c r="A3" s="140"/>
      <c r="B3" s="234"/>
      <c r="C3" s="141" t="s">
        <v>7</v>
      </c>
      <c r="D3" s="142" t="s">
        <v>8</v>
      </c>
      <c r="E3" s="141" t="s">
        <v>7</v>
      </c>
      <c r="F3" s="142" t="s">
        <v>8</v>
      </c>
      <c r="G3" s="141" t="s">
        <v>7</v>
      </c>
      <c r="H3" s="142" t="s">
        <v>8</v>
      </c>
      <c r="I3" s="141" t="s">
        <v>7</v>
      </c>
      <c r="J3" s="142" t="s">
        <v>8</v>
      </c>
    </row>
    <row r="4" ht="24" customHeight="1" spans="1:10">
      <c r="A4" s="235" t="s">
        <v>75</v>
      </c>
      <c r="B4" s="236" t="s">
        <v>10</v>
      </c>
      <c r="C4" s="212"/>
      <c r="D4" s="190">
        <v>-11.3</v>
      </c>
      <c r="E4" s="212"/>
      <c r="F4" s="190">
        <v>8.6</v>
      </c>
      <c r="G4" s="212"/>
      <c r="H4" s="190">
        <v>8.7</v>
      </c>
      <c r="I4" s="212"/>
      <c r="J4" s="190">
        <v>4.7</v>
      </c>
    </row>
    <row r="5" ht="24" customHeight="1" spans="1:10">
      <c r="A5" s="237" t="s">
        <v>272</v>
      </c>
      <c r="B5" s="238" t="s">
        <v>10</v>
      </c>
      <c r="C5" s="147"/>
      <c r="D5" s="148">
        <v>-2.3</v>
      </c>
      <c r="E5" s="147"/>
      <c r="F5" s="148">
        <v>21.2</v>
      </c>
      <c r="G5" s="147"/>
      <c r="H5" s="148">
        <v>24.7</v>
      </c>
      <c r="I5" s="147"/>
      <c r="J5" s="148">
        <v>17.000681865725</v>
      </c>
    </row>
    <row r="6" ht="24" customHeight="1" spans="1:10">
      <c r="A6" s="237" t="s">
        <v>273</v>
      </c>
      <c r="B6" s="238" t="s">
        <v>10</v>
      </c>
      <c r="C6" s="147"/>
      <c r="D6" s="148">
        <v>-15.3</v>
      </c>
      <c r="E6" s="147"/>
      <c r="F6" s="148">
        <v>61.9</v>
      </c>
      <c r="G6" s="147"/>
      <c r="H6" s="148">
        <v>59.1</v>
      </c>
      <c r="I6" s="147"/>
      <c r="J6" s="148">
        <v>48.8</v>
      </c>
    </row>
    <row r="7" ht="24" customHeight="1" spans="1:10">
      <c r="A7" s="237" t="s">
        <v>274</v>
      </c>
      <c r="B7" s="238" t="s">
        <v>10</v>
      </c>
      <c r="C7" s="147"/>
      <c r="D7" s="148">
        <v>-16</v>
      </c>
      <c r="E7" s="147"/>
      <c r="F7" s="148">
        <v>94.6</v>
      </c>
      <c r="G7" s="147"/>
      <c r="H7" s="148">
        <v>88.1</v>
      </c>
      <c r="I7" s="147"/>
      <c r="J7" s="148">
        <v>62.7</v>
      </c>
    </row>
    <row r="8" ht="24" customHeight="1" spans="1:10">
      <c r="A8" s="237" t="s">
        <v>275</v>
      </c>
      <c r="B8" s="238" t="s">
        <v>10</v>
      </c>
      <c r="C8" s="147"/>
      <c r="D8" s="148">
        <v>-26.4</v>
      </c>
      <c r="E8" s="147"/>
      <c r="F8" s="148">
        <v>42.5</v>
      </c>
      <c r="G8" s="147"/>
      <c r="H8" s="148">
        <v>12.3</v>
      </c>
      <c r="I8" s="147"/>
      <c r="J8" s="148">
        <v>15.3</v>
      </c>
    </row>
    <row r="9" ht="24" customHeight="1" spans="1:10">
      <c r="A9" s="237" t="s">
        <v>276</v>
      </c>
      <c r="B9" s="238" t="s">
        <v>10</v>
      </c>
      <c r="C9" s="147"/>
      <c r="D9" s="148">
        <v>12.7</v>
      </c>
      <c r="E9" s="147"/>
      <c r="F9" s="148">
        <v>0.6</v>
      </c>
      <c r="G9" s="147"/>
      <c r="H9" s="148">
        <v>9.4</v>
      </c>
      <c r="I9" s="147"/>
      <c r="J9" s="148">
        <v>5</v>
      </c>
    </row>
    <row r="10" ht="24" customHeight="1" spans="1:10">
      <c r="A10" s="237" t="s">
        <v>277</v>
      </c>
      <c r="B10" s="238" t="s">
        <v>10</v>
      </c>
      <c r="C10" s="147"/>
      <c r="D10" s="148">
        <v>18.4</v>
      </c>
      <c r="E10" s="147"/>
      <c r="F10" s="148">
        <v>4.8</v>
      </c>
      <c r="G10" s="147"/>
      <c r="H10" s="148">
        <v>0</v>
      </c>
      <c r="I10" s="147"/>
      <c r="J10" s="148">
        <v>-10</v>
      </c>
    </row>
    <row r="11" ht="24" customHeight="1" spans="1:10">
      <c r="A11" s="237" t="s">
        <v>278</v>
      </c>
      <c r="B11" s="238" t="s">
        <v>10</v>
      </c>
      <c r="C11" s="147"/>
      <c r="D11" s="148">
        <v>17.2</v>
      </c>
      <c r="E11" s="147"/>
      <c r="F11" s="148">
        <v>20.8</v>
      </c>
      <c r="G11" s="147"/>
      <c r="H11" s="148">
        <v>46.3</v>
      </c>
      <c r="I11" s="147"/>
      <c r="J11" s="148">
        <v>47.2</v>
      </c>
    </row>
    <row r="12" ht="24" customHeight="1" spans="1:10">
      <c r="A12" s="237" t="s">
        <v>279</v>
      </c>
      <c r="B12" s="238" t="s">
        <v>10</v>
      </c>
      <c r="C12" s="147"/>
      <c r="D12" s="148">
        <v>-37.6</v>
      </c>
      <c r="E12" s="147"/>
      <c r="F12" s="148">
        <v>-25.2</v>
      </c>
      <c r="G12" s="147"/>
      <c r="H12" s="148">
        <v>-35.6</v>
      </c>
      <c r="I12" s="147"/>
      <c r="J12" s="148">
        <v>-31.9</v>
      </c>
    </row>
    <row r="13" ht="24" customHeight="1" spans="1:10">
      <c r="A13" s="237" t="s">
        <v>280</v>
      </c>
      <c r="B13" s="238" t="s">
        <v>10</v>
      </c>
      <c r="C13" s="147"/>
      <c r="D13" s="148">
        <v>-61.4</v>
      </c>
      <c r="E13" s="147"/>
      <c r="F13" s="148">
        <v>-59.5</v>
      </c>
      <c r="G13" s="147"/>
      <c r="H13" s="148">
        <v>-41.3</v>
      </c>
      <c r="I13" s="147"/>
      <c r="J13" s="148">
        <v>-39.8</v>
      </c>
    </row>
    <row r="14" ht="24" customHeight="1" spans="1:10">
      <c r="A14" s="237" t="s">
        <v>281</v>
      </c>
      <c r="B14" s="238" t="s">
        <v>10</v>
      </c>
      <c r="C14" s="147"/>
      <c r="D14" s="148">
        <v>12.7</v>
      </c>
      <c r="E14" s="147"/>
      <c r="F14" s="148">
        <v>0.6</v>
      </c>
      <c r="G14" s="147"/>
      <c r="H14" s="148">
        <v>9.2</v>
      </c>
      <c r="I14" s="147"/>
      <c r="J14" s="148">
        <v>4.9</v>
      </c>
    </row>
    <row r="15" ht="24" customHeight="1" spans="1:10">
      <c r="A15" s="237" t="s">
        <v>282</v>
      </c>
      <c r="B15" s="238" t="s">
        <v>10</v>
      </c>
      <c r="C15" s="147"/>
      <c r="D15" s="148">
        <v>-29.6</v>
      </c>
      <c r="E15" s="147"/>
      <c r="F15" s="148">
        <v>19.9</v>
      </c>
      <c r="G15" s="147"/>
      <c r="H15" s="148">
        <v>9.5</v>
      </c>
      <c r="I15" s="147"/>
      <c r="J15" s="148">
        <v>5.8</v>
      </c>
    </row>
    <row r="16" ht="24" customHeight="1" spans="1:10">
      <c r="A16" s="239" t="s">
        <v>283</v>
      </c>
      <c r="B16" s="240" t="s">
        <v>166</v>
      </c>
      <c r="C16" s="241">
        <v>1483</v>
      </c>
      <c r="D16" s="190">
        <v>-2.3</v>
      </c>
      <c r="E16" s="241">
        <v>627</v>
      </c>
      <c r="F16" s="190">
        <v>11.4</v>
      </c>
      <c r="G16" s="241">
        <v>842</v>
      </c>
      <c r="H16" s="190">
        <v>17.6</v>
      </c>
      <c r="I16" s="241">
        <v>926</v>
      </c>
      <c r="J16" s="190">
        <v>13.2</v>
      </c>
    </row>
    <row r="17" ht="24" customHeight="1" spans="1:10">
      <c r="A17" s="237" t="s">
        <v>284</v>
      </c>
      <c r="B17" s="238" t="s">
        <v>166</v>
      </c>
      <c r="C17" s="242">
        <v>643</v>
      </c>
      <c r="D17" s="148">
        <v>4.2</v>
      </c>
      <c r="E17" s="242">
        <v>350</v>
      </c>
      <c r="F17" s="148">
        <v>12.2</v>
      </c>
      <c r="G17" s="242">
        <v>447</v>
      </c>
      <c r="H17" s="148">
        <v>17.3</v>
      </c>
      <c r="I17" s="242">
        <v>480</v>
      </c>
      <c r="J17" s="148">
        <v>13.2</v>
      </c>
    </row>
    <row r="18" ht="24" customHeight="1" spans="1:10">
      <c r="A18" s="237" t="s">
        <v>285</v>
      </c>
      <c r="B18" s="238" t="s">
        <v>166</v>
      </c>
      <c r="C18" s="242">
        <v>701</v>
      </c>
      <c r="D18" s="148">
        <v>7.7</v>
      </c>
      <c r="E18" s="242">
        <v>290</v>
      </c>
      <c r="F18" s="148">
        <v>7.4</v>
      </c>
      <c r="G18" s="242">
        <v>390</v>
      </c>
      <c r="H18" s="148">
        <v>15.7</v>
      </c>
      <c r="I18" s="242">
        <v>430</v>
      </c>
      <c r="J18" s="148">
        <v>11.4</v>
      </c>
    </row>
    <row r="19" ht="24" customHeight="1" spans="1:10">
      <c r="A19" s="237" t="s">
        <v>286</v>
      </c>
      <c r="B19" s="238" t="s">
        <v>166</v>
      </c>
      <c r="C19" s="242">
        <v>844</v>
      </c>
      <c r="D19" s="148">
        <v>8.3</v>
      </c>
      <c r="E19" s="242">
        <v>678</v>
      </c>
      <c r="F19" s="148">
        <v>15.3</v>
      </c>
      <c r="G19" s="242">
        <v>718</v>
      </c>
      <c r="H19" s="148">
        <v>15.4</v>
      </c>
      <c r="I19" s="242">
        <v>736</v>
      </c>
      <c r="J19" s="148">
        <v>13.8</v>
      </c>
    </row>
    <row r="20" ht="24" customHeight="1" spans="1:10">
      <c r="A20" s="237" t="s">
        <v>287</v>
      </c>
      <c r="B20" s="238" t="s">
        <v>166</v>
      </c>
      <c r="C20" s="242">
        <v>76</v>
      </c>
      <c r="D20" s="148">
        <v>18.8</v>
      </c>
      <c r="E20" s="242">
        <v>29</v>
      </c>
      <c r="F20" s="148">
        <v>-14.7</v>
      </c>
      <c r="G20" s="242">
        <v>32</v>
      </c>
      <c r="H20" s="148">
        <v>-20</v>
      </c>
      <c r="I20" s="242">
        <v>34</v>
      </c>
      <c r="J20" s="148">
        <v>-22.7272727272727</v>
      </c>
    </row>
    <row r="21" ht="24" customHeight="1" spans="1:10">
      <c r="A21" s="239" t="s">
        <v>288</v>
      </c>
      <c r="B21" s="240" t="s">
        <v>166</v>
      </c>
      <c r="C21" s="241">
        <v>360</v>
      </c>
      <c r="D21" s="190">
        <v>-6</v>
      </c>
      <c r="E21" s="241">
        <v>332</v>
      </c>
      <c r="F21" s="190">
        <v>-3.2</v>
      </c>
      <c r="G21" s="241">
        <v>336</v>
      </c>
      <c r="H21" s="190">
        <v>-2</v>
      </c>
      <c r="I21" s="241">
        <v>337</v>
      </c>
      <c r="J21" s="190">
        <v>-2.9</v>
      </c>
    </row>
    <row r="22" ht="24" customHeight="1" spans="1:10">
      <c r="A22" s="239" t="s">
        <v>289</v>
      </c>
      <c r="B22" s="240" t="s">
        <v>42</v>
      </c>
      <c r="C22" s="212">
        <v>3255.96</v>
      </c>
      <c r="D22" s="190">
        <v>-15</v>
      </c>
      <c r="E22" s="212">
        <v>2874.95</v>
      </c>
      <c r="F22" s="190">
        <v>-10.8</v>
      </c>
      <c r="G22" s="212">
        <v>2884.84</v>
      </c>
      <c r="H22" s="190">
        <v>-10.6</v>
      </c>
      <c r="I22" s="212">
        <v>2885.0734</v>
      </c>
      <c r="J22" s="190">
        <v>-10.9814418152635</v>
      </c>
    </row>
    <row r="23" ht="24" customHeight="1" spans="1:10">
      <c r="A23" s="237" t="s">
        <v>290</v>
      </c>
      <c r="B23" s="238" t="s">
        <v>42</v>
      </c>
      <c r="C23" s="147">
        <v>2341.99</v>
      </c>
      <c r="D23" s="148">
        <v>-14.9</v>
      </c>
      <c r="E23" s="147">
        <v>2025.08</v>
      </c>
      <c r="F23" s="148">
        <v>-11.9</v>
      </c>
      <c r="G23" s="147">
        <v>2033.32</v>
      </c>
      <c r="H23" s="148">
        <v>-12</v>
      </c>
      <c r="I23" s="147">
        <v>2030.9314</v>
      </c>
      <c r="J23" s="148">
        <v>-12.5697103609168</v>
      </c>
    </row>
    <row r="24" s="232" customFormat="1" ht="24" customHeight="1" spans="1:10">
      <c r="A24" s="239" t="s">
        <v>291</v>
      </c>
      <c r="B24" s="240" t="s">
        <v>42</v>
      </c>
      <c r="C24" s="243">
        <v>255.4</v>
      </c>
      <c r="D24" s="244">
        <v>-33.4</v>
      </c>
      <c r="E24" s="243">
        <v>47.35</v>
      </c>
      <c r="F24" s="244">
        <v>27.5</v>
      </c>
      <c r="G24" s="243">
        <v>68.63</v>
      </c>
      <c r="H24" s="244">
        <v>13.9</v>
      </c>
      <c r="I24" s="243">
        <v>89.2031</v>
      </c>
      <c r="J24" s="244">
        <v>9.50029338184568</v>
      </c>
    </row>
    <row r="25" s="232" customFormat="1" ht="24" customHeight="1" spans="1:10">
      <c r="A25" s="245" t="s">
        <v>290</v>
      </c>
      <c r="B25" s="246" t="s">
        <v>42</v>
      </c>
      <c r="C25" s="247">
        <v>237.42</v>
      </c>
      <c r="D25" s="248">
        <v>-27.4</v>
      </c>
      <c r="E25" s="247">
        <v>43</v>
      </c>
      <c r="F25" s="248">
        <v>24.6</v>
      </c>
      <c r="G25" s="247">
        <v>63.31</v>
      </c>
      <c r="H25" s="248">
        <v>12</v>
      </c>
      <c r="I25" s="247">
        <v>81.6473</v>
      </c>
      <c r="J25" s="248">
        <v>6.58652069987819</v>
      </c>
    </row>
    <row r="26" s="232" customFormat="1" ht="24" customHeight="1" spans="1:10">
      <c r="A26" s="249" t="s">
        <v>292</v>
      </c>
      <c r="B26" s="250" t="s">
        <v>10</v>
      </c>
      <c r="C26" s="243">
        <v>229.04</v>
      </c>
      <c r="D26" s="244">
        <v>-34.4</v>
      </c>
      <c r="E26" s="243">
        <v>39.28</v>
      </c>
      <c r="F26" s="244">
        <v>19.5</v>
      </c>
      <c r="G26" s="243">
        <v>57.83</v>
      </c>
      <c r="H26" s="244">
        <v>6.1</v>
      </c>
      <c r="I26" s="243">
        <v>74.197</v>
      </c>
      <c r="J26" s="244">
        <v>0.515875918836244</v>
      </c>
    </row>
    <row r="27" s="232" customFormat="1" ht="24" customHeight="1" spans="1:10">
      <c r="A27" s="251" t="s">
        <v>290</v>
      </c>
      <c r="B27" s="252" t="s">
        <v>10</v>
      </c>
      <c r="C27" s="253">
        <v>214.79</v>
      </c>
      <c r="D27" s="254">
        <v>-28.7</v>
      </c>
      <c r="E27" s="253">
        <v>36.17</v>
      </c>
      <c r="F27" s="254">
        <v>19.9</v>
      </c>
      <c r="G27" s="253">
        <v>53.81</v>
      </c>
      <c r="H27" s="254">
        <v>6.4</v>
      </c>
      <c r="I27" s="253">
        <v>69.0485</v>
      </c>
      <c r="J27" s="254">
        <v>0.446746793053393</v>
      </c>
    </row>
    <row r="29" s="232" customFormat="1" ht="18" customHeight="1" spans="1:10">
      <c r="A29" s="255" t="s">
        <v>293</v>
      </c>
      <c r="B29" s="255"/>
      <c r="C29" s="255"/>
      <c r="D29" s="255"/>
      <c r="E29" s="255"/>
      <c r="F29" s="255"/>
      <c r="G29" s="255"/>
      <c r="H29" s="255"/>
      <c r="I29" s="255"/>
      <c r="J29" s="255"/>
    </row>
  </sheetData>
  <mergeCells count="8">
    <mergeCell ref="A1:J1"/>
    <mergeCell ref="C2:D2"/>
    <mergeCell ref="E2:F2"/>
    <mergeCell ref="G2:H2"/>
    <mergeCell ref="I2:J2"/>
    <mergeCell ref="A29:J29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X30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M19" sqref="M19:N19"/>
    </sheetView>
  </sheetViews>
  <sheetFormatPr defaultColWidth="9" defaultRowHeight="14.25"/>
  <cols>
    <col min="1" max="1" width="30.1416666666667" style="134" customWidth="1"/>
    <col min="2" max="9" width="8.88333333333333" style="134" customWidth="1"/>
    <col min="10" max="154" width="9" style="134"/>
    <col min="155" max="16384" width="9" style="135"/>
  </cols>
  <sheetData>
    <row r="1" ht="28.5" customHeight="1" spans="1:9">
      <c r="A1" s="136" t="s">
        <v>76</v>
      </c>
      <c r="B1" s="136"/>
      <c r="C1" s="136"/>
      <c r="D1" s="136"/>
      <c r="E1" s="136"/>
      <c r="F1" s="136"/>
      <c r="G1" s="136"/>
      <c r="H1" s="136"/>
      <c r="I1" s="136"/>
    </row>
    <row r="2" ht="20.85" customHeight="1" spans="1:9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</row>
    <row r="3" ht="20.85" customHeight="1" spans="1:9">
      <c r="A3" s="140"/>
      <c r="B3" s="141" t="s">
        <v>7</v>
      </c>
      <c r="C3" s="142" t="s">
        <v>8</v>
      </c>
      <c r="D3" s="141" t="s">
        <v>7</v>
      </c>
      <c r="E3" s="142" t="s">
        <v>8</v>
      </c>
      <c r="F3" s="141" t="s">
        <v>7</v>
      </c>
      <c r="G3" s="142" t="s">
        <v>8</v>
      </c>
      <c r="H3" s="141" t="s">
        <v>7</v>
      </c>
      <c r="I3" s="142" t="s">
        <v>8</v>
      </c>
    </row>
    <row r="4" s="213" customFormat="1" ht="20.85" customHeight="1" spans="1:154">
      <c r="A4" s="214" t="s">
        <v>294</v>
      </c>
      <c r="B4" s="215">
        <v>1987.45464</v>
      </c>
      <c r="C4" s="216">
        <v>1.53</v>
      </c>
      <c r="D4" s="215">
        <v>259.8447</v>
      </c>
      <c r="E4" s="216">
        <v>1.01</v>
      </c>
      <c r="F4" s="215">
        <v>381.62659</v>
      </c>
      <c r="G4" s="216">
        <v>1.6495</v>
      </c>
      <c r="H4" s="215">
        <v>504.339</v>
      </c>
      <c r="I4" s="216">
        <v>1.84</v>
      </c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1"/>
      <c r="CB4" s="231"/>
      <c r="CC4" s="231"/>
      <c r="CD4" s="231"/>
      <c r="CE4" s="231"/>
      <c r="CF4" s="231"/>
      <c r="CG4" s="231"/>
      <c r="CH4" s="231"/>
      <c r="CI4" s="231"/>
      <c r="CJ4" s="231"/>
      <c r="CK4" s="231"/>
      <c r="CL4" s="231"/>
      <c r="CM4" s="231"/>
      <c r="CN4" s="231"/>
      <c r="CO4" s="231"/>
      <c r="CP4" s="231"/>
      <c r="CQ4" s="231"/>
      <c r="CR4" s="231"/>
      <c r="CS4" s="231"/>
      <c r="CT4" s="231"/>
      <c r="CU4" s="231"/>
      <c r="CV4" s="231"/>
      <c r="CW4" s="231"/>
      <c r="CX4" s="231"/>
      <c r="CY4" s="231"/>
      <c r="CZ4" s="231"/>
      <c r="DA4" s="231"/>
      <c r="DB4" s="231"/>
      <c r="DC4" s="231"/>
      <c r="DD4" s="231"/>
      <c r="DE4" s="231"/>
      <c r="DF4" s="231"/>
      <c r="DG4" s="231"/>
      <c r="DH4" s="231"/>
      <c r="DI4" s="231"/>
      <c r="DJ4" s="231"/>
      <c r="DK4" s="231"/>
      <c r="DL4" s="231"/>
      <c r="DM4" s="231"/>
      <c r="DN4" s="231"/>
      <c r="DO4" s="231"/>
      <c r="DP4" s="231"/>
      <c r="DQ4" s="231"/>
      <c r="DR4" s="231"/>
      <c r="DS4" s="231"/>
      <c r="DT4" s="231"/>
      <c r="DU4" s="231"/>
      <c r="DV4" s="231"/>
      <c r="DW4" s="231"/>
      <c r="DX4" s="231"/>
      <c r="DY4" s="231"/>
      <c r="DZ4" s="231"/>
      <c r="EA4" s="231"/>
      <c r="EB4" s="231"/>
      <c r="EC4" s="231"/>
      <c r="ED4" s="231"/>
      <c r="EE4" s="231"/>
      <c r="EF4" s="231"/>
      <c r="EG4" s="231"/>
      <c r="EH4" s="231"/>
      <c r="EI4" s="231"/>
      <c r="EJ4" s="231"/>
      <c r="EK4" s="231"/>
      <c r="EL4" s="231"/>
      <c r="EM4" s="231"/>
      <c r="EN4" s="231"/>
      <c r="EO4" s="231"/>
      <c r="EP4" s="231"/>
      <c r="EQ4" s="231"/>
      <c r="ER4" s="231"/>
      <c r="ES4" s="231"/>
      <c r="ET4" s="231"/>
      <c r="EU4" s="231"/>
      <c r="EV4" s="231"/>
      <c r="EW4" s="231"/>
      <c r="EX4" s="231"/>
    </row>
    <row r="5" s="213" customFormat="1" ht="20.85" customHeight="1" spans="1:154">
      <c r="A5" s="217" t="s">
        <v>295</v>
      </c>
      <c r="B5" s="218"/>
      <c r="C5" s="219"/>
      <c r="D5" s="218"/>
      <c r="E5" s="219"/>
      <c r="F5" s="218"/>
      <c r="G5" s="219"/>
      <c r="H5" s="218"/>
      <c r="I5" s="219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  <c r="CR5" s="231"/>
      <c r="CS5" s="231"/>
      <c r="CT5" s="231"/>
      <c r="CU5" s="231"/>
      <c r="CV5" s="231"/>
      <c r="CW5" s="231"/>
      <c r="CX5" s="231"/>
      <c r="CY5" s="231"/>
      <c r="CZ5" s="231"/>
      <c r="DA5" s="231"/>
      <c r="DB5" s="231"/>
      <c r="DC5" s="231"/>
      <c r="DD5" s="231"/>
      <c r="DE5" s="231"/>
      <c r="DF5" s="231"/>
      <c r="DG5" s="231"/>
      <c r="DH5" s="231"/>
      <c r="DI5" s="231"/>
      <c r="DJ5" s="231"/>
      <c r="DK5" s="231"/>
      <c r="DL5" s="231"/>
      <c r="DM5" s="231"/>
      <c r="DN5" s="231"/>
      <c r="DO5" s="231"/>
      <c r="DP5" s="231"/>
      <c r="DQ5" s="231"/>
      <c r="DR5" s="231"/>
      <c r="DS5" s="231"/>
      <c r="DT5" s="231"/>
      <c r="DU5" s="231"/>
      <c r="DV5" s="231"/>
      <c r="DW5" s="231"/>
      <c r="DX5" s="231"/>
      <c r="DY5" s="231"/>
      <c r="DZ5" s="231"/>
      <c r="EA5" s="231"/>
      <c r="EB5" s="231"/>
      <c r="EC5" s="231"/>
      <c r="ED5" s="231"/>
      <c r="EE5" s="231"/>
      <c r="EF5" s="231"/>
      <c r="EG5" s="231"/>
      <c r="EH5" s="231"/>
      <c r="EI5" s="231"/>
      <c r="EJ5" s="231"/>
      <c r="EK5" s="231"/>
      <c r="EL5" s="231"/>
      <c r="EM5" s="231"/>
      <c r="EN5" s="231"/>
      <c r="EO5" s="231"/>
      <c r="EP5" s="231"/>
      <c r="EQ5" s="231"/>
      <c r="ER5" s="231"/>
      <c r="ES5" s="231"/>
      <c r="ET5" s="231"/>
      <c r="EU5" s="231"/>
      <c r="EV5" s="231"/>
      <c r="EW5" s="231"/>
      <c r="EX5" s="231"/>
    </row>
    <row r="6" ht="21" customHeight="1" spans="1:9">
      <c r="A6" s="220" t="s">
        <v>296</v>
      </c>
      <c r="B6" s="221">
        <v>1602.89825</v>
      </c>
      <c r="C6" s="222">
        <v>1.43</v>
      </c>
      <c r="D6" s="221">
        <v>209.03322</v>
      </c>
      <c r="E6" s="222">
        <v>0.75</v>
      </c>
      <c r="F6" s="221">
        <v>304.89247</v>
      </c>
      <c r="G6" s="222">
        <v>1.46</v>
      </c>
      <c r="H6" s="221">
        <v>403.72916</v>
      </c>
      <c r="I6" s="222">
        <v>1.67</v>
      </c>
    </row>
    <row r="7" ht="21" customHeight="1" spans="1:9">
      <c r="A7" s="220" t="s">
        <v>297</v>
      </c>
      <c r="B7" s="221">
        <v>384.55639</v>
      </c>
      <c r="C7" s="222">
        <v>1.93</v>
      </c>
      <c r="D7" s="221">
        <v>50.81148</v>
      </c>
      <c r="E7" s="222">
        <v>2.08</v>
      </c>
      <c r="F7" s="221">
        <v>76.73412</v>
      </c>
      <c r="G7" s="222">
        <v>2.39</v>
      </c>
      <c r="H7" s="221">
        <v>100.60984</v>
      </c>
      <c r="I7" s="222">
        <v>2.54</v>
      </c>
    </row>
    <row r="8" ht="21" customHeight="1" spans="1:9">
      <c r="A8" s="217" t="s">
        <v>298</v>
      </c>
      <c r="B8" s="221"/>
      <c r="C8" s="223"/>
      <c r="D8" s="221"/>
      <c r="E8" s="223"/>
      <c r="F8" s="221"/>
      <c r="G8" s="223"/>
      <c r="H8" s="221"/>
      <c r="I8" s="223"/>
    </row>
    <row r="9" ht="21" customHeight="1" spans="1:9">
      <c r="A9" s="220" t="s">
        <v>299</v>
      </c>
      <c r="B9" s="224">
        <v>1738.4543</v>
      </c>
      <c r="C9" s="222">
        <v>1.5</v>
      </c>
      <c r="D9" s="224">
        <v>227.47418</v>
      </c>
      <c r="E9" s="222">
        <v>1.09</v>
      </c>
      <c r="F9" s="224">
        <v>335.00738</v>
      </c>
      <c r="G9" s="222">
        <v>1.76</v>
      </c>
      <c r="H9" s="224">
        <v>442.41886</v>
      </c>
      <c r="I9" s="222">
        <v>1.94</v>
      </c>
    </row>
    <row r="10" ht="21" customHeight="1" spans="1:9">
      <c r="A10" s="220" t="s">
        <v>300</v>
      </c>
      <c r="B10" s="224">
        <v>249.00034</v>
      </c>
      <c r="C10" s="222">
        <v>1.71</v>
      </c>
      <c r="D10" s="224">
        <v>32.37052</v>
      </c>
      <c r="E10" s="222">
        <v>0.43</v>
      </c>
      <c r="F10" s="224">
        <v>46.61921</v>
      </c>
      <c r="G10" s="222">
        <v>0.84</v>
      </c>
      <c r="H10" s="224">
        <v>61.92014</v>
      </c>
      <c r="I10" s="222">
        <v>1.11</v>
      </c>
    </row>
    <row r="11" s="213" customFormat="1" ht="21" customHeight="1" spans="1:154">
      <c r="A11" s="217" t="s">
        <v>301</v>
      </c>
      <c r="B11" s="218"/>
      <c r="C11" s="225"/>
      <c r="D11" s="218"/>
      <c r="E11" s="225"/>
      <c r="F11" s="218"/>
      <c r="G11" s="225"/>
      <c r="H11" s="218"/>
      <c r="I11" s="225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31"/>
      <c r="BF11" s="231"/>
      <c r="BG11" s="231"/>
      <c r="BH11" s="231"/>
      <c r="BI11" s="231"/>
      <c r="BJ11" s="231"/>
      <c r="BK11" s="231"/>
      <c r="BL11" s="231"/>
      <c r="BM11" s="231"/>
      <c r="BN11" s="231"/>
      <c r="BO11" s="231"/>
      <c r="BP11" s="231"/>
      <c r="BQ11" s="231"/>
      <c r="BR11" s="231"/>
      <c r="BS11" s="231"/>
      <c r="BT11" s="231"/>
      <c r="BU11" s="231"/>
      <c r="BV11" s="231"/>
      <c r="BW11" s="231"/>
      <c r="BX11" s="231"/>
      <c r="BY11" s="231"/>
      <c r="BZ11" s="231"/>
      <c r="CA11" s="231"/>
      <c r="CB11" s="231"/>
      <c r="CC11" s="231"/>
      <c r="CD11" s="231"/>
      <c r="CE11" s="231"/>
      <c r="CF11" s="231"/>
      <c r="CG11" s="231"/>
      <c r="CH11" s="231"/>
      <c r="CI11" s="231"/>
      <c r="CJ11" s="231"/>
      <c r="CK11" s="231"/>
      <c r="CL11" s="231"/>
      <c r="CM11" s="231"/>
      <c r="CN11" s="231"/>
      <c r="CO11" s="231"/>
      <c r="CP11" s="231"/>
      <c r="CQ11" s="231"/>
      <c r="CR11" s="231"/>
      <c r="CS11" s="231"/>
      <c r="CT11" s="231"/>
      <c r="CU11" s="231"/>
      <c r="CV11" s="231"/>
      <c r="CW11" s="231"/>
      <c r="CX11" s="231"/>
      <c r="CY11" s="231"/>
      <c r="CZ11" s="231"/>
      <c r="DA11" s="231"/>
      <c r="DB11" s="231"/>
      <c r="DC11" s="231"/>
      <c r="DD11" s="231"/>
      <c r="DE11" s="231"/>
      <c r="DF11" s="231"/>
      <c r="DG11" s="231"/>
      <c r="DH11" s="231"/>
      <c r="DI11" s="231"/>
      <c r="DJ11" s="231"/>
      <c r="DK11" s="231"/>
      <c r="DL11" s="231"/>
      <c r="DM11" s="231"/>
      <c r="DN11" s="231"/>
      <c r="DO11" s="231"/>
      <c r="DP11" s="231"/>
      <c r="DQ11" s="231"/>
      <c r="DR11" s="231"/>
      <c r="DS11" s="231"/>
      <c r="DT11" s="231"/>
      <c r="DU11" s="231"/>
      <c r="DV11" s="231"/>
      <c r="DW11" s="231"/>
      <c r="DX11" s="231"/>
      <c r="DY11" s="231"/>
      <c r="DZ11" s="231"/>
      <c r="EA11" s="231"/>
      <c r="EB11" s="231"/>
      <c r="EC11" s="231"/>
      <c r="ED11" s="231"/>
      <c r="EE11" s="231"/>
      <c r="EF11" s="231"/>
      <c r="EG11" s="231"/>
      <c r="EH11" s="231"/>
      <c r="EI11" s="231"/>
      <c r="EJ11" s="231"/>
      <c r="EK11" s="231"/>
      <c r="EL11" s="231"/>
      <c r="EM11" s="231"/>
      <c r="EN11" s="231"/>
      <c r="EO11" s="231"/>
      <c r="EP11" s="231"/>
      <c r="EQ11" s="231"/>
      <c r="ER11" s="231"/>
      <c r="ES11" s="231"/>
      <c r="ET11" s="231"/>
      <c r="EU11" s="231"/>
      <c r="EV11" s="231"/>
      <c r="EW11" s="231"/>
      <c r="EX11" s="231"/>
    </row>
    <row r="12" ht="21" customHeight="1" spans="1:9">
      <c r="A12" s="220" t="s">
        <v>302</v>
      </c>
      <c r="B12" s="224">
        <v>48.75533</v>
      </c>
      <c r="C12" s="222">
        <v>11.4</v>
      </c>
      <c r="D12" s="224">
        <v>9.15935</v>
      </c>
      <c r="E12" s="222">
        <v>11.9</v>
      </c>
      <c r="F12" s="224">
        <v>13.44007</v>
      </c>
      <c r="G12" s="222">
        <v>15.5</v>
      </c>
      <c r="H12" s="224">
        <v>17.36406</v>
      </c>
      <c r="I12" s="222">
        <v>17.2</v>
      </c>
    </row>
    <row r="13" ht="21" customHeight="1" spans="1:9">
      <c r="A13" s="220" t="s">
        <v>303</v>
      </c>
      <c r="B13" s="221">
        <v>2.28165</v>
      </c>
      <c r="C13" s="222">
        <v>-15.2</v>
      </c>
      <c r="D13" s="221">
        <v>0.40898</v>
      </c>
      <c r="E13" s="222">
        <v>7.4</v>
      </c>
      <c r="F13" s="221">
        <v>0.587</v>
      </c>
      <c r="G13" s="222">
        <v>7.9</v>
      </c>
      <c r="H13" s="221">
        <v>0.7411</v>
      </c>
      <c r="I13" s="222">
        <v>5.8</v>
      </c>
    </row>
    <row r="14" ht="21" customHeight="1" spans="1:9">
      <c r="A14" s="226" t="s">
        <v>304</v>
      </c>
      <c r="B14" s="221">
        <v>5.75335</v>
      </c>
      <c r="C14" s="227">
        <v>-18.8</v>
      </c>
      <c r="D14" s="221">
        <v>1.28296</v>
      </c>
      <c r="E14" s="227">
        <v>-4.2</v>
      </c>
      <c r="F14" s="221">
        <v>1.62407</v>
      </c>
      <c r="G14" s="227">
        <v>-3.6</v>
      </c>
      <c r="H14" s="221">
        <v>2.02586</v>
      </c>
      <c r="I14" s="227">
        <v>-4.2</v>
      </c>
    </row>
    <row r="15" ht="21" customHeight="1" spans="1:9">
      <c r="A15" s="220" t="s">
        <v>305</v>
      </c>
      <c r="B15" s="224">
        <v>0.90605</v>
      </c>
      <c r="C15" s="222">
        <v>-10.5</v>
      </c>
      <c r="D15" s="224">
        <v>0.21192</v>
      </c>
      <c r="E15" s="222">
        <v>-10.5</v>
      </c>
      <c r="F15" s="224">
        <v>0.27737</v>
      </c>
      <c r="G15" s="222">
        <v>-13</v>
      </c>
      <c r="H15" s="224">
        <v>0.33834</v>
      </c>
      <c r="I15" s="222">
        <v>-15.1</v>
      </c>
    </row>
    <row r="16" ht="21" customHeight="1" spans="1:9">
      <c r="A16" s="226" t="s">
        <v>306</v>
      </c>
      <c r="B16" s="221">
        <v>0.71257</v>
      </c>
      <c r="C16" s="227">
        <v>-12.2</v>
      </c>
      <c r="D16" s="221">
        <v>0.13677</v>
      </c>
      <c r="E16" s="227">
        <v>-7.1</v>
      </c>
      <c r="F16" s="221">
        <v>0.19733</v>
      </c>
      <c r="G16" s="227">
        <v>-8.3</v>
      </c>
      <c r="H16" s="221">
        <v>0.24476</v>
      </c>
      <c r="I16" s="227">
        <v>-8.2</v>
      </c>
    </row>
    <row r="17" ht="21" customHeight="1" spans="1:9">
      <c r="A17" s="220" t="s">
        <v>307</v>
      </c>
      <c r="B17" s="224">
        <v>0.95042</v>
      </c>
      <c r="C17" s="222">
        <v>-48.7</v>
      </c>
      <c r="D17" s="224">
        <v>0.23493</v>
      </c>
      <c r="E17" s="222">
        <v>-27.7</v>
      </c>
      <c r="F17" s="224">
        <v>0.32222</v>
      </c>
      <c r="G17" s="222">
        <v>-22.6</v>
      </c>
      <c r="H17" s="224">
        <v>0.40063</v>
      </c>
      <c r="I17" s="222">
        <v>-14</v>
      </c>
    </row>
    <row r="18" ht="21" customHeight="1" spans="1:9">
      <c r="A18" s="220" t="s">
        <v>308</v>
      </c>
      <c r="B18" s="221">
        <v>6.06175</v>
      </c>
      <c r="C18" s="222">
        <v>-6.8</v>
      </c>
      <c r="D18" s="221">
        <v>1.0766</v>
      </c>
      <c r="E18" s="222">
        <v>-1.6</v>
      </c>
      <c r="F18" s="221">
        <v>1.59166</v>
      </c>
      <c r="G18" s="222">
        <v>-1</v>
      </c>
      <c r="H18" s="221">
        <v>2.0781</v>
      </c>
      <c r="I18" s="222">
        <v>0.1</v>
      </c>
    </row>
    <row r="19" ht="21" customHeight="1" spans="1:9">
      <c r="A19" s="226" t="s">
        <v>309</v>
      </c>
      <c r="B19" s="221">
        <v>0.1417</v>
      </c>
      <c r="C19" s="227">
        <v>5.3</v>
      </c>
      <c r="D19" s="221">
        <v>0.03045</v>
      </c>
      <c r="E19" s="227">
        <v>2.3</v>
      </c>
      <c r="F19" s="221">
        <v>0.04177</v>
      </c>
      <c r="G19" s="227">
        <v>-4.5</v>
      </c>
      <c r="H19" s="221">
        <v>0.05446</v>
      </c>
      <c r="I19" s="227">
        <v>-0.1</v>
      </c>
    </row>
    <row r="20" ht="21" customHeight="1" spans="1:9">
      <c r="A20" s="226" t="s">
        <v>310</v>
      </c>
      <c r="B20" s="221">
        <v>0.05149</v>
      </c>
      <c r="C20" s="227">
        <v>-19.5</v>
      </c>
      <c r="D20" s="221">
        <v>0.01097</v>
      </c>
      <c r="E20" s="227">
        <v>-38</v>
      </c>
      <c r="F20" s="221">
        <v>0.01359</v>
      </c>
      <c r="G20" s="227">
        <v>-33.7</v>
      </c>
      <c r="H20" s="221">
        <v>0.01623</v>
      </c>
      <c r="I20" s="227">
        <v>-30.3</v>
      </c>
    </row>
    <row r="21" ht="21" customHeight="1" spans="1:9">
      <c r="A21" s="226" t="s">
        <v>311</v>
      </c>
      <c r="B21" s="221">
        <v>3.36469</v>
      </c>
      <c r="C21" s="227">
        <v>5.9</v>
      </c>
      <c r="D21" s="221">
        <v>0.24845</v>
      </c>
      <c r="E21" s="227">
        <v>5.2</v>
      </c>
      <c r="F21" s="221">
        <v>0.66642</v>
      </c>
      <c r="G21" s="227">
        <v>14.3</v>
      </c>
      <c r="H21" s="221">
        <v>1.17808</v>
      </c>
      <c r="I21" s="227">
        <v>10</v>
      </c>
    </row>
    <row r="22" ht="21" customHeight="1" spans="1:9">
      <c r="A22" s="226" t="s">
        <v>312</v>
      </c>
      <c r="B22" s="221">
        <v>6.00923</v>
      </c>
      <c r="C22" s="227">
        <v>7.7</v>
      </c>
      <c r="D22" s="221">
        <v>0.73234</v>
      </c>
      <c r="E22" s="227">
        <v>-18.4</v>
      </c>
      <c r="F22" s="221">
        <v>1.19076</v>
      </c>
      <c r="G22" s="227">
        <v>-3.9</v>
      </c>
      <c r="H22" s="221">
        <v>1.77617</v>
      </c>
      <c r="I22" s="227">
        <v>4.5</v>
      </c>
    </row>
    <row r="23" ht="21" customHeight="1" spans="1:9">
      <c r="A23" s="220" t="s">
        <v>313</v>
      </c>
      <c r="B23" s="221">
        <v>16.20649</v>
      </c>
      <c r="C23" s="222">
        <v>-0.1</v>
      </c>
      <c r="D23" s="221">
        <v>2.85577</v>
      </c>
      <c r="E23" s="222">
        <v>4.4</v>
      </c>
      <c r="F23" s="221">
        <v>4.30174</v>
      </c>
      <c r="G23" s="222">
        <v>2.5</v>
      </c>
      <c r="H23" s="221">
        <v>5.66688</v>
      </c>
      <c r="I23" s="222">
        <v>2.9</v>
      </c>
    </row>
    <row r="24" ht="21" customHeight="1" spans="1:9">
      <c r="A24" s="226" t="s">
        <v>314</v>
      </c>
      <c r="B24" s="221">
        <v>0.23287</v>
      </c>
      <c r="C24" s="227">
        <v>-40.8</v>
      </c>
      <c r="D24" s="221">
        <v>0.02298</v>
      </c>
      <c r="E24" s="227">
        <v>-35.4</v>
      </c>
      <c r="F24" s="221">
        <v>0.03497</v>
      </c>
      <c r="G24" s="227">
        <v>-41.5</v>
      </c>
      <c r="H24" s="221">
        <v>0.06597</v>
      </c>
      <c r="I24" s="227">
        <v>-33.3</v>
      </c>
    </row>
    <row r="25" ht="21" customHeight="1" spans="1:9">
      <c r="A25" s="220" t="s">
        <v>315</v>
      </c>
      <c r="B25" s="221">
        <v>0.18217</v>
      </c>
      <c r="C25" s="222">
        <v>-35.6</v>
      </c>
      <c r="D25" s="221">
        <v>0.01545</v>
      </c>
      <c r="E25" s="222">
        <v>-11.1</v>
      </c>
      <c r="F25" s="221">
        <v>0.02048</v>
      </c>
      <c r="G25" s="222">
        <v>-11.5</v>
      </c>
      <c r="H25" s="221">
        <v>0.02465</v>
      </c>
      <c r="I25" s="222">
        <v>-23.1</v>
      </c>
    </row>
    <row r="26" ht="21" customHeight="1" spans="1:9">
      <c r="A26" s="220" t="s">
        <v>316</v>
      </c>
      <c r="B26" s="221">
        <v>3.61306</v>
      </c>
      <c r="C26" s="222">
        <v>-22</v>
      </c>
      <c r="D26" s="221">
        <v>0.91398</v>
      </c>
      <c r="E26" s="222">
        <v>25.8</v>
      </c>
      <c r="F26" s="221">
        <v>1.38276</v>
      </c>
      <c r="G26" s="222">
        <v>39.2</v>
      </c>
      <c r="H26" s="221">
        <v>1.87027</v>
      </c>
      <c r="I26" s="222">
        <v>47.5</v>
      </c>
    </row>
    <row r="27" ht="21" customHeight="1" spans="1:9">
      <c r="A27" s="220" t="s">
        <v>317</v>
      </c>
      <c r="B27" s="221">
        <v>86.41542</v>
      </c>
      <c r="C27" s="222">
        <v>-3.1</v>
      </c>
      <c r="D27" s="221">
        <v>17.90271</v>
      </c>
      <c r="E27" s="222">
        <v>-3.7</v>
      </c>
      <c r="F27" s="221">
        <v>24.72772</v>
      </c>
      <c r="G27" s="222">
        <v>-2.8</v>
      </c>
      <c r="H27" s="221">
        <v>32.10128</v>
      </c>
      <c r="I27" s="222">
        <v>-3.5</v>
      </c>
    </row>
    <row r="28" ht="21" customHeight="1" spans="1:9">
      <c r="A28" s="220" t="s">
        <v>318</v>
      </c>
      <c r="B28" s="221">
        <v>0.37795</v>
      </c>
      <c r="C28" s="222">
        <v>-16.5</v>
      </c>
      <c r="D28" s="221">
        <v>0.0605</v>
      </c>
      <c r="E28" s="222">
        <v>-60.2</v>
      </c>
      <c r="F28" s="221">
        <v>0.01927</v>
      </c>
      <c r="G28" s="222">
        <v>-60.2</v>
      </c>
      <c r="H28" s="221">
        <v>0.02365</v>
      </c>
      <c r="I28" s="222">
        <v>-67</v>
      </c>
    </row>
    <row r="29" ht="21" customHeight="1" spans="1:9">
      <c r="A29" s="226" t="s">
        <v>319</v>
      </c>
      <c r="B29" s="221">
        <v>0.43449</v>
      </c>
      <c r="C29" s="227">
        <v>-21.4</v>
      </c>
      <c r="D29" s="221">
        <v>0.07441</v>
      </c>
      <c r="E29" s="227">
        <v>-10.3</v>
      </c>
      <c r="F29" s="221">
        <v>0.10362</v>
      </c>
      <c r="G29" s="227">
        <v>-13.2</v>
      </c>
      <c r="H29" s="221">
        <v>0.13537</v>
      </c>
      <c r="I29" s="227">
        <v>-12.3</v>
      </c>
    </row>
    <row r="30" ht="21" customHeight="1" spans="1:9">
      <c r="A30" s="228" t="s">
        <v>320</v>
      </c>
      <c r="B30" s="229">
        <v>75.78258</v>
      </c>
      <c r="C30" s="230">
        <v>-2.6</v>
      </c>
      <c r="D30" s="229">
        <v>9.19178</v>
      </c>
      <c r="E30" s="230">
        <v>-13.2</v>
      </c>
      <c r="F30" s="229">
        <v>14.37845</v>
      </c>
      <c r="G30" s="230">
        <v>-8.4</v>
      </c>
      <c r="H30" s="229">
        <v>19.75835</v>
      </c>
      <c r="I30" s="230">
        <v>-7.8</v>
      </c>
    </row>
  </sheetData>
  <mergeCells count="6">
    <mergeCell ref="A1:I1"/>
    <mergeCell ref="B2:C2"/>
    <mergeCell ref="D2:E2"/>
    <mergeCell ref="F2:G2"/>
    <mergeCell ref="H2:I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2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H4" sqref="H4:I27"/>
    </sheetView>
  </sheetViews>
  <sheetFormatPr defaultColWidth="9" defaultRowHeight="14.25"/>
  <cols>
    <col min="1" max="1" width="30.625" style="134" customWidth="1"/>
    <col min="2" max="2" width="10.375" style="134"/>
    <col min="3" max="7" width="9.25" style="134"/>
    <col min="8" max="8" width="10.375" style="134"/>
    <col min="9" max="9" width="9.25" style="134"/>
    <col min="10" max="154" width="9" style="134"/>
    <col min="155" max="16384" width="9" style="135"/>
  </cols>
  <sheetData>
    <row r="1" ht="28.5" customHeight="1" spans="1:9">
      <c r="A1" s="136" t="s">
        <v>321</v>
      </c>
      <c r="B1" s="136"/>
      <c r="C1" s="136"/>
      <c r="D1" s="136"/>
      <c r="E1" s="136"/>
      <c r="F1" s="136"/>
      <c r="G1" s="136"/>
      <c r="H1" s="136"/>
      <c r="I1" s="136"/>
    </row>
    <row r="2" ht="21" customHeight="1" spans="1:9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</row>
    <row r="3" ht="21" customHeight="1" spans="1:9">
      <c r="A3" s="140"/>
      <c r="B3" s="141" t="s">
        <v>7</v>
      </c>
      <c r="C3" s="142" t="s">
        <v>8</v>
      </c>
      <c r="D3" s="141" t="s">
        <v>7</v>
      </c>
      <c r="E3" s="142" t="s">
        <v>8</v>
      </c>
      <c r="F3" s="141" t="s">
        <v>7</v>
      </c>
      <c r="G3" s="142" t="s">
        <v>8</v>
      </c>
      <c r="H3" s="141" t="s">
        <v>7</v>
      </c>
      <c r="I3" s="142" t="s">
        <v>8</v>
      </c>
    </row>
    <row r="4" ht="24.95" customHeight="1" spans="1:9">
      <c r="A4" s="197" t="s">
        <v>322</v>
      </c>
      <c r="B4" s="212">
        <v>164.9645</v>
      </c>
      <c r="C4" s="190">
        <v>6.0123206399638</v>
      </c>
      <c r="D4" s="212">
        <v>34.5244</v>
      </c>
      <c r="E4" s="190">
        <v>6.3830967340361</v>
      </c>
      <c r="F4" s="212">
        <v>50.1758</v>
      </c>
      <c r="G4" s="190">
        <v>6.37745745499569</v>
      </c>
      <c r="H4" s="212">
        <v>61.5541</v>
      </c>
      <c r="I4" s="190">
        <v>4.65981449837196</v>
      </c>
    </row>
    <row r="5" ht="24.95" customHeight="1" spans="1:9">
      <c r="A5" s="150" t="s">
        <v>323</v>
      </c>
      <c r="B5" s="212">
        <v>87.5113</v>
      </c>
      <c r="C5" s="190">
        <v>-3.16354284930209</v>
      </c>
      <c r="D5" s="212">
        <v>16.9546</v>
      </c>
      <c r="E5" s="190">
        <v>-1.293605328117</v>
      </c>
      <c r="F5" s="212">
        <v>21.9817</v>
      </c>
      <c r="G5" s="190">
        <v>-11.8549528632895</v>
      </c>
      <c r="H5" s="212">
        <v>29.783</v>
      </c>
      <c r="I5" s="190">
        <v>-10.8135868312067</v>
      </c>
    </row>
    <row r="6" ht="24.95" customHeight="1" spans="1:9">
      <c r="A6" s="149" t="s">
        <v>324</v>
      </c>
      <c r="B6" s="147">
        <v>29.6677</v>
      </c>
      <c r="C6" s="148">
        <v>-9.65326333227763</v>
      </c>
      <c r="D6" s="147">
        <v>7.7962</v>
      </c>
      <c r="E6" s="148">
        <v>30.5611843317201</v>
      </c>
      <c r="F6" s="147">
        <v>9.7385</v>
      </c>
      <c r="G6" s="148">
        <v>-0.62957898818391</v>
      </c>
      <c r="H6" s="147">
        <v>12.6364</v>
      </c>
      <c r="I6" s="148">
        <v>0.0475044337471475</v>
      </c>
    </row>
    <row r="7" ht="24.95" customHeight="1" spans="1:9">
      <c r="A7" s="149" t="s">
        <v>325</v>
      </c>
      <c r="B7" s="147">
        <v>6.7118</v>
      </c>
      <c r="C7" s="148">
        <v>33.7518184173293</v>
      </c>
      <c r="D7" s="147">
        <v>1.3128</v>
      </c>
      <c r="E7" s="148">
        <v>28.4917294704904</v>
      </c>
      <c r="F7" s="147">
        <v>1.5927</v>
      </c>
      <c r="G7" s="148">
        <v>33.1355011284795</v>
      </c>
      <c r="H7" s="147">
        <v>3.2801</v>
      </c>
      <c r="I7" s="148">
        <v>16.6465149359886</v>
      </c>
    </row>
    <row r="8" ht="24.95" customHeight="1" spans="1:9">
      <c r="A8" s="149" t="s">
        <v>326</v>
      </c>
      <c r="B8" s="147">
        <v>2.6448</v>
      </c>
      <c r="C8" s="148">
        <v>-4.35411543468827</v>
      </c>
      <c r="D8" s="147">
        <v>1.0581</v>
      </c>
      <c r="E8" s="148">
        <v>29.653228770984</v>
      </c>
      <c r="F8" s="147">
        <v>1.0146</v>
      </c>
      <c r="G8" s="148">
        <v>19.0705316277432</v>
      </c>
      <c r="H8" s="147">
        <v>1.0619</v>
      </c>
      <c r="I8" s="148">
        <v>19.1272156158851</v>
      </c>
    </row>
    <row r="9" ht="24.95" customHeight="1" spans="1:9">
      <c r="A9" s="149" t="s">
        <v>327</v>
      </c>
      <c r="B9" s="147">
        <v>13.8513</v>
      </c>
      <c r="C9" s="148">
        <v>10.1284844244439</v>
      </c>
      <c r="D9" s="147">
        <v>2.5068</v>
      </c>
      <c r="E9" s="148">
        <v>5.11132542244959</v>
      </c>
      <c r="F9" s="147">
        <v>3.4161</v>
      </c>
      <c r="G9" s="148">
        <v>-10.8207591500026</v>
      </c>
      <c r="H9" s="147">
        <v>4.5782</v>
      </c>
      <c r="I9" s="148">
        <v>-10.7945910136004</v>
      </c>
    </row>
    <row r="10" ht="24.95" customHeight="1" spans="1:9">
      <c r="A10" s="149" t="s">
        <v>328</v>
      </c>
      <c r="B10" s="147">
        <v>6.9423</v>
      </c>
      <c r="C10" s="148">
        <v>1.75744606003752</v>
      </c>
      <c r="D10" s="147">
        <v>0.618</v>
      </c>
      <c r="E10" s="148">
        <v>-42.2699673049977</v>
      </c>
      <c r="F10" s="147">
        <v>0.8484</v>
      </c>
      <c r="G10" s="148">
        <v>-29.7100248550124</v>
      </c>
      <c r="H10" s="147">
        <v>1.0534</v>
      </c>
      <c r="I10" s="148">
        <v>-25.795998872922</v>
      </c>
    </row>
    <row r="11" ht="24.95" customHeight="1" spans="1:9">
      <c r="A11" s="149" t="s">
        <v>329</v>
      </c>
      <c r="B11" s="147">
        <v>6.1925</v>
      </c>
      <c r="C11" s="148">
        <v>-23.1909404380938</v>
      </c>
      <c r="D11" s="147">
        <v>0.6771</v>
      </c>
      <c r="E11" s="148">
        <v>-16.1797474622431</v>
      </c>
      <c r="F11" s="147">
        <v>1.3293</v>
      </c>
      <c r="G11" s="148">
        <v>1.02599179206566</v>
      </c>
      <c r="H11" s="147">
        <v>1.6142</v>
      </c>
      <c r="I11" s="148">
        <v>-13.660676080445</v>
      </c>
    </row>
    <row r="12" ht="24.95" customHeight="1" spans="1:9">
      <c r="A12" s="149" t="s">
        <v>330</v>
      </c>
      <c r="B12" s="147">
        <v>8.6378</v>
      </c>
      <c r="C12" s="148">
        <v>-13.7935508338407</v>
      </c>
      <c r="D12" s="147">
        <v>1.2253</v>
      </c>
      <c r="E12" s="148">
        <v>-21.7060702875399</v>
      </c>
      <c r="F12" s="147">
        <v>1.8256</v>
      </c>
      <c r="G12" s="148">
        <v>-33.147795517797</v>
      </c>
      <c r="H12" s="147">
        <v>2.3406</v>
      </c>
      <c r="I12" s="148">
        <v>-32.3565111843246</v>
      </c>
    </row>
    <row r="13" ht="24.95" customHeight="1" spans="1:9">
      <c r="A13" s="150" t="s">
        <v>331</v>
      </c>
      <c r="B13" s="212">
        <v>77.4532</v>
      </c>
      <c r="C13" s="190">
        <v>18.7229646252372</v>
      </c>
      <c r="D13" s="212">
        <v>17.5698</v>
      </c>
      <c r="E13" s="190">
        <v>15.0149580062974</v>
      </c>
      <c r="F13" s="212">
        <v>28.1941</v>
      </c>
      <c r="G13" s="190">
        <v>26.8313419944578</v>
      </c>
      <c r="H13" s="212">
        <v>31.7711</v>
      </c>
      <c r="I13" s="190">
        <v>24.9876078900367</v>
      </c>
    </row>
    <row r="14" ht="24.95" customHeight="1" spans="1:9">
      <c r="A14" s="150" t="s">
        <v>332</v>
      </c>
      <c r="B14" s="212">
        <v>533.0464</v>
      </c>
      <c r="C14" s="190">
        <v>-1.89219313886734</v>
      </c>
      <c r="D14" s="212">
        <v>108.9436</v>
      </c>
      <c r="E14" s="190">
        <v>26.4278071639283</v>
      </c>
      <c r="F14" s="212">
        <v>160.2533</v>
      </c>
      <c r="G14" s="190">
        <v>31.8778108322738</v>
      </c>
      <c r="H14" s="212">
        <v>202.3112</v>
      </c>
      <c r="I14" s="190">
        <v>23.7876306107477</v>
      </c>
    </row>
    <row r="15" ht="24.95" customHeight="1" spans="1:9">
      <c r="A15" s="149" t="s">
        <v>333</v>
      </c>
      <c r="B15" s="147">
        <v>52.9773</v>
      </c>
      <c r="C15" s="148">
        <v>-2.19400838538042</v>
      </c>
      <c r="D15" s="147">
        <v>10.7102</v>
      </c>
      <c r="E15" s="148">
        <v>17.8278711068572</v>
      </c>
      <c r="F15" s="147">
        <v>15.5725</v>
      </c>
      <c r="G15" s="148">
        <v>18.4490758347912</v>
      </c>
      <c r="H15" s="147">
        <v>20.9066</v>
      </c>
      <c r="I15" s="148">
        <v>21.1337787022498</v>
      </c>
    </row>
    <row r="16" ht="24.95" customHeight="1" spans="1:9">
      <c r="A16" s="149" t="s">
        <v>334</v>
      </c>
      <c r="B16" s="147">
        <v>1.4497</v>
      </c>
      <c r="C16" s="148">
        <v>-11.6359868340851</v>
      </c>
      <c r="D16" s="147">
        <v>0.204</v>
      </c>
      <c r="E16" s="148">
        <v>280.597014925373</v>
      </c>
      <c r="F16" s="147">
        <v>0.2559</v>
      </c>
      <c r="G16" s="148">
        <v>104.72</v>
      </c>
      <c r="H16" s="147">
        <v>0.2906</v>
      </c>
      <c r="I16" s="148">
        <v>-30.1274344794422</v>
      </c>
    </row>
    <row r="17" ht="24.95" customHeight="1" spans="1:9">
      <c r="A17" s="149" t="s">
        <v>335</v>
      </c>
      <c r="B17" s="147">
        <v>427.5453</v>
      </c>
      <c r="C17" s="148">
        <v>-1.64374422721454</v>
      </c>
      <c r="D17" s="147">
        <v>84.4609</v>
      </c>
      <c r="E17" s="148">
        <v>29.9504421129723</v>
      </c>
      <c r="F17" s="147">
        <v>127.5088</v>
      </c>
      <c r="G17" s="148">
        <v>37.0944434887321</v>
      </c>
      <c r="H17" s="147">
        <v>161.2427</v>
      </c>
      <c r="I17" s="148">
        <v>26.5910566533383</v>
      </c>
    </row>
    <row r="18" ht="24.95" customHeight="1" spans="1:9">
      <c r="A18" s="149" t="s">
        <v>336</v>
      </c>
      <c r="B18" s="147">
        <v>121.5823</v>
      </c>
      <c r="C18" s="148">
        <v>-4.41951163523817</v>
      </c>
      <c r="D18" s="147">
        <v>25.5677</v>
      </c>
      <c r="E18" s="148">
        <v>17.1685463285872</v>
      </c>
      <c r="F18" s="147">
        <v>35.6956</v>
      </c>
      <c r="G18" s="148">
        <v>16.5574418202182</v>
      </c>
      <c r="H18" s="147">
        <v>45.2023</v>
      </c>
      <c r="I18" s="148">
        <v>11.5269032627361</v>
      </c>
    </row>
    <row r="19" ht="24.95" customHeight="1" spans="1:9">
      <c r="A19" s="149" t="s">
        <v>337</v>
      </c>
      <c r="B19" s="151">
        <v>3.4338</v>
      </c>
      <c r="C19" s="152">
        <v>-31.2593838207915</v>
      </c>
      <c r="D19" s="151">
        <v>0.5951</v>
      </c>
      <c r="E19" s="152">
        <v>0.0504371217215915</v>
      </c>
      <c r="F19" s="151">
        <v>0.8444</v>
      </c>
      <c r="G19" s="152">
        <v>-7.03512055488275</v>
      </c>
      <c r="H19" s="151">
        <v>1.0777</v>
      </c>
      <c r="I19" s="152">
        <v>-10.0417362270451</v>
      </c>
    </row>
    <row r="20" ht="24.95" customHeight="1" spans="1:9">
      <c r="A20" s="149" t="s">
        <v>338</v>
      </c>
      <c r="B20" s="147">
        <v>122.2368</v>
      </c>
      <c r="C20" s="148">
        <v>3.68118557925237</v>
      </c>
      <c r="D20" s="147">
        <v>21.7692</v>
      </c>
      <c r="E20" s="148">
        <v>24.1223593807908</v>
      </c>
      <c r="F20" s="147">
        <v>35.9047</v>
      </c>
      <c r="G20" s="148">
        <v>29.6484063277473</v>
      </c>
      <c r="H20" s="147">
        <v>45.917</v>
      </c>
      <c r="I20" s="148">
        <v>25.3562731372785</v>
      </c>
    </row>
    <row r="21" ht="24.95" customHeight="1" spans="1:9">
      <c r="A21" s="149" t="s">
        <v>339</v>
      </c>
      <c r="B21" s="147">
        <v>69.7065</v>
      </c>
      <c r="C21" s="148">
        <v>-2.46542182919748</v>
      </c>
      <c r="D21" s="147">
        <v>15.1685</v>
      </c>
      <c r="E21" s="148">
        <v>265.69107259095</v>
      </c>
      <c r="F21" s="147">
        <v>26.323</v>
      </c>
      <c r="G21" s="148">
        <v>286.409676756408</v>
      </c>
      <c r="H21" s="147">
        <v>32.3584</v>
      </c>
      <c r="I21" s="148">
        <v>101.122513036939</v>
      </c>
    </row>
    <row r="22" ht="24.95" customHeight="1" spans="1:9">
      <c r="A22" s="149" t="s">
        <v>340</v>
      </c>
      <c r="B22" s="147">
        <v>3.5729</v>
      </c>
      <c r="C22" s="148">
        <v>-34.3578908690061</v>
      </c>
      <c r="D22" s="147">
        <v>0.6716</v>
      </c>
      <c r="E22" s="148">
        <v>-9.71904825917462</v>
      </c>
      <c r="F22" s="147">
        <v>0.936</v>
      </c>
      <c r="G22" s="148">
        <v>-9.80921179417999</v>
      </c>
      <c r="H22" s="147">
        <v>1.2441</v>
      </c>
      <c r="I22" s="148">
        <v>-1.5821533106558</v>
      </c>
    </row>
    <row r="23" ht="24.95" customHeight="1" spans="1:9">
      <c r="A23" s="149" t="s">
        <v>341</v>
      </c>
      <c r="B23" s="147">
        <v>17.5598</v>
      </c>
      <c r="C23" s="148">
        <v>-16.8172279357079</v>
      </c>
      <c r="D23" s="147">
        <v>2.6087</v>
      </c>
      <c r="E23" s="148">
        <v>5.22770360211366</v>
      </c>
      <c r="F23" s="147">
        <v>4.0647</v>
      </c>
      <c r="G23" s="148">
        <v>31.144737691166</v>
      </c>
      <c r="H23" s="147">
        <v>5.7792</v>
      </c>
      <c r="I23" s="148">
        <v>42.3553464541715</v>
      </c>
    </row>
    <row r="24" ht="24.95" customHeight="1" spans="1:9">
      <c r="A24" s="205" t="s">
        <v>342</v>
      </c>
      <c r="B24" s="147">
        <v>50.9524</v>
      </c>
      <c r="C24" s="148">
        <v>20.8109960095127</v>
      </c>
      <c r="D24" s="147">
        <v>11.0842</v>
      </c>
      <c r="E24" s="148">
        <v>0.800276459140425</v>
      </c>
      <c r="F24" s="147">
        <v>13.8641</v>
      </c>
      <c r="G24" s="148">
        <v>7.58706853737274</v>
      </c>
      <c r="H24" s="147">
        <v>17.0304</v>
      </c>
      <c r="I24" s="148">
        <v>12.7303537386147</v>
      </c>
    </row>
    <row r="25" ht="24.95" customHeight="1" spans="1:9">
      <c r="A25" s="205" t="s">
        <v>343</v>
      </c>
      <c r="B25" s="147">
        <v>11.5277</v>
      </c>
      <c r="C25" s="148">
        <v>-37.572363896305</v>
      </c>
      <c r="D25" s="147">
        <v>2.2452</v>
      </c>
      <c r="E25" s="148">
        <v>-18.4779056679133</v>
      </c>
      <c r="F25" s="147">
        <v>3.0241</v>
      </c>
      <c r="G25" s="148">
        <v>-31.1374245701924</v>
      </c>
      <c r="H25" s="147">
        <v>3.7888</v>
      </c>
      <c r="I25" s="148">
        <v>-24.8850118953212</v>
      </c>
    </row>
    <row r="26" ht="24.95" customHeight="1" spans="1:9">
      <c r="A26" s="205" t="s">
        <v>344</v>
      </c>
      <c r="B26" s="147">
        <v>19.4354</v>
      </c>
      <c r="C26" s="148">
        <v>-4.14956995186617</v>
      </c>
      <c r="D26" s="147">
        <v>3.3314</v>
      </c>
      <c r="E26" s="148">
        <v>5.795674680047</v>
      </c>
      <c r="F26" s="147">
        <v>4.8798</v>
      </c>
      <c r="G26" s="148">
        <v>8.30041280127836</v>
      </c>
      <c r="H26" s="147">
        <v>6.3749</v>
      </c>
      <c r="I26" s="148">
        <v>6.23593914043361</v>
      </c>
    </row>
    <row r="27" ht="24.95" customHeight="1" spans="1:9">
      <c r="A27" s="209" t="s">
        <v>345</v>
      </c>
      <c r="B27" s="154">
        <v>1.4979</v>
      </c>
      <c r="C27" s="155">
        <v>-40.3488511011111</v>
      </c>
      <c r="D27" s="154">
        <v>0.664</v>
      </c>
      <c r="E27" s="155">
        <v>70.9137709137709</v>
      </c>
      <c r="F27" s="154">
        <v>0.7505</v>
      </c>
      <c r="G27" s="155">
        <v>68.0851063829787</v>
      </c>
      <c r="H27" s="154">
        <v>0.8672</v>
      </c>
      <c r="I27" s="155">
        <v>62.0934579439252</v>
      </c>
    </row>
    <row r="28" ht="44" customHeight="1" spans="1:9">
      <c r="A28" s="168" t="s">
        <v>346</v>
      </c>
      <c r="B28" s="168"/>
      <c r="C28" s="168"/>
      <c r="D28" s="168"/>
      <c r="E28" s="168"/>
      <c r="F28" s="168"/>
      <c r="G28" s="168"/>
      <c r="H28" s="168"/>
      <c r="I28" s="168"/>
    </row>
  </sheetData>
  <mergeCells count="7">
    <mergeCell ref="A1:I1"/>
    <mergeCell ref="B2:C2"/>
    <mergeCell ref="D2:E2"/>
    <mergeCell ref="F2:G2"/>
    <mergeCell ref="H2:I2"/>
    <mergeCell ref="A28:I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35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I16" sqref="I16"/>
    </sheetView>
  </sheetViews>
  <sheetFormatPr defaultColWidth="9" defaultRowHeight="14.25"/>
  <cols>
    <col min="1" max="1" width="35.5" style="134" customWidth="1"/>
    <col min="2" max="9" width="9.525" style="134" customWidth="1"/>
    <col min="10" max="156" width="9" style="134"/>
    <col min="157" max="16384" width="9" style="135"/>
  </cols>
  <sheetData>
    <row r="1" ht="28.5" customHeight="1" spans="1:9">
      <c r="A1" s="136" t="s">
        <v>347</v>
      </c>
      <c r="B1" s="136"/>
      <c r="C1" s="136"/>
      <c r="D1" s="136"/>
      <c r="E1" s="136"/>
      <c r="F1" s="136"/>
      <c r="G1" s="136"/>
      <c r="H1" s="136"/>
      <c r="I1" s="136"/>
    </row>
    <row r="2" ht="21" customHeight="1" spans="1:9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</row>
    <row r="3" ht="31" customHeight="1" spans="1:9">
      <c r="A3" s="140"/>
      <c r="B3" s="141" t="s">
        <v>7</v>
      </c>
      <c r="C3" s="142" t="s">
        <v>8</v>
      </c>
      <c r="D3" s="141" t="s">
        <v>7</v>
      </c>
      <c r="E3" s="142" t="s">
        <v>8</v>
      </c>
      <c r="F3" s="141" t="s">
        <v>7</v>
      </c>
      <c r="G3" s="142" t="s">
        <v>8</v>
      </c>
      <c r="H3" s="141" t="s">
        <v>7</v>
      </c>
      <c r="I3" s="142" t="s">
        <v>8</v>
      </c>
    </row>
    <row r="4" ht="19.5" customHeight="1" spans="1:9">
      <c r="A4" s="197" t="s">
        <v>348</v>
      </c>
      <c r="B4" s="212">
        <v>4968.235657063</v>
      </c>
      <c r="C4" s="190">
        <v>5.37318780380383</v>
      </c>
      <c r="D4" s="212">
        <v>5073.5846202377</v>
      </c>
      <c r="E4" s="190">
        <v>5.88428555571392</v>
      </c>
      <c r="F4" s="212">
        <v>5193.1745656255</v>
      </c>
      <c r="G4" s="190">
        <v>5.71497552879694</v>
      </c>
      <c r="H4" s="212">
        <v>5145.0707546164</v>
      </c>
      <c r="I4" s="190">
        <v>6.44007732664693</v>
      </c>
    </row>
    <row r="5" ht="19.5" customHeight="1" spans="1:9">
      <c r="A5" s="149" t="s">
        <v>349</v>
      </c>
      <c r="B5" s="147">
        <v>4959.1727642012</v>
      </c>
      <c r="C5" s="148">
        <v>5.34911870195029</v>
      </c>
      <c r="D5" s="147">
        <v>5063.9660115581</v>
      </c>
      <c r="E5" s="148">
        <v>5.85664162325288</v>
      </c>
      <c r="F5" s="147">
        <v>5184.0933540568</v>
      </c>
      <c r="G5" s="148">
        <v>5.70994670803005</v>
      </c>
      <c r="H5" s="147">
        <v>5136.1470724611</v>
      </c>
      <c r="I5" s="148">
        <v>6.44188153627977</v>
      </c>
    </row>
    <row r="6" ht="19.5" customHeight="1" spans="1:9">
      <c r="A6" s="149" t="s">
        <v>350</v>
      </c>
      <c r="B6" s="147">
        <v>3646.3105541303</v>
      </c>
      <c r="C6" s="148">
        <v>7.33495327594018</v>
      </c>
      <c r="D6" s="147">
        <v>3764.3324237731</v>
      </c>
      <c r="E6" s="148">
        <v>8.24126016915048</v>
      </c>
      <c r="F6" s="147">
        <v>3842.5702511898</v>
      </c>
      <c r="G6" s="148">
        <v>8.20044558496622</v>
      </c>
      <c r="H6" s="147">
        <v>3821.7570409972</v>
      </c>
      <c r="I6" s="148">
        <v>8.69441613846847</v>
      </c>
    </row>
    <row r="7" ht="19.5" customHeight="1" spans="1:9">
      <c r="A7" s="149" t="s">
        <v>351</v>
      </c>
      <c r="B7" s="147">
        <v>600.3990578975</v>
      </c>
      <c r="C7" s="148">
        <v>-6.16232222131824</v>
      </c>
      <c r="D7" s="147">
        <v>603.657676791</v>
      </c>
      <c r="E7" s="148">
        <v>-5.78291984290481</v>
      </c>
      <c r="F7" s="147">
        <v>642.3378903365</v>
      </c>
      <c r="G7" s="148">
        <v>-3.3124849394985</v>
      </c>
      <c r="H7" s="147">
        <v>607.0558462958</v>
      </c>
      <c r="I7" s="148">
        <v>-5.57913183998561</v>
      </c>
    </row>
    <row r="8" ht="19.5" customHeight="1" spans="1:9">
      <c r="A8" s="149" t="s">
        <v>352</v>
      </c>
      <c r="B8" s="147">
        <v>639.2380122459</v>
      </c>
      <c r="C8" s="148">
        <v>-0.978331033486811</v>
      </c>
      <c r="D8" s="147">
        <v>652.8801971576</v>
      </c>
      <c r="E8" s="148">
        <v>5.24523724667809</v>
      </c>
      <c r="F8" s="147">
        <v>653.6545937091</v>
      </c>
      <c r="G8" s="148">
        <v>0.549280416327164</v>
      </c>
      <c r="H8" s="147">
        <v>637.0255853552</v>
      </c>
      <c r="I8" s="148">
        <v>1.87341742886169</v>
      </c>
    </row>
    <row r="9" ht="19.5" customHeight="1" spans="1:9">
      <c r="A9" s="149" t="s">
        <v>353</v>
      </c>
      <c r="B9" s="147">
        <v>73.2251399275</v>
      </c>
      <c r="C9" s="148">
        <v>194.591009846523</v>
      </c>
      <c r="D9" s="147">
        <v>43.0957138364</v>
      </c>
      <c r="E9" s="148">
        <v>-4.27619702224977</v>
      </c>
      <c r="F9" s="147">
        <v>45.5306188214</v>
      </c>
      <c r="G9" s="148">
        <v>18.8752594157684</v>
      </c>
      <c r="H9" s="147">
        <v>70.3085998129</v>
      </c>
      <c r="I9" s="148">
        <v>71.427230482062</v>
      </c>
    </row>
    <row r="10" ht="19.5" customHeight="1" spans="1:9">
      <c r="A10" s="149" t="s">
        <v>354</v>
      </c>
      <c r="B10" s="147">
        <v>9.0628928618</v>
      </c>
      <c r="C10" s="148">
        <v>20.4289311182126</v>
      </c>
      <c r="D10" s="147">
        <v>9.6186086796</v>
      </c>
      <c r="E10" s="148">
        <v>22.7624757120629</v>
      </c>
      <c r="F10" s="147">
        <v>9.0812115687</v>
      </c>
      <c r="G10" s="148">
        <v>8.6660013495145</v>
      </c>
      <c r="H10" s="147">
        <v>8.9236821553</v>
      </c>
      <c r="I10" s="148">
        <v>5.41169029869619</v>
      </c>
    </row>
    <row r="11" ht="19.5" customHeight="1" spans="1:9">
      <c r="A11" s="150" t="s">
        <v>355</v>
      </c>
      <c r="B11" s="212">
        <v>4346.5443033106</v>
      </c>
      <c r="C11" s="190">
        <v>8.85299730662321</v>
      </c>
      <c r="D11" s="212">
        <v>4467.5752673783</v>
      </c>
      <c r="E11" s="190">
        <v>9.59418612663399</v>
      </c>
      <c r="F11" s="212">
        <v>4525.6200126821</v>
      </c>
      <c r="G11" s="190">
        <v>8.15409530092965</v>
      </c>
      <c r="H11" s="212">
        <v>4505.715299383</v>
      </c>
      <c r="I11" s="190">
        <v>7.80802494914479</v>
      </c>
    </row>
    <row r="12" ht="19.5" customHeight="1" spans="1:9">
      <c r="A12" s="149" t="s">
        <v>356</v>
      </c>
      <c r="B12" s="147">
        <v>4342.9550600612</v>
      </c>
      <c r="C12" s="148">
        <v>8.82279013921652</v>
      </c>
      <c r="D12" s="147">
        <v>4464.4428846079</v>
      </c>
      <c r="E12" s="148">
        <v>9.57993055974962</v>
      </c>
      <c r="F12" s="147">
        <v>4522.4552073349</v>
      </c>
      <c r="G12" s="148">
        <v>8.14009399841073</v>
      </c>
      <c r="H12" s="147">
        <v>4502.5376390293</v>
      </c>
      <c r="I12" s="148">
        <v>7.79302371460977</v>
      </c>
    </row>
    <row r="13" ht="19.5" customHeight="1" spans="1:9">
      <c r="A13" s="149" t="s">
        <v>357</v>
      </c>
      <c r="B13" s="147">
        <v>2091.2901325249</v>
      </c>
      <c r="C13" s="148">
        <v>8.16308453290154</v>
      </c>
      <c r="D13" s="147">
        <v>2112.8923172221</v>
      </c>
      <c r="E13" s="148">
        <v>7.17136351009298</v>
      </c>
      <c r="F13" s="147">
        <v>2142.0392992868</v>
      </c>
      <c r="G13" s="148">
        <v>6.73462060919738</v>
      </c>
      <c r="H13" s="147">
        <v>2126.5255022246</v>
      </c>
      <c r="I13" s="148">
        <v>6.26558716997863</v>
      </c>
    </row>
    <row r="14" ht="19.5" customHeight="1" spans="1:9">
      <c r="A14" s="149" t="s">
        <v>358</v>
      </c>
      <c r="B14" s="147">
        <v>2251.6649275363</v>
      </c>
      <c r="C14" s="148">
        <v>9.44275726622044</v>
      </c>
      <c r="D14" s="147">
        <v>2351.5505673858</v>
      </c>
      <c r="E14" s="148">
        <v>11.8382925426451</v>
      </c>
      <c r="F14" s="147">
        <v>2380.4159080481</v>
      </c>
      <c r="G14" s="148">
        <v>9.43684161266222</v>
      </c>
      <c r="H14" s="147">
        <v>2376.0121368047</v>
      </c>
      <c r="I14" s="148">
        <v>9.2982608944796</v>
      </c>
    </row>
    <row r="15" ht="19.5" customHeight="1" spans="1:9">
      <c r="A15" s="149" t="s">
        <v>359</v>
      </c>
      <c r="B15" s="147">
        <v>0</v>
      </c>
      <c r="C15" s="157" t="s">
        <v>11</v>
      </c>
      <c r="D15" s="147">
        <v>0</v>
      </c>
      <c r="E15" s="157" t="s">
        <v>11</v>
      </c>
      <c r="F15" s="147">
        <v>0</v>
      </c>
      <c r="G15" s="157" t="s">
        <v>11</v>
      </c>
      <c r="H15" s="147">
        <v>0</v>
      </c>
      <c r="I15" s="157" t="s">
        <v>11</v>
      </c>
    </row>
    <row r="16" ht="19.5" customHeight="1" spans="1:9">
      <c r="A16" s="149" t="s">
        <v>360</v>
      </c>
      <c r="B16" s="147">
        <v>3.5892432494</v>
      </c>
      <c r="C16" s="148">
        <v>63.9034097960427</v>
      </c>
      <c r="D16" s="147">
        <v>3.1323827704</v>
      </c>
      <c r="E16" s="148">
        <v>34.5399761407666</v>
      </c>
      <c r="F16" s="147">
        <v>3.1648053472</v>
      </c>
      <c r="G16" s="148">
        <v>32.7069944736812</v>
      </c>
      <c r="H16" s="147">
        <v>3.1776603537</v>
      </c>
      <c r="I16" s="148">
        <v>34.2884448485155</v>
      </c>
    </row>
    <row r="17" ht="19.5" customHeight="1" spans="1:9">
      <c r="A17" s="150" t="s">
        <v>361</v>
      </c>
      <c r="B17" s="212">
        <v>4953.1252721306</v>
      </c>
      <c r="C17" s="190">
        <v>5.4243728750681</v>
      </c>
      <c r="D17" s="212">
        <v>5055.2038629049</v>
      </c>
      <c r="E17" s="190">
        <v>5.91070780907388</v>
      </c>
      <c r="F17" s="212">
        <v>5174.1935748783</v>
      </c>
      <c r="G17" s="190">
        <v>5.67590782693105</v>
      </c>
      <c r="H17" s="212">
        <v>5126.0414597875</v>
      </c>
      <c r="I17" s="190">
        <v>6.3795163670014</v>
      </c>
    </row>
    <row r="18" ht="19.5" customHeight="1" spans="1:9">
      <c r="A18" s="149" t="s">
        <v>349</v>
      </c>
      <c r="B18" s="147">
        <v>4944.2252565114</v>
      </c>
      <c r="C18" s="148">
        <v>5.39826805080136</v>
      </c>
      <c r="D18" s="147">
        <v>5045.7450418947</v>
      </c>
      <c r="E18" s="148">
        <v>5.88189391296012</v>
      </c>
      <c r="F18" s="147">
        <v>5165.2739586722</v>
      </c>
      <c r="G18" s="148">
        <v>5.67081050400809</v>
      </c>
      <c r="H18" s="147">
        <v>5117.2841520558</v>
      </c>
      <c r="I18" s="148">
        <v>6.38127359498735</v>
      </c>
    </row>
    <row r="19" ht="19.5" customHeight="1" spans="1:9">
      <c r="A19" s="149" t="s">
        <v>350</v>
      </c>
      <c r="B19" s="147">
        <v>3637.8023205278</v>
      </c>
      <c r="C19" s="148">
        <v>7.34549957808638</v>
      </c>
      <c r="D19" s="147">
        <v>3755.3139126845</v>
      </c>
      <c r="E19" s="148">
        <v>8.23178953825387</v>
      </c>
      <c r="F19" s="147">
        <v>3833.3499037032</v>
      </c>
      <c r="G19" s="148">
        <v>8.19296491178577</v>
      </c>
      <c r="H19" s="147">
        <v>3813.2026500137</v>
      </c>
      <c r="I19" s="148">
        <v>8.69371767758251</v>
      </c>
    </row>
    <row r="20" ht="19.5" customHeight="1" spans="1:9">
      <c r="A20" s="149" t="s">
        <v>362</v>
      </c>
      <c r="B20" s="147">
        <v>1582.0447092574</v>
      </c>
      <c r="C20" s="148">
        <v>4.14340871290217</v>
      </c>
      <c r="D20" s="147">
        <v>1617.2498978863</v>
      </c>
      <c r="E20" s="148">
        <v>4.60131351694626</v>
      </c>
      <c r="F20" s="147">
        <v>1653.4619863842</v>
      </c>
      <c r="G20" s="148">
        <v>5.41790072689363</v>
      </c>
      <c r="H20" s="147">
        <v>1618.8112694974</v>
      </c>
      <c r="I20" s="148">
        <v>5.05041144834475</v>
      </c>
    </row>
    <row r="21" ht="19.5" customHeight="1" spans="1:9">
      <c r="A21" s="149" t="s">
        <v>351</v>
      </c>
      <c r="B21" s="147">
        <v>595.0375593615</v>
      </c>
      <c r="C21" s="148">
        <v>-5.95680335494956</v>
      </c>
      <c r="D21" s="147">
        <v>595.5283248319</v>
      </c>
      <c r="E21" s="148">
        <v>-5.68075941129496</v>
      </c>
      <c r="F21" s="147">
        <v>633.8145021931</v>
      </c>
      <c r="G21" s="148">
        <v>-3.62237865363298</v>
      </c>
      <c r="H21" s="147">
        <v>597.8299724528</v>
      </c>
      <c r="I21" s="148">
        <v>-6.11994770478799</v>
      </c>
    </row>
    <row r="22" ht="19.5" customHeight="1" spans="1:9">
      <c r="A22" s="149" t="s">
        <v>352</v>
      </c>
      <c r="B22" s="147">
        <v>638.1862766175</v>
      </c>
      <c r="C22" s="148">
        <v>-0.990191211840011</v>
      </c>
      <c r="D22" s="147">
        <v>651.8316418996</v>
      </c>
      <c r="E22" s="148">
        <v>5.24219041936858</v>
      </c>
      <c r="F22" s="147">
        <v>652.6054182033</v>
      </c>
      <c r="G22" s="148">
        <v>0.539217932842888</v>
      </c>
      <c r="H22" s="147">
        <v>635.9710494524</v>
      </c>
      <c r="I22" s="148">
        <v>1.86448207075398</v>
      </c>
    </row>
    <row r="23" ht="19.5" customHeight="1" spans="1:9">
      <c r="A23" s="149" t="s">
        <v>363</v>
      </c>
      <c r="B23" s="147">
        <v>580.4003881068</v>
      </c>
      <c r="C23" s="148">
        <v>-2.64397752289913</v>
      </c>
      <c r="D23" s="147">
        <v>579.8191504662</v>
      </c>
      <c r="E23" s="148">
        <v>1.02736481954739</v>
      </c>
      <c r="F23" s="147">
        <v>594.7976510853</v>
      </c>
      <c r="G23" s="148">
        <v>2.15680990171192</v>
      </c>
      <c r="H23" s="147">
        <v>592.9924176748</v>
      </c>
      <c r="I23" s="148">
        <v>5.24324018871312</v>
      </c>
    </row>
    <row r="24" ht="19.5" customHeight="1" spans="1:9">
      <c r="A24" s="205" t="s">
        <v>353</v>
      </c>
      <c r="B24" s="147">
        <v>73.1991000046</v>
      </c>
      <c r="C24" s="148">
        <v>194.877786746963</v>
      </c>
      <c r="D24" s="147">
        <v>43.0711624787</v>
      </c>
      <c r="E24" s="148">
        <v>-4.26675705550909</v>
      </c>
      <c r="F24" s="147">
        <v>45.5041345726</v>
      </c>
      <c r="G24" s="148">
        <v>18.9008324416954</v>
      </c>
      <c r="H24" s="147">
        <v>70.2804801369</v>
      </c>
      <c r="I24" s="148">
        <v>71.4873559773317</v>
      </c>
    </row>
    <row r="25" ht="19.5" customHeight="1" spans="1:9">
      <c r="A25" s="205" t="s">
        <v>354</v>
      </c>
      <c r="B25" s="147">
        <v>8.9000156192</v>
      </c>
      <c r="C25" s="148">
        <v>22.2442680115085</v>
      </c>
      <c r="D25" s="147">
        <v>9.4588210102</v>
      </c>
      <c r="E25" s="148">
        <v>23.8964053647138</v>
      </c>
      <c r="F25" s="147">
        <v>8.9196162061</v>
      </c>
      <c r="G25" s="148">
        <v>8.71269649461632</v>
      </c>
      <c r="H25" s="147">
        <v>8.7573077317</v>
      </c>
      <c r="I25" s="148">
        <v>5.36252325698155</v>
      </c>
    </row>
    <row r="26" ht="19.5" customHeight="1" spans="1:9">
      <c r="A26" s="206" t="s">
        <v>364</v>
      </c>
      <c r="B26" s="212">
        <v>4341.5549076475</v>
      </c>
      <c r="C26" s="190">
        <v>8.77668307828835</v>
      </c>
      <c r="D26" s="212">
        <v>4464.519366994</v>
      </c>
      <c r="E26" s="190">
        <v>9.53821640430183</v>
      </c>
      <c r="F26" s="212">
        <v>4522.336584371</v>
      </c>
      <c r="G26" s="190">
        <v>8.09716260079718</v>
      </c>
      <c r="H26" s="212">
        <v>4502.6969782826</v>
      </c>
      <c r="I26" s="190">
        <v>7.75823690860574</v>
      </c>
    </row>
    <row r="27" ht="19.5" customHeight="1" spans="1:9">
      <c r="A27" s="205" t="s">
        <v>356</v>
      </c>
      <c r="B27" s="151">
        <v>4337.9668252298</v>
      </c>
      <c r="C27" s="152">
        <v>8.7464344181196</v>
      </c>
      <c r="D27" s="151">
        <v>4461.3881390475</v>
      </c>
      <c r="E27" s="152">
        <v>9.52393511614618</v>
      </c>
      <c r="F27" s="151">
        <v>4519.1731974468</v>
      </c>
      <c r="G27" s="152">
        <v>8.08314104453321</v>
      </c>
      <c r="H27" s="151">
        <v>4499.5198212714</v>
      </c>
      <c r="I27" s="152">
        <v>7.74320771218424</v>
      </c>
    </row>
    <row r="28" ht="19.5" customHeight="1" spans="1:9">
      <c r="A28" s="205" t="s">
        <v>357</v>
      </c>
      <c r="B28" s="147">
        <v>2091.2517934567</v>
      </c>
      <c r="C28" s="148">
        <v>8.16346723198422</v>
      </c>
      <c r="D28" s="147">
        <v>2112.8594558149</v>
      </c>
      <c r="E28" s="148">
        <v>7.17151475413844</v>
      </c>
      <c r="F28" s="147">
        <v>2142.0018811851</v>
      </c>
      <c r="G28" s="148">
        <v>6.73463584287835</v>
      </c>
      <c r="H28" s="147">
        <v>2126.4853690875</v>
      </c>
      <c r="I28" s="148">
        <v>6.26558674632281</v>
      </c>
    </row>
    <row r="29" ht="19.5" customHeight="1" spans="1:9">
      <c r="A29" s="205" t="s">
        <v>365</v>
      </c>
      <c r="B29" s="147">
        <v>1930.1418430887</v>
      </c>
      <c r="C29" s="148">
        <v>8.90001698947218</v>
      </c>
      <c r="D29" s="147">
        <v>1955.4852592039</v>
      </c>
      <c r="E29" s="148">
        <v>8.08889031109694</v>
      </c>
      <c r="F29" s="147">
        <v>1980.6144263204</v>
      </c>
      <c r="G29" s="148">
        <v>7.5306082381271</v>
      </c>
      <c r="H29" s="147">
        <v>1971.5193681441</v>
      </c>
      <c r="I29" s="148">
        <v>7.07848536467219</v>
      </c>
    </row>
    <row r="30" ht="19.5" customHeight="1" spans="1:9">
      <c r="A30" s="205" t="s">
        <v>358</v>
      </c>
      <c r="B30" s="147">
        <v>2246.7150317731</v>
      </c>
      <c r="C30" s="148">
        <v>9.2947380196074</v>
      </c>
      <c r="D30" s="147">
        <v>2348.5286832326</v>
      </c>
      <c r="E30" s="148">
        <v>11.73032036646</v>
      </c>
      <c r="F30" s="147">
        <v>2377.1713162617</v>
      </c>
      <c r="G30" s="148">
        <v>9.32776191026841</v>
      </c>
      <c r="H30" s="147">
        <v>2373.0344521839</v>
      </c>
      <c r="I30" s="148">
        <v>9.2030748333205</v>
      </c>
    </row>
    <row r="31" ht="19.5" customHeight="1" spans="1:9">
      <c r="A31" s="205" t="s">
        <v>366</v>
      </c>
      <c r="B31" s="147">
        <v>650.3327693988</v>
      </c>
      <c r="C31" s="148">
        <v>8.72343891090911</v>
      </c>
      <c r="D31" s="147">
        <v>660.5836828718</v>
      </c>
      <c r="E31" s="148">
        <v>5.20965860194245</v>
      </c>
      <c r="F31" s="147">
        <v>664.3429934461</v>
      </c>
      <c r="G31" s="148">
        <v>2.89188911285987</v>
      </c>
      <c r="H31" s="147">
        <v>656.4746506386</v>
      </c>
      <c r="I31" s="148">
        <v>1.84801340430936</v>
      </c>
    </row>
    <row r="32" ht="19.5" customHeight="1" spans="1:9">
      <c r="A32" s="205" t="s">
        <v>367</v>
      </c>
      <c r="B32" s="147">
        <v>1430.2386496542</v>
      </c>
      <c r="C32" s="148">
        <v>11.5927447767632</v>
      </c>
      <c r="D32" s="147">
        <v>1510.4198773239</v>
      </c>
      <c r="E32" s="148">
        <v>15.7126142045223</v>
      </c>
      <c r="F32" s="147">
        <v>1532.3234444768</v>
      </c>
      <c r="G32" s="148">
        <v>12.6662562665405</v>
      </c>
      <c r="H32" s="147">
        <v>1532.7456587398</v>
      </c>
      <c r="I32" s="148">
        <v>12.7885291244249</v>
      </c>
    </row>
    <row r="33" ht="19.5" customHeight="1" spans="1:9">
      <c r="A33" s="205" t="s">
        <v>359</v>
      </c>
      <c r="B33" s="147">
        <v>0</v>
      </c>
      <c r="C33" s="157" t="s">
        <v>11</v>
      </c>
      <c r="D33" s="147">
        <v>0</v>
      </c>
      <c r="E33" s="157" t="s">
        <v>11</v>
      </c>
      <c r="F33" s="147">
        <v>0</v>
      </c>
      <c r="G33" s="157" t="s">
        <v>11</v>
      </c>
      <c r="H33" s="147">
        <v>0</v>
      </c>
      <c r="I33" s="157" t="s">
        <v>11</v>
      </c>
    </row>
    <row r="34" ht="19.5" customHeight="1" spans="1:9">
      <c r="A34" s="209" t="s">
        <v>360</v>
      </c>
      <c r="B34" s="154">
        <v>3.5880824177</v>
      </c>
      <c r="C34" s="155">
        <v>63.8920724445184</v>
      </c>
      <c r="D34" s="154">
        <v>3.1312279465</v>
      </c>
      <c r="E34" s="155">
        <v>34.5325131586958</v>
      </c>
      <c r="F34" s="154">
        <v>3.1633869242</v>
      </c>
      <c r="G34" s="155">
        <v>32.688226746248</v>
      </c>
      <c r="H34" s="154">
        <v>3.1771570112</v>
      </c>
      <c r="I34" s="155">
        <v>34.286263235852</v>
      </c>
    </row>
    <row r="35" ht="30" customHeight="1" spans="1:9">
      <c r="A35" s="196" t="s">
        <v>368</v>
      </c>
      <c r="B35" s="196"/>
      <c r="C35" s="196"/>
      <c r="D35" s="196"/>
      <c r="E35" s="196"/>
      <c r="F35" s="196"/>
      <c r="G35" s="196"/>
      <c r="H35" s="196"/>
      <c r="I35" s="196"/>
    </row>
  </sheetData>
  <mergeCells count="7">
    <mergeCell ref="A1:I1"/>
    <mergeCell ref="B2:C2"/>
    <mergeCell ref="D2:E2"/>
    <mergeCell ref="F2:G2"/>
    <mergeCell ref="H2:I2"/>
    <mergeCell ref="A35:I35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J22" sqref="J22"/>
    </sheetView>
  </sheetViews>
  <sheetFormatPr defaultColWidth="9" defaultRowHeight="14.25"/>
  <cols>
    <col min="1" max="1" width="29.6416666666667" style="134" customWidth="1"/>
    <col min="2" max="9" width="8.33333333333333" style="134" customWidth="1"/>
    <col min="10" max="152" width="9" style="134"/>
    <col min="153" max="16384" width="9" style="135"/>
  </cols>
  <sheetData>
    <row r="1" ht="28.5" customHeight="1" spans="1:9">
      <c r="A1" s="136" t="s">
        <v>369</v>
      </c>
      <c r="B1" s="136"/>
      <c r="C1" s="136"/>
      <c r="D1" s="136"/>
      <c r="E1" s="136"/>
      <c r="F1" s="136"/>
      <c r="G1" s="136"/>
      <c r="H1" s="136"/>
      <c r="I1" s="136"/>
    </row>
    <row r="2" ht="21" customHeight="1" spans="1:9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</row>
    <row r="3" ht="21" customHeight="1" spans="1:9">
      <c r="A3" s="140"/>
      <c r="B3" s="141" t="s">
        <v>7</v>
      </c>
      <c r="C3" s="142" t="s">
        <v>8</v>
      </c>
      <c r="D3" s="141" t="s">
        <v>7</v>
      </c>
      <c r="E3" s="142" t="s">
        <v>8</v>
      </c>
      <c r="F3" s="141" t="s">
        <v>7</v>
      </c>
      <c r="G3" s="142" t="s">
        <v>8</v>
      </c>
      <c r="H3" s="141" t="s">
        <v>7</v>
      </c>
      <c r="I3" s="142" t="s">
        <v>8</v>
      </c>
    </row>
    <row r="4" ht="21.6" customHeight="1" spans="1:9">
      <c r="A4" s="197" t="s">
        <v>370</v>
      </c>
      <c r="B4" s="198">
        <v>616.091452</v>
      </c>
      <c r="C4" s="199">
        <v>-12.1</v>
      </c>
      <c r="D4" s="198">
        <v>122.79514916</v>
      </c>
      <c r="E4" s="199">
        <v>-11.7</v>
      </c>
      <c r="F4" s="198">
        <v>167.184301</v>
      </c>
      <c r="G4" s="200">
        <v>-10.5</v>
      </c>
      <c r="H4" s="198">
        <v>204.03371934</v>
      </c>
      <c r="I4" s="199">
        <v>-14.5</v>
      </c>
    </row>
    <row r="5" ht="21.6" customHeight="1" spans="1:9">
      <c r="A5" s="149" t="s">
        <v>371</v>
      </c>
      <c r="B5" s="201">
        <v>194.386498</v>
      </c>
      <c r="C5" s="202">
        <v>-4.6</v>
      </c>
      <c r="D5" s="201">
        <v>27.39625553</v>
      </c>
      <c r="E5" s="203">
        <v>-16.1806</v>
      </c>
      <c r="F5" s="201">
        <v>44.97914513</v>
      </c>
      <c r="G5" s="203">
        <v>-6.7</v>
      </c>
      <c r="H5" s="201">
        <v>61.64744792</v>
      </c>
      <c r="I5" s="203">
        <v>-1.4</v>
      </c>
    </row>
    <row r="6" ht="21.6" customHeight="1" spans="1:9">
      <c r="A6" s="149" t="s">
        <v>372</v>
      </c>
      <c r="B6" s="201"/>
      <c r="C6" s="203"/>
      <c r="D6" s="201"/>
      <c r="E6" s="203"/>
      <c r="F6" s="201"/>
      <c r="G6" s="203"/>
      <c r="H6" s="201"/>
      <c r="I6" s="203"/>
    </row>
    <row r="7" ht="21.6" customHeight="1" spans="1:9">
      <c r="A7" s="149" t="s">
        <v>373</v>
      </c>
      <c r="B7" s="201">
        <v>173.79845</v>
      </c>
      <c r="C7" s="203">
        <v>2.8363</v>
      </c>
      <c r="D7" s="201">
        <v>25.67166314</v>
      </c>
      <c r="E7" s="203">
        <v>-10.732</v>
      </c>
      <c r="F7" s="201">
        <v>40.25682029</v>
      </c>
      <c r="G7" s="203">
        <v>-5.4</v>
      </c>
      <c r="H7" s="204" t="s">
        <v>11</v>
      </c>
      <c r="I7" s="204" t="s">
        <v>11</v>
      </c>
    </row>
    <row r="8" ht="21.6" customHeight="1" spans="1:9">
      <c r="A8" s="149" t="s">
        <v>374</v>
      </c>
      <c r="B8" s="201">
        <v>13.10140156</v>
      </c>
      <c r="C8" s="203">
        <v>-46.9718</v>
      </c>
      <c r="D8" s="201">
        <v>0.49812198</v>
      </c>
      <c r="E8" s="203">
        <v>-72.2566</v>
      </c>
      <c r="F8" s="201">
        <v>0.799434</v>
      </c>
      <c r="G8" s="203">
        <v>-76.9</v>
      </c>
      <c r="H8" s="204" t="s">
        <v>11</v>
      </c>
      <c r="I8" s="204" t="s">
        <v>11</v>
      </c>
    </row>
    <row r="9" ht="21.6" customHeight="1" spans="1:9">
      <c r="A9" s="149" t="s">
        <v>375</v>
      </c>
      <c r="B9" s="201">
        <v>7.32679022</v>
      </c>
      <c r="C9" s="203">
        <v>-26.2327</v>
      </c>
      <c r="D9" s="201">
        <v>1.22118478</v>
      </c>
      <c r="E9" s="203">
        <v>-42.6946</v>
      </c>
      <c r="F9" s="201">
        <v>3.91733191</v>
      </c>
      <c r="G9" s="203">
        <v>79.6</v>
      </c>
      <c r="H9" s="204" t="s">
        <v>11</v>
      </c>
      <c r="I9" s="204" t="s">
        <v>11</v>
      </c>
    </row>
    <row r="10" ht="21.6" customHeight="1" spans="1:9">
      <c r="A10" s="149" t="s">
        <v>376</v>
      </c>
      <c r="B10" s="201"/>
      <c r="C10" s="203"/>
      <c r="D10" s="201"/>
      <c r="E10" s="203"/>
      <c r="F10" s="201"/>
      <c r="G10" s="203"/>
      <c r="H10" s="201"/>
      <c r="I10" s="203"/>
    </row>
    <row r="11" ht="21.6" customHeight="1" spans="1:9">
      <c r="A11" s="149" t="s">
        <v>377</v>
      </c>
      <c r="B11" s="201">
        <v>82.38097425</v>
      </c>
      <c r="C11" s="203">
        <v>-11.8443</v>
      </c>
      <c r="D11" s="201">
        <v>12.72099339</v>
      </c>
      <c r="E11" s="203">
        <v>-13.2863</v>
      </c>
      <c r="F11" s="201">
        <v>19.901584</v>
      </c>
      <c r="G11" s="203">
        <v>-12.1</v>
      </c>
      <c r="H11" s="204" t="s">
        <v>11</v>
      </c>
      <c r="I11" s="204" t="s">
        <v>11</v>
      </c>
    </row>
    <row r="12" ht="21.6" customHeight="1" spans="1:9">
      <c r="A12" s="149" t="s">
        <v>378</v>
      </c>
      <c r="B12" s="201">
        <v>84.72110414</v>
      </c>
      <c r="C12" s="203">
        <v>4.7663</v>
      </c>
      <c r="D12" s="201">
        <v>10.9744534</v>
      </c>
      <c r="E12" s="203">
        <v>-9.4083</v>
      </c>
      <c r="F12" s="201">
        <v>17.14385</v>
      </c>
      <c r="G12" s="203">
        <v>-2.5</v>
      </c>
      <c r="H12" s="204" t="s">
        <v>11</v>
      </c>
      <c r="I12" s="204" t="s">
        <v>11</v>
      </c>
    </row>
    <row r="13" ht="21.6" customHeight="1" spans="1:9">
      <c r="A13" s="149" t="s">
        <v>379</v>
      </c>
      <c r="B13" s="201">
        <v>27.28441205</v>
      </c>
      <c r="C13" s="203">
        <v>-6.9897</v>
      </c>
      <c r="D13" s="201">
        <v>3.70064162</v>
      </c>
      <c r="E13" s="203">
        <v>-37.2832</v>
      </c>
      <c r="F13" s="201">
        <v>7.933544</v>
      </c>
      <c r="G13" s="203">
        <v>-0.5</v>
      </c>
      <c r="H13" s="204" t="s">
        <v>11</v>
      </c>
      <c r="I13" s="204" t="s">
        <v>11</v>
      </c>
    </row>
    <row r="14" ht="21.6" customHeight="1" spans="1:9">
      <c r="A14" s="149" t="s">
        <v>380</v>
      </c>
      <c r="B14" s="201"/>
      <c r="C14" s="203"/>
      <c r="D14" s="201"/>
      <c r="E14" s="203"/>
      <c r="F14" s="201"/>
      <c r="G14" s="203"/>
      <c r="H14" s="201"/>
      <c r="I14" s="203"/>
    </row>
    <row r="15" ht="21.6" customHeight="1" spans="1:9">
      <c r="A15" s="149" t="s">
        <v>381</v>
      </c>
      <c r="B15" s="201">
        <v>12.519412</v>
      </c>
      <c r="C15" s="203">
        <v>-33.2</v>
      </c>
      <c r="D15" s="201">
        <v>1.068286</v>
      </c>
      <c r="E15" s="203">
        <v>-65</v>
      </c>
      <c r="F15" s="201">
        <v>1.715532</v>
      </c>
      <c r="G15" s="203">
        <v>-62.1</v>
      </c>
      <c r="H15" s="204" t="s">
        <v>11</v>
      </c>
      <c r="I15" s="204" t="s">
        <v>11</v>
      </c>
    </row>
    <row r="16" ht="21.6" customHeight="1" spans="1:9">
      <c r="A16" s="149" t="s">
        <v>382</v>
      </c>
      <c r="B16" s="201">
        <v>7.377161</v>
      </c>
      <c r="C16" s="203">
        <v>85</v>
      </c>
      <c r="D16" s="201">
        <v>1.051525</v>
      </c>
      <c r="E16" s="203">
        <v>-14.7</v>
      </c>
      <c r="F16" s="201">
        <v>1.455502</v>
      </c>
      <c r="G16" s="203">
        <v>-36.9</v>
      </c>
      <c r="H16" s="204" t="s">
        <v>11</v>
      </c>
      <c r="I16" s="204" t="s">
        <v>11</v>
      </c>
    </row>
    <row r="17" ht="21.6" customHeight="1" spans="1:9">
      <c r="A17" s="149" t="s">
        <v>383</v>
      </c>
      <c r="B17" s="201">
        <v>11.59219</v>
      </c>
      <c r="C17" s="203">
        <v>24.8</v>
      </c>
      <c r="D17" s="201">
        <v>1.922525</v>
      </c>
      <c r="E17" s="203">
        <v>34.3</v>
      </c>
      <c r="F17" s="201">
        <v>3.208832</v>
      </c>
      <c r="G17" s="203">
        <v>52.1</v>
      </c>
      <c r="H17" s="204" t="s">
        <v>11</v>
      </c>
      <c r="I17" s="204" t="s">
        <v>11</v>
      </c>
    </row>
    <row r="18" ht="21.6" customHeight="1" spans="1:9">
      <c r="A18" s="149" t="s">
        <v>384</v>
      </c>
      <c r="B18" s="201">
        <v>20.137138</v>
      </c>
      <c r="C18" s="203">
        <v>-12.4</v>
      </c>
      <c r="D18" s="201">
        <v>4.677839</v>
      </c>
      <c r="E18" s="203">
        <v>-0.8</v>
      </c>
      <c r="F18" s="201">
        <v>5.360014</v>
      </c>
      <c r="G18" s="203">
        <v>-23</v>
      </c>
      <c r="H18" s="204" t="s">
        <v>11</v>
      </c>
      <c r="I18" s="204" t="s">
        <v>11</v>
      </c>
    </row>
    <row r="19" ht="21.6" customHeight="1" spans="1:9">
      <c r="A19" s="149" t="s">
        <v>385</v>
      </c>
      <c r="B19" s="201">
        <v>421.704954</v>
      </c>
      <c r="C19" s="203">
        <v>-15.1</v>
      </c>
      <c r="D19" s="201">
        <v>95.39889363</v>
      </c>
      <c r="E19" s="203">
        <v>-10.3872</v>
      </c>
      <c r="F19" s="201">
        <v>122.205156</v>
      </c>
      <c r="G19" s="203">
        <v>-11.9</v>
      </c>
      <c r="H19" s="201">
        <v>142.38627142</v>
      </c>
      <c r="I19" s="203">
        <v>-19.1</v>
      </c>
    </row>
    <row r="20" ht="21.6" customHeight="1" spans="1:9">
      <c r="A20" s="149" t="s">
        <v>386</v>
      </c>
      <c r="B20" s="201"/>
      <c r="C20" s="203"/>
      <c r="D20" s="201"/>
      <c r="E20" s="203"/>
      <c r="F20" s="201"/>
      <c r="G20" s="203"/>
      <c r="H20" s="201"/>
      <c r="I20" s="203"/>
    </row>
    <row r="21" ht="21.6" customHeight="1" spans="1:9">
      <c r="A21" s="205" t="s">
        <v>387</v>
      </c>
      <c r="B21" s="201">
        <v>192.58581416</v>
      </c>
      <c r="C21" s="203">
        <v>-9.0378</v>
      </c>
      <c r="D21" s="201">
        <v>39.7506924</v>
      </c>
      <c r="E21" s="203">
        <v>14.8013</v>
      </c>
      <c r="F21" s="201">
        <v>55.74816606</v>
      </c>
      <c r="G21" s="203">
        <v>16.6</v>
      </c>
      <c r="H21" s="204" t="s">
        <v>11</v>
      </c>
      <c r="I21" s="204" t="s">
        <v>11</v>
      </c>
    </row>
    <row r="22" ht="21.6" customHeight="1" spans="1:9">
      <c r="A22" s="205" t="s">
        <v>388</v>
      </c>
      <c r="B22" s="201">
        <v>13.34408266</v>
      </c>
      <c r="C22" s="203">
        <v>-22.7417</v>
      </c>
      <c r="D22" s="201">
        <v>0.6310936</v>
      </c>
      <c r="E22" s="203">
        <v>-85.68</v>
      </c>
      <c r="F22" s="201">
        <v>0.905086</v>
      </c>
      <c r="G22" s="203">
        <v>-80.9</v>
      </c>
      <c r="H22" s="204" t="s">
        <v>11</v>
      </c>
      <c r="I22" s="204" t="s">
        <v>11</v>
      </c>
    </row>
    <row r="23" ht="21.6" customHeight="1" spans="1:9">
      <c r="A23" s="205" t="s">
        <v>389</v>
      </c>
      <c r="B23" s="201">
        <v>190.34781671</v>
      </c>
      <c r="C23" s="203">
        <v>-28.41</v>
      </c>
      <c r="D23" s="201">
        <v>54.3061842</v>
      </c>
      <c r="E23" s="203">
        <v>-14.9541</v>
      </c>
      <c r="F23" s="201">
        <v>64.15020284</v>
      </c>
      <c r="G23" s="203">
        <v>-19.3</v>
      </c>
      <c r="H23" s="204" t="s">
        <v>11</v>
      </c>
      <c r="I23" s="204" t="s">
        <v>11</v>
      </c>
    </row>
    <row r="24" ht="21.6" customHeight="1" spans="1:9">
      <c r="A24" s="206" t="s">
        <v>390</v>
      </c>
      <c r="B24" s="207"/>
      <c r="C24" s="200"/>
      <c r="D24" s="207"/>
      <c r="E24" s="200"/>
      <c r="F24" s="207"/>
      <c r="G24" s="200"/>
      <c r="H24" s="207"/>
      <c r="I24" s="200"/>
    </row>
    <row r="25" ht="21.6" customHeight="1" spans="1:9">
      <c r="A25" s="205" t="s">
        <v>391</v>
      </c>
      <c r="B25" s="208">
        <v>76</v>
      </c>
      <c r="C25" s="203">
        <v>90</v>
      </c>
      <c r="D25" s="208">
        <v>0</v>
      </c>
      <c r="E25" s="203">
        <v>-100</v>
      </c>
      <c r="F25" s="208">
        <v>12</v>
      </c>
      <c r="G25" s="203">
        <v>100</v>
      </c>
      <c r="H25" s="208">
        <v>19</v>
      </c>
      <c r="I25" s="203">
        <v>90</v>
      </c>
    </row>
    <row r="26" ht="21.6" customHeight="1" spans="1:9">
      <c r="A26" s="205" t="s">
        <v>392</v>
      </c>
      <c r="B26" s="201">
        <v>-0.7679</v>
      </c>
      <c r="C26" s="203">
        <v>-132.1</v>
      </c>
      <c r="D26" s="201">
        <v>0</v>
      </c>
      <c r="E26" s="203">
        <v>-100</v>
      </c>
      <c r="F26" s="201">
        <v>0.8776</v>
      </c>
      <c r="G26" s="203">
        <v>690.6</v>
      </c>
      <c r="H26" s="201">
        <v>1.8851</v>
      </c>
      <c r="I26" s="203">
        <v>1061.5</v>
      </c>
    </row>
    <row r="27" ht="21.6" customHeight="1" spans="1:9">
      <c r="A27" s="209" t="s">
        <v>393</v>
      </c>
      <c r="B27" s="210">
        <v>37.5352</v>
      </c>
      <c r="C27" s="211">
        <v>-18.8</v>
      </c>
      <c r="D27" s="210">
        <v>0</v>
      </c>
      <c r="E27" s="211">
        <v>-100</v>
      </c>
      <c r="F27" s="210">
        <v>0.4818</v>
      </c>
      <c r="G27" s="211">
        <v>-98.4</v>
      </c>
      <c r="H27" s="210">
        <v>0.5355</v>
      </c>
      <c r="I27" s="211">
        <v>-98.6</v>
      </c>
    </row>
    <row r="28" ht="34" customHeight="1" spans="1:7">
      <c r="A28" s="168" t="s">
        <v>394</v>
      </c>
      <c r="B28" s="168"/>
      <c r="C28" s="168"/>
      <c r="D28" s="168"/>
      <c r="E28" s="168"/>
      <c r="F28" s="168"/>
      <c r="G28" s="168"/>
    </row>
  </sheetData>
  <mergeCells count="7">
    <mergeCell ref="A1:I1"/>
    <mergeCell ref="B2:C2"/>
    <mergeCell ref="D2:E2"/>
    <mergeCell ref="F2:G2"/>
    <mergeCell ref="H2:I2"/>
    <mergeCell ref="A28:C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28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H11" sqref="H11:I27"/>
    </sheetView>
  </sheetViews>
  <sheetFormatPr defaultColWidth="9" defaultRowHeight="14.25"/>
  <cols>
    <col min="1" max="1" width="27.9166666666667" style="134" customWidth="1"/>
    <col min="2" max="7" width="9" style="134"/>
    <col min="8" max="8" width="9.25" style="134"/>
    <col min="9" max="9" width="9.16666666666667" style="134" customWidth="1"/>
    <col min="10" max="141" width="9" style="134"/>
    <col min="142" max="16384" width="9" style="135"/>
  </cols>
  <sheetData>
    <row r="1" ht="28.5" customHeight="1" spans="1:9">
      <c r="A1" s="136" t="s">
        <v>395</v>
      </c>
      <c r="B1" s="136"/>
      <c r="C1" s="136"/>
      <c r="D1" s="136"/>
      <c r="E1" s="136"/>
      <c r="F1" s="136"/>
      <c r="G1" s="136"/>
      <c r="H1" s="136"/>
      <c r="I1" s="136"/>
    </row>
    <row r="2" ht="21" customHeight="1" spans="1:9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</row>
    <row r="3" ht="21" customHeight="1" spans="1:9">
      <c r="A3" s="140"/>
      <c r="B3" s="141" t="s">
        <v>7</v>
      </c>
      <c r="C3" s="142" t="s">
        <v>8</v>
      </c>
      <c r="D3" s="141" t="s">
        <v>7</v>
      </c>
      <c r="E3" s="142" t="s">
        <v>8</v>
      </c>
      <c r="F3" s="141" t="s">
        <v>7</v>
      </c>
      <c r="G3" s="142" t="s">
        <v>8</v>
      </c>
      <c r="H3" s="141" t="s">
        <v>7</v>
      </c>
      <c r="I3" s="142" t="s">
        <v>8</v>
      </c>
    </row>
    <row r="4" ht="35.1" customHeight="1" spans="1:9">
      <c r="A4" s="143" t="s">
        <v>396</v>
      </c>
      <c r="B4" s="172">
        <v>30810</v>
      </c>
      <c r="C4" s="173">
        <v>3.6</v>
      </c>
      <c r="D4" s="172" t="s">
        <v>11</v>
      </c>
      <c r="E4" s="173" t="s">
        <v>11</v>
      </c>
      <c r="F4" s="174">
        <v>8816</v>
      </c>
      <c r="G4" s="175">
        <v>4.6</v>
      </c>
      <c r="H4" s="172" t="s">
        <v>11</v>
      </c>
      <c r="I4" s="173" t="s">
        <v>11</v>
      </c>
    </row>
    <row r="5" ht="35.1" customHeight="1" spans="1:9">
      <c r="A5" s="146" t="s">
        <v>397</v>
      </c>
      <c r="B5" s="176">
        <v>38452</v>
      </c>
      <c r="C5" s="177">
        <v>2.5</v>
      </c>
      <c r="D5" s="176" t="s">
        <v>11</v>
      </c>
      <c r="E5" s="177" t="s">
        <v>11</v>
      </c>
      <c r="F5" s="178">
        <v>10911</v>
      </c>
      <c r="G5" s="179">
        <v>3.4</v>
      </c>
      <c r="H5" s="176" t="s">
        <v>11</v>
      </c>
      <c r="I5" s="177" t="s">
        <v>11</v>
      </c>
    </row>
    <row r="6" ht="35.1" customHeight="1" spans="1:9">
      <c r="A6" s="180" t="s">
        <v>398</v>
      </c>
      <c r="B6" s="181">
        <v>23735</v>
      </c>
      <c r="C6" s="182">
        <v>4.3</v>
      </c>
      <c r="D6" s="181" t="s">
        <v>11</v>
      </c>
      <c r="E6" s="182" t="s">
        <v>11</v>
      </c>
      <c r="F6" s="183">
        <v>6835</v>
      </c>
      <c r="G6" s="184">
        <v>5.8</v>
      </c>
      <c r="H6" s="181" t="s">
        <v>11</v>
      </c>
      <c r="I6" s="182" t="s">
        <v>11</v>
      </c>
    </row>
    <row r="7" s="134" customFormat="1" ht="22.15" customHeight="1" spans="1:1">
      <c r="A7" s="185"/>
    </row>
    <row r="8" s="134" customFormat="1" ht="22.15" customHeight="1" spans="1:9">
      <c r="A8" s="136" t="s">
        <v>399</v>
      </c>
      <c r="B8" s="136"/>
      <c r="C8" s="136"/>
      <c r="D8" s="136"/>
      <c r="E8" s="136"/>
      <c r="F8" s="136"/>
      <c r="G8" s="136"/>
      <c r="H8" s="136"/>
      <c r="I8" s="136"/>
    </row>
    <row r="9" ht="21" customHeight="1" spans="1:9">
      <c r="A9" s="137" t="s">
        <v>1</v>
      </c>
      <c r="B9" s="138" t="s">
        <v>3</v>
      </c>
      <c r="C9" s="139"/>
      <c r="D9" s="138" t="s">
        <v>4</v>
      </c>
      <c r="E9" s="139"/>
      <c r="F9" s="138" t="s">
        <v>5</v>
      </c>
      <c r="G9" s="139"/>
      <c r="H9" s="138" t="s">
        <v>6</v>
      </c>
      <c r="I9" s="139"/>
    </row>
    <row r="10" ht="30.6" customHeight="1" spans="1:9">
      <c r="A10" s="186"/>
      <c r="B10" s="187" t="s">
        <v>400</v>
      </c>
      <c r="C10" s="188" t="s">
        <v>401</v>
      </c>
      <c r="D10" s="187" t="s">
        <v>400</v>
      </c>
      <c r="E10" s="188" t="s">
        <v>401</v>
      </c>
      <c r="F10" s="187" t="s">
        <v>400</v>
      </c>
      <c r="G10" s="188" t="s">
        <v>401</v>
      </c>
      <c r="H10" s="141" t="s">
        <v>400</v>
      </c>
      <c r="I10" s="142" t="s">
        <v>401</v>
      </c>
    </row>
    <row r="11" ht="21.95" customHeight="1" spans="1:9">
      <c r="A11" s="150" t="s">
        <v>402</v>
      </c>
      <c r="B11" s="189">
        <v>99.9</v>
      </c>
      <c r="C11" s="190">
        <v>100.3</v>
      </c>
      <c r="D11" s="189">
        <v>99.290322</v>
      </c>
      <c r="E11" s="190">
        <v>99.95092948</v>
      </c>
      <c r="F11" s="189">
        <v>99.8480958</v>
      </c>
      <c r="G11" s="190">
        <v>99.9168044</v>
      </c>
      <c r="H11" s="189">
        <v>99.89392338</v>
      </c>
      <c r="I11" s="190">
        <v>99.91110704</v>
      </c>
    </row>
    <row r="12" ht="21.95" customHeight="1" spans="1:9">
      <c r="A12" s="149" t="s">
        <v>403</v>
      </c>
      <c r="B12" s="191">
        <v>100.31036741</v>
      </c>
      <c r="C12" s="148">
        <v>100.41325694</v>
      </c>
      <c r="D12" s="191">
        <v>99.57321949</v>
      </c>
      <c r="E12" s="148">
        <v>100.30728921</v>
      </c>
      <c r="F12" s="191">
        <v>100.06299578</v>
      </c>
      <c r="G12" s="148">
        <v>100.22628399</v>
      </c>
      <c r="H12" s="191">
        <v>100.65341789</v>
      </c>
      <c r="I12" s="148">
        <v>100.33235965</v>
      </c>
    </row>
    <row r="13" ht="21.95" customHeight="1" spans="1:9">
      <c r="A13" s="149" t="s">
        <v>404</v>
      </c>
      <c r="B13" s="191">
        <v>102.61831025</v>
      </c>
      <c r="C13" s="148">
        <v>102.17474086</v>
      </c>
      <c r="D13" s="191">
        <v>103.76010727</v>
      </c>
      <c r="E13" s="148">
        <v>103.65123907</v>
      </c>
      <c r="F13" s="191">
        <v>103.50605497</v>
      </c>
      <c r="G13" s="148">
        <v>103.60276747</v>
      </c>
      <c r="H13" s="191">
        <v>102.65424598</v>
      </c>
      <c r="I13" s="148">
        <v>103.36407112</v>
      </c>
    </row>
    <row r="14" ht="21.95" customHeight="1" spans="1:9">
      <c r="A14" s="149" t="s">
        <v>405</v>
      </c>
      <c r="B14" s="191">
        <v>96.87961101</v>
      </c>
      <c r="C14" s="148">
        <v>101.75058647</v>
      </c>
      <c r="D14" s="191">
        <v>91.85236598</v>
      </c>
      <c r="E14" s="148">
        <v>95.53729567</v>
      </c>
      <c r="F14" s="191">
        <v>97.46961594</v>
      </c>
      <c r="G14" s="148">
        <v>96.1747236</v>
      </c>
      <c r="H14" s="191">
        <v>99.85573419</v>
      </c>
      <c r="I14" s="148">
        <v>97.07550058</v>
      </c>
    </row>
    <row r="15" ht="21.95" customHeight="1" spans="1:9">
      <c r="A15" s="149" t="s">
        <v>406</v>
      </c>
      <c r="B15" s="191">
        <v>101.28878057</v>
      </c>
      <c r="C15" s="148">
        <v>98.00605903</v>
      </c>
      <c r="D15" s="191">
        <v>101.11873953</v>
      </c>
      <c r="E15" s="148">
        <v>103.44876251</v>
      </c>
      <c r="F15" s="191">
        <v>102.7750446</v>
      </c>
      <c r="G15" s="148">
        <v>103.22838315</v>
      </c>
      <c r="H15" s="191">
        <v>103.43238384</v>
      </c>
      <c r="I15" s="148">
        <v>103.2783495</v>
      </c>
    </row>
    <row r="16" ht="21.95" customHeight="1" spans="1:9">
      <c r="A16" s="149" t="s">
        <v>407</v>
      </c>
      <c r="B16" s="191">
        <v>99.79812615</v>
      </c>
      <c r="C16" s="148">
        <v>99.63601882</v>
      </c>
      <c r="D16" s="191">
        <v>95.15492679</v>
      </c>
      <c r="E16" s="148">
        <v>98.60475428</v>
      </c>
      <c r="F16" s="191">
        <v>99.28587314</v>
      </c>
      <c r="G16" s="148">
        <v>98.82459292</v>
      </c>
      <c r="H16" s="191">
        <v>101.45440774</v>
      </c>
      <c r="I16" s="148">
        <v>99.46434855</v>
      </c>
    </row>
    <row r="17" ht="21.95" customHeight="1" spans="1:9">
      <c r="A17" s="149" t="s">
        <v>408</v>
      </c>
      <c r="B17" s="191">
        <v>100.07305556</v>
      </c>
      <c r="C17" s="148">
        <v>98.59583989</v>
      </c>
      <c r="D17" s="191">
        <v>99.96393849</v>
      </c>
      <c r="E17" s="148">
        <v>100.36005927</v>
      </c>
      <c r="F17" s="191">
        <v>100.51397445</v>
      </c>
      <c r="G17" s="148">
        <v>100.41073385</v>
      </c>
      <c r="H17" s="191">
        <v>100.92429003</v>
      </c>
      <c r="I17" s="148">
        <v>100.5372955</v>
      </c>
    </row>
    <row r="18" ht="21.95" customHeight="1" spans="1:9">
      <c r="A18" s="149" t="s">
        <v>409</v>
      </c>
      <c r="B18" s="191">
        <v>101.63919586</v>
      </c>
      <c r="C18" s="148">
        <v>102.80254831</v>
      </c>
      <c r="D18" s="191">
        <v>102.56248378</v>
      </c>
      <c r="E18" s="148">
        <v>101.95369617</v>
      </c>
      <c r="F18" s="191">
        <v>100.73745354</v>
      </c>
      <c r="G18" s="148">
        <v>101.54933023</v>
      </c>
      <c r="H18" s="191">
        <v>100.39450493</v>
      </c>
      <c r="I18" s="148">
        <v>101.26053512</v>
      </c>
    </row>
    <row r="19" ht="21.95" customHeight="1" spans="1:9">
      <c r="A19" s="149" t="s">
        <v>410</v>
      </c>
      <c r="B19" s="191">
        <v>97.44544612</v>
      </c>
      <c r="C19" s="148">
        <v>102.24010457</v>
      </c>
      <c r="D19" s="191">
        <v>97.3740701</v>
      </c>
      <c r="E19" s="148">
        <v>97.54846649</v>
      </c>
      <c r="F19" s="191">
        <v>101.46484319</v>
      </c>
      <c r="G19" s="148">
        <v>98.84987737</v>
      </c>
      <c r="H19" s="191">
        <v>101.51855557</v>
      </c>
      <c r="I19" s="148">
        <v>99.50276568</v>
      </c>
    </row>
    <row r="20" ht="21.95" customHeight="1" spans="1:9">
      <c r="A20" s="149" t="s">
        <v>411</v>
      </c>
      <c r="B20" s="191">
        <v>100.12416774</v>
      </c>
      <c r="C20" s="148">
        <v>100.29696567</v>
      </c>
      <c r="D20" s="191">
        <v>100.37847158</v>
      </c>
      <c r="E20" s="148">
        <v>100.39346754</v>
      </c>
      <c r="F20" s="191">
        <v>99.76320566</v>
      </c>
      <c r="G20" s="148">
        <v>100.18259936</v>
      </c>
      <c r="H20" s="191">
        <v>99.63920701</v>
      </c>
      <c r="I20" s="148">
        <v>100.0463063</v>
      </c>
    </row>
    <row r="21" ht="21.95" customHeight="1" spans="1:9">
      <c r="A21" s="149" t="s">
        <v>412</v>
      </c>
      <c r="B21" s="191">
        <v>99.65193685</v>
      </c>
      <c r="C21" s="148">
        <v>100.60516756</v>
      </c>
      <c r="D21" s="191">
        <v>98.9668466</v>
      </c>
      <c r="E21" s="148">
        <v>99.26489062</v>
      </c>
      <c r="F21" s="191">
        <v>100.33505837</v>
      </c>
      <c r="G21" s="148">
        <v>99.61619972</v>
      </c>
      <c r="H21" s="191">
        <v>99.89791102</v>
      </c>
      <c r="I21" s="148">
        <v>99.68597658</v>
      </c>
    </row>
    <row r="22" ht="21.95" customHeight="1" spans="1:9">
      <c r="A22" s="149" t="s">
        <v>413</v>
      </c>
      <c r="B22" s="191">
        <v>97.91697949</v>
      </c>
      <c r="C22" s="148">
        <v>98.17816802</v>
      </c>
      <c r="D22" s="191">
        <v>96.28238565</v>
      </c>
      <c r="E22" s="148">
        <v>98.11109014</v>
      </c>
      <c r="F22" s="191">
        <v>97.31959655</v>
      </c>
      <c r="G22" s="148">
        <v>97.84907154</v>
      </c>
      <c r="H22" s="191">
        <v>96.26928126</v>
      </c>
      <c r="I22" s="148">
        <v>97.45430837</v>
      </c>
    </row>
    <row r="23" ht="21.95" customHeight="1" spans="1:9">
      <c r="A23" s="149" t="s">
        <v>414</v>
      </c>
      <c r="B23" s="191">
        <v>100.91343734</v>
      </c>
      <c r="C23" s="148">
        <v>101.05436348</v>
      </c>
      <c r="D23" s="191">
        <v>98.80101948</v>
      </c>
      <c r="E23" s="148">
        <v>100.05865996</v>
      </c>
      <c r="F23" s="191">
        <v>100.05005373</v>
      </c>
      <c r="G23" s="148">
        <v>100.05583052</v>
      </c>
      <c r="H23" s="191">
        <v>99.85256815</v>
      </c>
      <c r="I23" s="148">
        <v>100.00542074</v>
      </c>
    </row>
    <row r="24" ht="21.95" customHeight="1" spans="1:9">
      <c r="A24" s="149" t="s">
        <v>415</v>
      </c>
      <c r="B24" s="191">
        <v>100</v>
      </c>
      <c r="C24" s="148">
        <v>100.4</v>
      </c>
      <c r="D24" s="191">
        <v>99.99242787</v>
      </c>
      <c r="E24" s="148">
        <v>99.99242787</v>
      </c>
      <c r="F24" s="191">
        <v>99.99242787</v>
      </c>
      <c r="G24" s="148">
        <v>99.99242787</v>
      </c>
      <c r="H24" s="191">
        <v>99.99242787</v>
      </c>
      <c r="I24" s="148">
        <v>99.99242787</v>
      </c>
    </row>
    <row r="25" ht="21.95" customHeight="1" spans="1:9">
      <c r="A25" s="149" t="s">
        <v>416</v>
      </c>
      <c r="B25" s="191">
        <v>99.53370286</v>
      </c>
      <c r="C25" s="148">
        <v>99.5433358</v>
      </c>
      <c r="D25" s="191">
        <v>99.75572371</v>
      </c>
      <c r="E25" s="148">
        <v>99.83667633</v>
      </c>
      <c r="F25" s="191">
        <v>99.80440381</v>
      </c>
      <c r="G25" s="148">
        <v>99.82592976</v>
      </c>
      <c r="H25" s="191">
        <v>99.82968928</v>
      </c>
      <c r="I25" s="148">
        <v>99.82686898</v>
      </c>
    </row>
    <row r="26" ht="21.95" customHeight="1" spans="1:9">
      <c r="A26" s="149" t="s">
        <v>417</v>
      </c>
      <c r="B26" s="192">
        <v>102.90484824</v>
      </c>
      <c r="C26" s="152">
        <v>102.31129618</v>
      </c>
      <c r="D26" s="192">
        <v>103.80001255</v>
      </c>
      <c r="E26" s="152">
        <v>104.43419092</v>
      </c>
      <c r="F26" s="192">
        <v>103.65178848</v>
      </c>
      <c r="G26" s="152">
        <v>104.17485998</v>
      </c>
      <c r="H26" s="192">
        <v>103.90522958</v>
      </c>
      <c r="I26" s="152">
        <v>104.10703505</v>
      </c>
    </row>
    <row r="27" ht="21.95" customHeight="1" spans="1:9">
      <c r="A27" s="193" t="s">
        <v>418</v>
      </c>
      <c r="B27" s="194">
        <v>100.14598739</v>
      </c>
      <c r="C27" s="195">
        <v>100.19756592</v>
      </c>
      <c r="D27" s="194">
        <v>98.86501744</v>
      </c>
      <c r="E27" s="195">
        <v>100.00533162</v>
      </c>
      <c r="F27" s="194">
        <v>99.66059927</v>
      </c>
      <c r="G27" s="195">
        <v>99.89127312</v>
      </c>
      <c r="H27" s="194">
        <v>99.6248154</v>
      </c>
      <c r="I27" s="195">
        <v>99.82497661</v>
      </c>
    </row>
    <row r="28" ht="21.6" customHeight="1" spans="1:7">
      <c r="A28" s="196" t="s">
        <v>419</v>
      </c>
      <c r="B28" s="196"/>
      <c r="C28" s="196"/>
      <c r="D28" s="196"/>
      <c r="E28" s="196"/>
      <c r="F28" s="196"/>
      <c r="G28" s="196"/>
    </row>
  </sheetData>
  <mergeCells count="13">
    <mergeCell ref="A1:I1"/>
    <mergeCell ref="B2:C2"/>
    <mergeCell ref="D2:E2"/>
    <mergeCell ref="F2:G2"/>
    <mergeCell ref="H2:I2"/>
    <mergeCell ref="A8:I8"/>
    <mergeCell ref="B9:C9"/>
    <mergeCell ref="D9:E9"/>
    <mergeCell ref="F9:G9"/>
    <mergeCell ref="H9:I9"/>
    <mergeCell ref="A28:C28"/>
    <mergeCell ref="A2:A3"/>
    <mergeCell ref="A9:A10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29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D18" sqref="D18:E28"/>
    </sheetView>
  </sheetViews>
  <sheetFormatPr defaultColWidth="9" defaultRowHeight="14.25" outlineLevelCol="4"/>
  <cols>
    <col min="1" max="1" width="36.1083333333333" style="134" customWidth="1"/>
    <col min="2" max="2" width="11.8" style="134" customWidth="1"/>
    <col min="3" max="3" width="10" style="134" customWidth="1"/>
    <col min="4" max="4" width="13.1916666666667" style="134" customWidth="1"/>
    <col min="5" max="5" width="10" style="134" customWidth="1"/>
    <col min="6" max="183" width="9" style="134"/>
    <col min="184" max="16384" width="9" style="135"/>
  </cols>
  <sheetData>
    <row r="1" ht="28.5" customHeight="1" spans="1:5">
      <c r="A1" s="136" t="s">
        <v>420</v>
      </c>
      <c r="B1" s="136"/>
      <c r="C1" s="136"/>
      <c r="D1" s="136"/>
      <c r="E1" s="136"/>
    </row>
    <row r="2" ht="21" customHeight="1" spans="1:5">
      <c r="A2" s="137" t="s">
        <v>1</v>
      </c>
      <c r="B2" s="138" t="s">
        <v>3</v>
      </c>
      <c r="C2" s="139"/>
      <c r="D2" s="138" t="s">
        <v>5</v>
      </c>
      <c r="E2" s="139"/>
    </row>
    <row r="3" ht="21" customHeight="1" spans="1:5">
      <c r="A3" s="140"/>
      <c r="B3" s="141" t="s">
        <v>7</v>
      </c>
      <c r="C3" s="142" t="s">
        <v>8</v>
      </c>
      <c r="D3" s="141" t="s">
        <v>7</v>
      </c>
      <c r="E3" s="142" t="s">
        <v>8</v>
      </c>
    </row>
    <row r="4" ht="22.9" customHeight="1" spans="1:5">
      <c r="A4" s="143" t="s">
        <v>421</v>
      </c>
      <c r="B4" s="144"/>
      <c r="C4" s="145"/>
      <c r="D4" s="144"/>
      <c r="E4" s="145"/>
    </row>
    <row r="5" ht="22.9" customHeight="1" spans="1:5">
      <c r="A5" s="146" t="s">
        <v>422</v>
      </c>
      <c r="B5" s="147">
        <v>3839.9317193847</v>
      </c>
      <c r="C5" s="164">
        <v>1.18304940409671</v>
      </c>
      <c r="D5" s="147">
        <v>858.304540565101</v>
      </c>
      <c r="E5" s="164">
        <v>3.04322047865311</v>
      </c>
    </row>
    <row r="6" ht="22.9" customHeight="1" spans="1:5">
      <c r="A6" s="149" t="s">
        <v>81</v>
      </c>
      <c r="B6" s="147">
        <v>380.79076381865</v>
      </c>
      <c r="C6" s="164">
        <v>0.323619364288803</v>
      </c>
      <c r="D6" s="147">
        <v>88.6888955161776</v>
      </c>
      <c r="E6" s="164">
        <v>3.06537897759706</v>
      </c>
    </row>
    <row r="7" ht="22.9" customHeight="1" spans="1:5">
      <c r="A7" s="149" t="s">
        <v>82</v>
      </c>
      <c r="B7" s="147">
        <v>463.372798362964</v>
      </c>
      <c r="C7" s="164">
        <v>2.96516779265683</v>
      </c>
      <c r="D7" s="147">
        <v>107.300177536198</v>
      </c>
      <c r="E7" s="164">
        <v>4.01833288110947</v>
      </c>
    </row>
    <row r="8" ht="22.9" customHeight="1" spans="1:5">
      <c r="A8" s="149" t="s">
        <v>83</v>
      </c>
      <c r="B8" s="147">
        <v>407.42080710813</v>
      </c>
      <c r="C8" s="164">
        <v>0.173956833428491</v>
      </c>
      <c r="D8" s="147">
        <v>102.301258249168</v>
      </c>
      <c r="E8" s="164">
        <v>0.237420161658804</v>
      </c>
    </row>
    <row r="9" ht="22.9" customHeight="1" spans="1:5">
      <c r="A9" s="149" t="s">
        <v>84</v>
      </c>
      <c r="B9" s="147">
        <v>220.707301222232</v>
      </c>
      <c r="C9" s="164">
        <v>0.216718091427225</v>
      </c>
      <c r="D9" s="147">
        <v>47.9053059467947</v>
      </c>
      <c r="E9" s="164">
        <v>1.04704104898019</v>
      </c>
    </row>
    <row r="10" ht="22.9" customHeight="1" spans="1:5">
      <c r="A10" s="149" t="s">
        <v>85</v>
      </c>
      <c r="B10" s="147">
        <v>314.634350399105</v>
      </c>
      <c r="C10" s="164">
        <v>0.0924100461061244</v>
      </c>
      <c r="D10" s="147">
        <v>65.8254678300496</v>
      </c>
      <c r="E10" s="164">
        <v>1.13513511803878</v>
      </c>
    </row>
    <row r="11" ht="22.9" customHeight="1" spans="1:5">
      <c r="A11" s="149" t="s">
        <v>86</v>
      </c>
      <c r="B11" s="147">
        <v>263.143622930598</v>
      </c>
      <c r="C11" s="164">
        <v>1.96578815136699</v>
      </c>
      <c r="D11" s="147">
        <v>61.1344068013402</v>
      </c>
      <c r="E11" s="164">
        <v>3.03138856377114</v>
      </c>
    </row>
    <row r="12" ht="22.9" customHeight="1" spans="1:5">
      <c r="A12" s="149" t="s">
        <v>87</v>
      </c>
      <c r="B12" s="147">
        <v>390.363560734226</v>
      </c>
      <c r="C12" s="164">
        <v>5.04180661051849</v>
      </c>
      <c r="D12" s="147">
        <v>87.4683683523361</v>
      </c>
      <c r="E12" s="164">
        <v>5.83228237894286</v>
      </c>
    </row>
    <row r="13" ht="22.9" customHeight="1" spans="1:5">
      <c r="A13" s="149" t="s">
        <v>88</v>
      </c>
      <c r="B13" s="147">
        <v>427.189519966917</v>
      </c>
      <c r="C13" s="164">
        <v>0.602315938126367</v>
      </c>
      <c r="D13" s="147">
        <v>81.6913361660355</v>
      </c>
      <c r="E13" s="164">
        <v>3.08157082905205</v>
      </c>
    </row>
    <row r="14" ht="22.9" customHeight="1" spans="1:5">
      <c r="A14" s="149" t="s">
        <v>89</v>
      </c>
      <c r="B14" s="147">
        <v>579.14655447555</v>
      </c>
      <c r="C14" s="164">
        <v>3.36404631706011</v>
      </c>
      <c r="D14" s="147">
        <v>111.029304511143</v>
      </c>
      <c r="E14" s="164">
        <v>3.19173318175802</v>
      </c>
    </row>
    <row r="15" ht="22.9" customHeight="1" spans="1:5">
      <c r="A15" s="149" t="s">
        <v>423</v>
      </c>
      <c r="B15" s="147">
        <v>725.759886347592</v>
      </c>
      <c r="C15" s="164">
        <v>0.333944173974785</v>
      </c>
      <c r="D15" s="147">
        <v>178.864675890782</v>
      </c>
      <c r="E15" s="164">
        <v>4.02960798833479</v>
      </c>
    </row>
    <row r="16" ht="22.9" customHeight="1" spans="1:5">
      <c r="A16" s="149"/>
      <c r="B16" s="147"/>
      <c r="C16" s="148"/>
      <c r="D16" s="147"/>
      <c r="E16" s="148"/>
    </row>
    <row r="17" ht="22.9" customHeight="1" spans="1:5">
      <c r="A17" s="150" t="s">
        <v>424</v>
      </c>
      <c r="B17" s="147"/>
      <c r="C17" s="148"/>
      <c r="D17" s="147"/>
      <c r="E17" s="148"/>
    </row>
    <row r="18" ht="22.9" customHeight="1" spans="1:5">
      <c r="A18" s="146" t="s">
        <v>422</v>
      </c>
      <c r="B18" s="147">
        <v>733.873003596183</v>
      </c>
      <c r="C18" s="148">
        <v>3.57733833440932</v>
      </c>
      <c r="D18" s="147">
        <v>113.058508596589</v>
      </c>
      <c r="E18" s="148">
        <v>2.97355119622196</v>
      </c>
    </row>
    <row r="19" ht="22.9" customHeight="1" spans="1:5">
      <c r="A19" s="149" t="s">
        <v>81</v>
      </c>
      <c r="B19" s="151">
        <v>0.807463019195617</v>
      </c>
      <c r="C19" s="152">
        <v>-25.0016402169783</v>
      </c>
      <c r="D19" s="151">
        <v>0.141199691688733</v>
      </c>
      <c r="E19" s="152">
        <v>-1.0555636976881</v>
      </c>
    </row>
    <row r="20" ht="22.9" customHeight="1" spans="1:5">
      <c r="A20" s="149" t="s">
        <v>82</v>
      </c>
      <c r="B20" s="147">
        <v>3.12218107023545</v>
      </c>
      <c r="C20" s="148">
        <v>1.5880612834023</v>
      </c>
      <c r="D20" s="147">
        <v>0.567439158479633</v>
      </c>
      <c r="E20" s="148">
        <v>4.576696499253</v>
      </c>
    </row>
    <row r="21" ht="22.9" customHeight="1" spans="1:5">
      <c r="A21" s="149" t="s">
        <v>83</v>
      </c>
      <c r="B21" s="147">
        <v>29.9328221023725</v>
      </c>
      <c r="C21" s="148">
        <v>6.58389262932049</v>
      </c>
      <c r="D21" s="147">
        <v>4.47196444629787</v>
      </c>
      <c r="E21" s="148">
        <v>1.10134952782002</v>
      </c>
    </row>
    <row r="22" ht="22.9" customHeight="1" spans="1:5">
      <c r="A22" s="149" t="s">
        <v>84</v>
      </c>
      <c r="B22" s="147">
        <v>34.1662200805323</v>
      </c>
      <c r="C22" s="148">
        <v>6.25550907735095</v>
      </c>
      <c r="D22" s="147">
        <v>4.68018534321241</v>
      </c>
      <c r="E22" s="148">
        <v>2.10444642769545</v>
      </c>
    </row>
    <row r="23" ht="22.9" customHeight="1" spans="1:5">
      <c r="A23" s="149" t="s">
        <v>85</v>
      </c>
      <c r="B23" s="147">
        <v>42.1110424221687</v>
      </c>
      <c r="C23" s="148">
        <v>5.06406181994201</v>
      </c>
      <c r="D23" s="147">
        <v>5.4169988005727</v>
      </c>
      <c r="E23" s="148">
        <v>-1.29381269915656</v>
      </c>
    </row>
    <row r="24" ht="22.9" customHeight="1" spans="1:5">
      <c r="A24" s="149" t="s">
        <v>86</v>
      </c>
      <c r="B24" s="147">
        <v>120.414043323958</v>
      </c>
      <c r="C24" s="148">
        <v>1.74035576048736</v>
      </c>
      <c r="D24" s="147">
        <v>24.9528812857558</v>
      </c>
      <c r="E24" s="148">
        <v>1.66825840460967</v>
      </c>
    </row>
    <row r="25" ht="22.9" customHeight="1" spans="1:5">
      <c r="A25" s="149" t="s">
        <v>87</v>
      </c>
      <c r="B25" s="147">
        <v>165.852697791494</v>
      </c>
      <c r="C25" s="148">
        <v>3.74594928657179</v>
      </c>
      <c r="D25" s="147">
        <v>31.0844212838127</v>
      </c>
      <c r="E25" s="148">
        <v>4.87992413874665</v>
      </c>
    </row>
    <row r="26" ht="22.9" customHeight="1" spans="1:5">
      <c r="A26" s="149" t="s">
        <v>88</v>
      </c>
      <c r="B26" s="147">
        <v>166.628410227587</v>
      </c>
      <c r="C26" s="148">
        <v>3.7414739760992</v>
      </c>
      <c r="D26" s="147">
        <v>20.9836150790442</v>
      </c>
      <c r="E26" s="148">
        <v>4.23232028072336</v>
      </c>
    </row>
    <row r="27" ht="22.9" customHeight="1" spans="1:5">
      <c r="A27" s="149" t="s">
        <v>89</v>
      </c>
      <c r="B27" s="147">
        <v>147.591284843823</v>
      </c>
      <c r="C27" s="148">
        <v>0.607387387867803</v>
      </c>
      <c r="D27" s="147">
        <v>17.6370099752268</v>
      </c>
      <c r="E27" s="148">
        <v>-2.51473364336393</v>
      </c>
    </row>
    <row r="28" ht="22.9" customHeight="1" spans="1:5">
      <c r="A28" s="153" t="s">
        <v>423</v>
      </c>
      <c r="B28" s="154">
        <v>23.2468387148175</v>
      </c>
      <c r="C28" s="155">
        <v>7.42451387699943</v>
      </c>
      <c r="D28" s="154">
        <v>3.11993397547318</v>
      </c>
      <c r="E28" s="155">
        <v>1.24159235575523</v>
      </c>
    </row>
    <row r="29" ht="54" customHeight="1" spans="1:5">
      <c r="A29" s="168" t="s">
        <v>425</v>
      </c>
      <c r="B29" s="168"/>
      <c r="C29" s="168"/>
      <c r="D29" s="168"/>
      <c r="E29" s="168"/>
    </row>
  </sheetData>
  <mergeCells count="5">
    <mergeCell ref="A1:E1"/>
    <mergeCell ref="B2:C2"/>
    <mergeCell ref="D2:E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J32"/>
  <sheetViews>
    <sheetView tabSelected="1"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K31" sqref="K31"/>
    </sheetView>
  </sheetViews>
  <sheetFormatPr defaultColWidth="9" defaultRowHeight="14.25"/>
  <cols>
    <col min="1" max="1" width="33.125" style="257" customWidth="1"/>
    <col min="2" max="2" width="9.625" style="257" customWidth="1"/>
    <col min="3" max="3" width="10.375" style="257"/>
    <col min="4" max="8" width="9.375" style="257"/>
    <col min="9" max="9" width="11.2416666666667" style="257" customWidth="1"/>
    <col min="10" max="10" width="9.06666666666667" style="257" customWidth="1"/>
    <col min="11" max="11" width="12.625" style="257"/>
    <col min="12" max="16384" width="9" style="257"/>
  </cols>
  <sheetData>
    <row r="1" ht="24.95" customHeight="1" spans="1:10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</row>
    <row r="2" s="286" customFormat="1" ht="21" customHeight="1" spans="1:10">
      <c r="A2" s="137" t="s">
        <v>1</v>
      </c>
      <c r="B2" s="233" t="s">
        <v>2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</row>
    <row r="3" s="286" customFormat="1" ht="21" customHeight="1" spans="1:10">
      <c r="A3" s="140"/>
      <c r="B3" s="234"/>
      <c r="C3" s="141" t="s">
        <v>7</v>
      </c>
      <c r="D3" s="142" t="s">
        <v>8</v>
      </c>
      <c r="E3" s="141" t="s">
        <v>7</v>
      </c>
      <c r="F3" s="142" t="s">
        <v>8</v>
      </c>
      <c r="G3" s="141" t="s">
        <v>7</v>
      </c>
      <c r="H3" s="142" t="s">
        <v>8</v>
      </c>
      <c r="I3" s="141" t="s">
        <v>7</v>
      </c>
      <c r="J3" s="142" t="s">
        <v>8</v>
      </c>
    </row>
    <row r="4" ht="18" customHeight="1" spans="1:10">
      <c r="A4" s="333" t="s">
        <v>9</v>
      </c>
      <c r="B4" s="334" t="s">
        <v>10</v>
      </c>
      <c r="C4" s="147">
        <v>3839.9317193847</v>
      </c>
      <c r="D4" s="335">
        <v>1.18304940409671</v>
      </c>
      <c r="E4" s="158" t="s">
        <v>11</v>
      </c>
      <c r="F4" s="336" t="s">
        <v>11</v>
      </c>
      <c r="G4" s="147">
        <v>858.304540565101</v>
      </c>
      <c r="H4" s="335">
        <v>3.043220478653</v>
      </c>
      <c r="I4" s="158" t="s">
        <v>11</v>
      </c>
      <c r="J4" s="336" t="s">
        <v>11</v>
      </c>
    </row>
    <row r="5" ht="18" customHeight="1" spans="1:10">
      <c r="A5" s="237" t="s">
        <v>12</v>
      </c>
      <c r="B5" s="238" t="s">
        <v>10</v>
      </c>
      <c r="C5" s="147">
        <v>733.873003596183</v>
      </c>
      <c r="D5" s="148">
        <v>3.57733833440932</v>
      </c>
      <c r="E5" s="158" t="s">
        <v>11</v>
      </c>
      <c r="F5" s="157" t="s">
        <v>11</v>
      </c>
      <c r="G5" s="147">
        <v>113.058508596589</v>
      </c>
      <c r="H5" s="148">
        <v>2.973551196222</v>
      </c>
      <c r="I5" s="158" t="s">
        <v>11</v>
      </c>
      <c r="J5" s="157" t="s">
        <v>11</v>
      </c>
    </row>
    <row r="6" ht="18" customHeight="1" spans="1:10">
      <c r="A6" s="237" t="s">
        <v>13</v>
      </c>
      <c r="B6" s="238" t="s">
        <v>10</v>
      </c>
      <c r="C6" s="147">
        <v>1237.23870515941</v>
      </c>
      <c r="D6" s="148">
        <v>-1.0396784690312</v>
      </c>
      <c r="E6" s="158" t="s">
        <v>11</v>
      </c>
      <c r="F6" s="157" t="s">
        <v>11</v>
      </c>
      <c r="G6" s="147">
        <v>284.811444019323</v>
      </c>
      <c r="H6" s="148">
        <v>0.534383769925995</v>
      </c>
      <c r="I6" s="158" t="s">
        <v>11</v>
      </c>
      <c r="J6" s="157" t="s">
        <v>11</v>
      </c>
    </row>
    <row r="7" ht="18" customHeight="1" spans="1:10">
      <c r="A7" s="237" t="s">
        <v>14</v>
      </c>
      <c r="B7" s="238" t="s">
        <v>10</v>
      </c>
      <c r="C7" s="147">
        <v>275.778971372819</v>
      </c>
      <c r="D7" s="148">
        <v>-5.27444585056574</v>
      </c>
      <c r="E7" s="158" t="s">
        <v>11</v>
      </c>
      <c r="F7" s="157" t="s">
        <v>11</v>
      </c>
      <c r="G7" s="147">
        <v>42.3742005864091</v>
      </c>
      <c r="H7" s="148">
        <v>-0.0863627416549946</v>
      </c>
      <c r="I7" s="158" t="s">
        <v>11</v>
      </c>
      <c r="J7" s="157" t="s">
        <v>11</v>
      </c>
    </row>
    <row r="8" ht="18" customHeight="1" spans="1:10">
      <c r="A8" s="237" t="s">
        <v>15</v>
      </c>
      <c r="B8" s="238" t="s">
        <v>10</v>
      </c>
      <c r="C8" s="147">
        <v>1868.82001062911</v>
      </c>
      <c r="D8" s="148">
        <v>1.61886523565815</v>
      </c>
      <c r="E8" s="158" t="s">
        <v>11</v>
      </c>
      <c r="F8" s="157" t="s">
        <v>11</v>
      </c>
      <c r="G8" s="147">
        <v>460.43458794919</v>
      </c>
      <c r="H8" s="148">
        <v>4.566107258926</v>
      </c>
      <c r="I8" s="158" t="s">
        <v>11</v>
      </c>
      <c r="J8" s="157" t="s">
        <v>11</v>
      </c>
    </row>
    <row r="9" ht="18" customHeight="1" spans="1:10">
      <c r="A9" s="268" t="s">
        <v>16</v>
      </c>
      <c r="B9" s="238" t="s">
        <v>10</v>
      </c>
      <c r="C9" s="147">
        <v>145.432523533589</v>
      </c>
      <c r="D9" s="148">
        <v>3.47895544141032</v>
      </c>
      <c r="E9" s="158" t="s">
        <v>11</v>
      </c>
      <c r="F9" s="157" t="s">
        <v>11</v>
      </c>
      <c r="G9" s="147">
        <v>31.666495273793</v>
      </c>
      <c r="H9" s="148">
        <v>5.310643761321</v>
      </c>
      <c r="I9" s="158" t="s">
        <v>11</v>
      </c>
      <c r="J9" s="157" t="s">
        <v>11</v>
      </c>
    </row>
    <row r="10" ht="18" customHeight="1" spans="1:10">
      <c r="A10" s="237" t="s">
        <v>17</v>
      </c>
      <c r="B10" s="238" t="s">
        <v>10</v>
      </c>
      <c r="C10" s="147">
        <v>377.9153378321</v>
      </c>
      <c r="D10" s="148">
        <v>-0.311107326428413</v>
      </c>
      <c r="E10" s="158" t="s">
        <v>11</v>
      </c>
      <c r="F10" s="157" t="s">
        <v>11</v>
      </c>
      <c r="G10" s="147">
        <v>80.8871700751062</v>
      </c>
      <c r="H10" s="148">
        <v>1.698497740405</v>
      </c>
      <c r="I10" s="158" t="s">
        <v>11</v>
      </c>
      <c r="J10" s="157" t="s">
        <v>11</v>
      </c>
    </row>
    <row r="11" ht="18" customHeight="1" spans="1:10">
      <c r="A11" s="237" t="s">
        <v>18</v>
      </c>
      <c r="B11" s="238" t="s">
        <v>10</v>
      </c>
      <c r="C11" s="147">
        <v>71.9922329009368</v>
      </c>
      <c r="D11" s="148">
        <v>2.79010664063613</v>
      </c>
      <c r="E11" s="158" t="s">
        <v>11</v>
      </c>
      <c r="F11" s="157" t="s">
        <v>11</v>
      </c>
      <c r="G11" s="147">
        <v>14.6826997433974</v>
      </c>
      <c r="H11" s="148">
        <v>2.241253009087</v>
      </c>
      <c r="I11" s="158" t="s">
        <v>11</v>
      </c>
      <c r="J11" s="157" t="s">
        <v>11</v>
      </c>
    </row>
    <row r="12" ht="18" customHeight="1" spans="1:10">
      <c r="A12" s="237" t="s">
        <v>19</v>
      </c>
      <c r="B12" s="238" t="s">
        <v>10</v>
      </c>
      <c r="C12" s="147">
        <v>163.59438362314</v>
      </c>
      <c r="D12" s="148">
        <v>6.23225857652474</v>
      </c>
      <c r="E12" s="158" t="s">
        <v>11</v>
      </c>
      <c r="F12" s="157" t="s">
        <v>11</v>
      </c>
      <c r="G12" s="147">
        <v>44.9894074972517</v>
      </c>
      <c r="H12" s="148">
        <v>7.75653989892901</v>
      </c>
      <c r="I12" s="158" t="s">
        <v>11</v>
      </c>
      <c r="J12" s="157" t="s">
        <v>11</v>
      </c>
    </row>
    <row r="13" ht="18" customHeight="1" spans="1:10">
      <c r="A13" s="237" t="s">
        <v>20</v>
      </c>
      <c r="B13" s="238" t="s">
        <v>10</v>
      </c>
      <c r="C13" s="147">
        <v>294.626732949764</v>
      </c>
      <c r="D13" s="148">
        <v>-2.97152483788149</v>
      </c>
      <c r="E13" s="158" t="s">
        <v>11</v>
      </c>
      <c r="F13" s="157" t="s">
        <v>11</v>
      </c>
      <c r="G13" s="147">
        <v>69.027017072654</v>
      </c>
      <c r="H13" s="148">
        <v>3.436749101122</v>
      </c>
      <c r="I13" s="158" t="s">
        <v>11</v>
      </c>
      <c r="J13" s="157" t="s">
        <v>11</v>
      </c>
    </row>
    <row r="14" ht="18" customHeight="1" spans="1:10">
      <c r="A14" s="237" t="s">
        <v>21</v>
      </c>
      <c r="B14" s="238" t="s">
        <v>10</v>
      </c>
      <c r="C14" s="147">
        <v>780.71439678895</v>
      </c>
      <c r="D14" s="148">
        <v>2.56033836398231</v>
      </c>
      <c r="E14" s="158" t="s">
        <v>11</v>
      </c>
      <c r="F14" s="157" t="s">
        <v>11</v>
      </c>
      <c r="G14" s="147">
        <v>211.54659434333</v>
      </c>
      <c r="H14" s="148">
        <v>4.86949460464901</v>
      </c>
      <c r="I14" s="158" t="s">
        <v>11</v>
      </c>
      <c r="J14" s="157" t="s">
        <v>11</v>
      </c>
    </row>
    <row r="15" ht="18" customHeight="1" spans="1:10">
      <c r="A15" s="237" t="s">
        <v>22</v>
      </c>
      <c r="B15" s="238" t="s">
        <v>23</v>
      </c>
      <c r="C15" s="337" t="s">
        <v>24</v>
      </c>
      <c r="D15" s="338"/>
      <c r="E15" s="337" t="s">
        <v>11</v>
      </c>
      <c r="F15" s="338"/>
      <c r="G15" s="337" t="s">
        <v>25</v>
      </c>
      <c r="H15" s="338"/>
      <c r="I15" s="337" t="s">
        <v>11</v>
      </c>
      <c r="J15" s="338"/>
    </row>
    <row r="16" ht="18" customHeight="1" spans="1:10">
      <c r="A16" s="237" t="s">
        <v>26</v>
      </c>
      <c r="B16" s="238" t="s">
        <v>10</v>
      </c>
      <c r="C16" s="147"/>
      <c r="D16" s="148">
        <v>-2.7</v>
      </c>
      <c r="E16" s="147"/>
      <c r="F16" s="148">
        <v>-1.5</v>
      </c>
      <c r="G16" s="147"/>
      <c r="H16" s="148">
        <v>-0.5</v>
      </c>
      <c r="I16" s="147"/>
      <c r="J16" s="148">
        <v>4.8</v>
      </c>
    </row>
    <row r="17" ht="18" customHeight="1" spans="1:10">
      <c r="A17" s="237" t="s">
        <v>27</v>
      </c>
      <c r="B17" s="238" t="s">
        <v>10</v>
      </c>
      <c r="C17" s="339"/>
      <c r="D17" s="148">
        <v>1.3</v>
      </c>
      <c r="E17" s="339"/>
      <c r="F17" s="148">
        <v>2.3</v>
      </c>
      <c r="G17" s="339"/>
      <c r="H17" s="148">
        <v>-5.7</v>
      </c>
      <c r="I17" s="339"/>
      <c r="J17" s="148">
        <v>-10.7</v>
      </c>
    </row>
    <row r="18" ht="18" customHeight="1" spans="1:10">
      <c r="A18" s="237" t="s">
        <v>28</v>
      </c>
      <c r="B18" s="238" t="s">
        <v>10</v>
      </c>
      <c r="C18" s="339"/>
      <c r="D18" s="148">
        <v>-3.5</v>
      </c>
      <c r="E18" s="339"/>
      <c r="F18" s="148">
        <v>-2.2</v>
      </c>
      <c r="G18" s="339"/>
      <c r="H18" s="148">
        <v>0.5</v>
      </c>
      <c r="I18" s="339"/>
      <c r="J18" s="148">
        <v>7.7</v>
      </c>
    </row>
    <row r="19" ht="18" customHeight="1" spans="1:10">
      <c r="A19" s="237" t="s">
        <v>29</v>
      </c>
      <c r="B19" s="238" t="s">
        <v>10</v>
      </c>
      <c r="C19" s="339"/>
      <c r="D19" s="148">
        <v>-4</v>
      </c>
      <c r="E19" s="339"/>
      <c r="F19" s="148">
        <v>-4.4</v>
      </c>
      <c r="G19" s="339"/>
      <c r="H19" s="148">
        <v>0.5</v>
      </c>
      <c r="I19" s="339"/>
      <c r="J19" s="148">
        <v>11.5</v>
      </c>
    </row>
    <row r="20" ht="18" customHeight="1" spans="1:10">
      <c r="A20" s="262" t="s">
        <v>30</v>
      </c>
      <c r="B20" s="263" t="s">
        <v>10</v>
      </c>
      <c r="C20" s="339"/>
      <c r="D20" s="148">
        <v>-0.3</v>
      </c>
      <c r="E20" s="339"/>
      <c r="F20" s="148">
        <v>6.8</v>
      </c>
      <c r="G20" s="339"/>
      <c r="H20" s="148">
        <v>6.2</v>
      </c>
      <c r="I20" s="339"/>
      <c r="J20" s="148">
        <v>14.3</v>
      </c>
    </row>
    <row r="21" ht="18" customHeight="1" spans="1:10">
      <c r="A21" s="262" t="s">
        <v>31</v>
      </c>
      <c r="B21" s="263" t="s">
        <v>10</v>
      </c>
      <c r="C21" s="339"/>
      <c r="D21" s="148">
        <v>-7</v>
      </c>
      <c r="E21" s="339"/>
      <c r="F21" s="148">
        <v>-5.5</v>
      </c>
      <c r="G21" s="339"/>
      <c r="H21" s="148">
        <v>2</v>
      </c>
      <c r="I21" s="339"/>
      <c r="J21" s="148">
        <v>6.7</v>
      </c>
    </row>
    <row r="22" ht="18" customHeight="1" spans="1:10">
      <c r="A22" s="262" t="s">
        <v>32</v>
      </c>
      <c r="B22" s="263" t="s">
        <v>10</v>
      </c>
      <c r="C22" s="339"/>
      <c r="D22" s="148">
        <v>0.1</v>
      </c>
      <c r="E22" s="339"/>
      <c r="F22" s="148">
        <v>2.6</v>
      </c>
      <c r="G22" s="339"/>
      <c r="H22" s="148">
        <v>4.6</v>
      </c>
      <c r="I22" s="339"/>
      <c r="J22" s="148">
        <v>23.5</v>
      </c>
    </row>
    <row r="23" ht="18" customHeight="1" spans="1:10">
      <c r="A23" s="262" t="s">
        <v>33</v>
      </c>
      <c r="B23" s="263" t="s">
        <v>10</v>
      </c>
      <c r="C23" s="339"/>
      <c r="D23" s="148">
        <v>-4.8</v>
      </c>
      <c r="E23" s="339"/>
      <c r="F23" s="148">
        <v>1.1</v>
      </c>
      <c r="G23" s="339"/>
      <c r="H23" s="148">
        <v>-1</v>
      </c>
      <c r="I23" s="339"/>
      <c r="J23" s="148">
        <v>-1</v>
      </c>
    </row>
    <row r="24" ht="18" customHeight="1" spans="1:10">
      <c r="A24" s="262" t="s">
        <v>34</v>
      </c>
      <c r="B24" s="263" t="s">
        <v>10</v>
      </c>
      <c r="C24" s="339"/>
      <c r="D24" s="148">
        <v>-5.2</v>
      </c>
      <c r="E24" s="339"/>
      <c r="F24" s="148">
        <v>-67.9</v>
      </c>
      <c r="G24" s="339"/>
      <c r="H24" s="148">
        <v>-69.5</v>
      </c>
      <c r="I24" s="339"/>
      <c r="J24" s="148">
        <v>-69.7</v>
      </c>
    </row>
    <row r="25" ht="18" customHeight="1" spans="1:10">
      <c r="A25" s="262" t="s">
        <v>35</v>
      </c>
      <c r="B25" s="263" t="s">
        <v>10</v>
      </c>
      <c r="C25" s="339"/>
      <c r="D25" s="148">
        <v>-13.5</v>
      </c>
      <c r="E25" s="339"/>
      <c r="F25" s="148">
        <v>-11.6</v>
      </c>
      <c r="G25" s="339"/>
      <c r="H25" s="148">
        <v>-7.4</v>
      </c>
      <c r="I25" s="339"/>
      <c r="J25" s="148">
        <v>-2.1</v>
      </c>
    </row>
    <row r="26" ht="18" customHeight="1" spans="1:10">
      <c r="A26" s="340" t="s">
        <v>36</v>
      </c>
      <c r="B26" s="341" t="s">
        <v>10</v>
      </c>
      <c r="C26" s="339"/>
      <c r="D26" s="342">
        <v>-11.3</v>
      </c>
      <c r="E26" s="339"/>
      <c r="F26" s="342">
        <v>8.6</v>
      </c>
      <c r="G26" s="339"/>
      <c r="H26" s="342">
        <v>8.7</v>
      </c>
      <c r="I26" s="339"/>
      <c r="J26" s="342">
        <v>4.7</v>
      </c>
    </row>
    <row r="27" ht="18" customHeight="1" spans="1:10">
      <c r="A27" s="340" t="s">
        <v>37</v>
      </c>
      <c r="B27" s="341" t="s">
        <v>10</v>
      </c>
      <c r="C27" s="339"/>
      <c r="D27" s="342">
        <v>-2.3</v>
      </c>
      <c r="E27" s="339"/>
      <c r="F27" s="342">
        <v>21.2</v>
      </c>
      <c r="G27" s="339"/>
      <c r="H27" s="342">
        <v>24.7</v>
      </c>
      <c r="I27" s="339"/>
      <c r="J27" s="342">
        <v>17.000681865725</v>
      </c>
    </row>
    <row r="28" ht="18" customHeight="1" spans="1:10">
      <c r="A28" s="340" t="s">
        <v>38</v>
      </c>
      <c r="B28" s="341" t="s">
        <v>10</v>
      </c>
      <c r="C28" s="339"/>
      <c r="D28" s="342">
        <v>-37.6</v>
      </c>
      <c r="E28" s="339"/>
      <c r="F28" s="342">
        <v>-25.2</v>
      </c>
      <c r="G28" s="339"/>
      <c r="H28" s="342">
        <v>-35.6</v>
      </c>
      <c r="I28" s="339"/>
      <c r="J28" s="342">
        <v>-31.9</v>
      </c>
    </row>
    <row r="29" ht="18" customHeight="1" spans="1:10">
      <c r="A29" s="340" t="s">
        <v>12</v>
      </c>
      <c r="B29" s="341" t="s">
        <v>10</v>
      </c>
      <c r="C29" s="339"/>
      <c r="D29" s="342">
        <v>-61.4</v>
      </c>
      <c r="E29" s="339"/>
      <c r="F29" s="342">
        <v>-59.5</v>
      </c>
      <c r="G29" s="339"/>
      <c r="H29" s="342">
        <v>-41.3</v>
      </c>
      <c r="I29" s="339"/>
      <c r="J29" s="342">
        <v>-39.8</v>
      </c>
    </row>
    <row r="30" ht="18" customHeight="1" spans="1:10">
      <c r="A30" s="340" t="s">
        <v>13</v>
      </c>
      <c r="B30" s="341" t="s">
        <v>10</v>
      </c>
      <c r="C30" s="339"/>
      <c r="D30" s="342">
        <v>12.7</v>
      </c>
      <c r="E30" s="339"/>
      <c r="F30" s="342">
        <v>0.6</v>
      </c>
      <c r="G30" s="339"/>
      <c r="H30" s="342">
        <v>9.2</v>
      </c>
      <c r="I30" s="339"/>
      <c r="J30" s="342">
        <v>4.9</v>
      </c>
    </row>
    <row r="31" ht="18" customHeight="1" spans="1:10">
      <c r="A31" s="343" t="s">
        <v>15</v>
      </c>
      <c r="B31" s="344" t="s">
        <v>10</v>
      </c>
      <c r="C31" s="345"/>
      <c r="D31" s="346">
        <v>-29.6</v>
      </c>
      <c r="E31" s="345"/>
      <c r="F31" s="346">
        <v>19.9</v>
      </c>
      <c r="G31" s="345"/>
      <c r="H31" s="346">
        <v>9.5</v>
      </c>
      <c r="I31" s="345"/>
      <c r="J31" s="346">
        <v>5.8</v>
      </c>
    </row>
    <row r="32" ht="83" customHeight="1" spans="1:10">
      <c r="A32" s="272" t="s">
        <v>39</v>
      </c>
      <c r="B32" s="272"/>
      <c r="C32" s="272"/>
      <c r="D32" s="272"/>
      <c r="E32" s="272"/>
      <c r="F32" s="272"/>
      <c r="G32" s="272"/>
      <c r="H32" s="272"/>
      <c r="I32" s="272"/>
      <c r="J32" s="272"/>
    </row>
  </sheetData>
  <mergeCells count="12">
    <mergeCell ref="A1:J1"/>
    <mergeCell ref="C2:D2"/>
    <mergeCell ref="E2:F2"/>
    <mergeCell ref="G2:H2"/>
    <mergeCell ref="I2:J2"/>
    <mergeCell ref="C15:D15"/>
    <mergeCell ref="E15:F15"/>
    <mergeCell ref="G15:H15"/>
    <mergeCell ref="I15:J15"/>
    <mergeCell ref="A32:J3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O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H25" sqref="H25"/>
    </sheetView>
  </sheetViews>
  <sheetFormatPr defaultColWidth="9" defaultRowHeight="14.25"/>
  <cols>
    <col min="1" max="1" width="40.4666666666667" style="160" customWidth="1"/>
    <col min="2" max="2" width="13.75" style="160" customWidth="1"/>
    <col min="3" max="3" width="10.7833333333333" style="160" customWidth="1"/>
    <col min="4" max="4" width="13.4333333333333" style="160" customWidth="1"/>
    <col min="5" max="5" width="9.99166666666667" style="160" customWidth="1"/>
    <col min="6" max="171" width="9" style="160"/>
    <col min="172" max="200" width="9" style="159"/>
    <col min="201" max="16384" width="9" style="133"/>
  </cols>
  <sheetData>
    <row r="1" s="159" customFormat="1" ht="35" customHeight="1" spans="1:171">
      <c r="A1" s="136" t="s">
        <v>426</v>
      </c>
      <c r="B1" s="136"/>
      <c r="C1" s="136"/>
      <c r="D1" s="136"/>
      <c r="E1" s="136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  <c r="EN1" s="160"/>
      <c r="EO1" s="160"/>
      <c r="EP1" s="160"/>
      <c r="EQ1" s="160"/>
      <c r="ER1" s="160"/>
      <c r="ES1" s="160"/>
      <c r="ET1" s="160"/>
      <c r="EU1" s="160"/>
      <c r="EV1" s="160"/>
      <c r="EW1" s="160"/>
      <c r="EX1" s="160"/>
      <c r="EY1" s="160"/>
      <c r="EZ1" s="160"/>
      <c r="FA1" s="160"/>
      <c r="FB1" s="160"/>
      <c r="FC1" s="160"/>
      <c r="FD1" s="160"/>
      <c r="FE1" s="160"/>
      <c r="FF1" s="160"/>
      <c r="FG1" s="160"/>
      <c r="FH1" s="160"/>
      <c r="FI1" s="160"/>
      <c r="FJ1" s="160"/>
      <c r="FK1" s="160"/>
      <c r="FL1" s="160"/>
      <c r="FM1" s="160"/>
      <c r="FN1" s="160"/>
      <c r="FO1" s="160"/>
    </row>
    <row r="2" ht="21" customHeight="1" spans="1:5">
      <c r="A2" s="137" t="s">
        <v>1</v>
      </c>
      <c r="B2" s="138" t="s">
        <v>3</v>
      </c>
      <c r="C2" s="139"/>
      <c r="D2" s="138" t="s">
        <v>5</v>
      </c>
      <c r="E2" s="139"/>
    </row>
    <row r="3" ht="29" customHeight="1" spans="1:5">
      <c r="A3" s="140"/>
      <c r="B3" s="141" t="s">
        <v>7</v>
      </c>
      <c r="C3" s="142" t="s">
        <v>8</v>
      </c>
      <c r="D3" s="141" t="s">
        <v>7</v>
      </c>
      <c r="E3" s="142" t="s">
        <v>8</v>
      </c>
    </row>
    <row r="4" s="159" customFormat="1" ht="33" customHeight="1" spans="1:171">
      <c r="A4" s="143" t="s">
        <v>427</v>
      </c>
      <c r="B4" s="144"/>
      <c r="C4" s="145"/>
      <c r="D4" s="144"/>
      <c r="E4" s="145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  <c r="EP4" s="160"/>
      <c r="EQ4" s="160"/>
      <c r="ER4" s="160"/>
      <c r="ES4" s="160"/>
      <c r="ET4" s="160"/>
      <c r="EU4" s="160"/>
      <c r="EV4" s="160"/>
      <c r="EW4" s="160"/>
      <c r="EX4" s="160"/>
      <c r="EY4" s="160"/>
      <c r="EZ4" s="160"/>
      <c r="FA4" s="160"/>
      <c r="FB4" s="160"/>
      <c r="FC4" s="160"/>
      <c r="FD4" s="160"/>
      <c r="FE4" s="160"/>
      <c r="FF4" s="160"/>
      <c r="FG4" s="160"/>
      <c r="FH4" s="160"/>
      <c r="FI4" s="160"/>
      <c r="FJ4" s="160"/>
      <c r="FK4" s="160"/>
      <c r="FL4" s="160"/>
      <c r="FM4" s="160"/>
      <c r="FN4" s="160"/>
      <c r="FO4" s="160"/>
    </row>
    <row r="5" s="159" customFormat="1" ht="22.5" customHeight="1" spans="1:171">
      <c r="A5" s="146" t="s">
        <v>422</v>
      </c>
      <c r="B5" s="147">
        <v>1237.23870515941</v>
      </c>
      <c r="C5" s="164">
        <v>-1.0396784690312</v>
      </c>
      <c r="D5" s="147">
        <v>284.811444019322</v>
      </c>
      <c r="E5" s="164">
        <v>0.534383769925896</v>
      </c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0"/>
      <c r="EW5" s="160"/>
      <c r="EX5" s="160"/>
      <c r="EY5" s="160"/>
      <c r="EZ5" s="160"/>
      <c r="FA5" s="160"/>
      <c r="FB5" s="160"/>
      <c r="FC5" s="160"/>
      <c r="FD5" s="160"/>
      <c r="FE5" s="160"/>
      <c r="FF5" s="160"/>
      <c r="FG5" s="160"/>
      <c r="FH5" s="160"/>
      <c r="FI5" s="160"/>
      <c r="FJ5" s="160"/>
      <c r="FK5" s="160"/>
      <c r="FL5" s="160"/>
      <c r="FM5" s="160"/>
      <c r="FN5" s="160"/>
      <c r="FO5" s="160"/>
    </row>
    <row r="6" ht="22.5" customHeight="1" spans="1:5">
      <c r="A6" s="149" t="s">
        <v>81</v>
      </c>
      <c r="B6" s="147">
        <v>67.4802687337983</v>
      </c>
      <c r="C6" s="164">
        <v>-1.20247229134883</v>
      </c>
      <c r="D6" s="147">
        <v>15.3656094724642</v>
      </c>
      <c r="E6" s="164">
        <v>-1.7097917367085</v>
      </c>
    </row>
    <row r="7" ht="22.5" customHeight="1" spans="1:5">
      <c r="A7" s="149" t="s">
        <v>82</v>
      </c>
      <c r="B7" s="147">
        <v>192.637687959657</v>
      </c>
      <c r="C7" s="164">
        <v>7.45738427594394</v>
      </c>
      <c r="D7" s="147">
        <v>40.2126431523682</v>
      </c>
      <c r="E7" s="164">
        <v>3.43280623536002</v>
      </c>
    </row>
    <row r="8" ht="22.5" customHeight="1" spans="1:5">
      <c r="A8" s="149" t="s">
        <v>83</v>
      </c>
      <c r="B8" s="147">
        <v>235.384806457078</v>
      </c>
      <c r="C8" s="164">
        <v>-3.61376316548726</v>
      </c>
      <c r="D8" s="147">
        <v>61.840987409185</v>
      </c>
      <c r="E8" s="164">
        <v>-5.51414976500686</v>
      </c>
    </row>
    <row r="9" ht="22.5" customHeight="1" spans="1:5">
      <c r="A9" s="149" t="s">
        <v>84</v>
      </c>
      <c r="B9" s="147">
        <v>51.3431675585363</v>
      </c>
      <c r="C9" s="164">
        <v>-5.61174971251307</v>
      </c>
      <c r="D9" s="147">
        <v>9.08630580517574</v>
      </c>
      <c r="E9" s="164">
        <v>-23.7213134217137</v>
      </c>
    </row>
    <row r="10" ht="22.5" customHeight="1" spans="1:5">
      <c r="A10" s="149" t="s">
        <v>85</v>
      </c>
      <c r="B10" s="147">
        <v>73.138749746173</v>
      </c>
      <c r="C10" s="164">
        <v>-11.775439260951</v>
      </c>
      <c r="D10" s="147">
        <v>15.2794338013418</v>
      </c>
      <c r="E10" s="164">
        <v>-6.70379130124303</v>
      </c>
    </row>
    <row r="11" ht="22.5" customHeight="1" spans="1:5">
      <c r="A11" s="149" t="s">
        <v>86</v>
      </c>
      <c r="B11" s="147">
        <v>34.7525884651729</v>
      </c>
      <c r="C11" s="164">
        <v>6.06490645382016</v>
      </c>
      <c r="D11" s="147">
        <v>8.83087325218504</v>
      </c>
      <c r="E11" s="164">
        <v>2.21204594799448</v>
      </c>
    </row>
    <row r="12" ht="22.5" customHeight="1" spans="1:5">
      <c r="A12" s="149" t="s">
        <v>87</v>
      </c>
      <c r="B12" s="147">
        <v>58.5014870628167</v>
      </c>
      <c r="C12" s="164">
        <v>15.5769519048646</v>
      </c>
      <c r="D12" s="147">
        <v>11.2929422588142</v>
      </c>
      <c r="E12" s="164">
        <v>10.4545559807937</v>
      </c>
    </row>
    <row r="13" ht="22.5" customHeight="1" spans="1:5">
      <c r="A13" s="149" t="s">
        <v>88</v>
      </c>
      <c r="B13" s="147">
        <v>59.673531392837</v>
      </c>
      <c r="C13" s="164">
        <v>-5.26385660647817</v>
      </c>
      <c r="D13" s="147">
        <v>12.4992420049953</v>
      </c>
      <c r="E13" s="164">
        <v>3.15270837783676</v>
      </c>
    </row>
    <row r="14" ht="22.5" customHeight="1" spans="1:5">
      <c r="A14" s="149" t="s">
        <v>89</v>
      </c>
      <c r="B14" s="147">
        <v>155.442372182873</v>
      </c>
      <c r="C14" s="164">
        <v>8.90063787913815</v>
      </c>
      <c r="D14" s="147">
        <v>25.0232849621839</v>
      </c>
      <c r="E14" s="164">
        <v>5.0376942791009</v>
      </c>
    </row>
    <row r="15" ht="22.5" customHeight="1" spans="1:5">
      <c r="A15" s="149" t="s">
        <v>423</v>
      </c>
      <c r="B15" s="147">
        <v>477.757813899088</v>
      </c>
      <c r="C15" s="164">
        <v>-0.342915753860396</v>
      </c>
      <c r="D15" s="147">
        <v>127.493957102276</v>
      </c>
      <c r="E15" s="164">
        <v>3.89380375134982</v>
      </c>
    </row>
    <row r="16" ht="19.5" customHeight="1" spans="1:5">
      <c r="A16" s="149"/>
      <c r="B16" s="147"/>
      <c r="C16" s="148"/>
      <c r="D16" s="147"/>
      <c r="E16" s="148"/>
    </row>
    <row r="17" ht="33" customHeight="1" spans="1:5">
      <c r="A17" s="150" t="s">
        <v>428</v>
      </c>
      <c r="B17" s="147"/>
      <c r="C17" s="148"/>
      <c r="D17" s="147"/>
      <c r="E17" s="148"/>
    </row>
    <row r="18" ht="22.5" customHeight="1" spans="1:5">
      <c r="A18" s="146" t="s">
        <v>422</v>
      </c>
      <c r="B18" s="147">
        <v>1868.82001062911</v>
      </c>
      <c r="C18" s="148">
        <v>1.61886523565815</v>
      </c>
      <c r="D18" s="147">
        <v>460.43458794919</v>
      </c>
      <c r="E18" s="148">
        <v>4.56610725892594</v>
      </c>
    </row>
    <row r="19" ht="22.5" customHeight="1" spans="1:5">
      <c r="A19" s="149" t="s">
        <v>81</v>
      </c>
      <c r="B19" s="151">
        <v>312.503032065656</v>
      </c>
      <c r="C19" s="152">
        <v>0.746443330483132</v>
      </c>
      <c r="D19" s="151">
        <v>73.1820863520247</v>
      </c>
      <c r="E19" s="152">
        <v>4.34744147608515</v>
      </c>
    </row>
    <row r="20" ht="22.5" customHeight="1" spans="1:5">
      <c r="A20" s="149" t="s">
        <v>82</v>
      </c>
      <c r="B20" s="147">
        <v>267.612929333072</v>
      </c>
      <c r="C20" s="148">
        <v>0.125105031858581</v>
      </c>
      <c r="D20" s="147">
        <v>66.5200952253499</v>
      </c>
      <c r="E20" s="148">
        <v>4.36052765221397</v>
      </c>
    </row>
    <row r="21" ht="22.5" customHeight="1" spans="1:5">
      <c r="A21" s="149" t="s">
        <v>83</v>
      </c>
      <c r="B21" s="147">
        <v>142.103178548679</v>
      </c>
      <c r="C21" s="148">
        <v>5.90254628030928</v>
      </c>
      <c r="D21" s="147">
        <v>35.9883063936848</v>
      </c>
      <c r="E21" s="148">
        <v>7.97499275675659</v>
      </c>
    </row>
    <row r="22" ht="22.5" customHeight="1" spans="1:5">
      <c r="A22" s="149" t="s">
        <v>84</v>
      </c>
      <c r="B22" s="147">
        <v>135.197913583164</v>
      </c>
      <c r="C22" s="148">
        <v>0.894214739191952</v>
      </c>
      <c r="D22" s="147">
        <v>34.1388147984065</v>
      </c>
      <c r="E22" s="148">
        <v>9.93155525704823</v>
      </c>
    </row>
    <row r="23" ht="22.5" customHeight="1" spans="1:5">
      <c r="A23" s="149" t="s">
        <v>85</v>
      </c>
      <c r="B23" s="147">
        <v>199.384558230764</v>
      </c>
      <c r="C23" s="148">
        <v>5.41156382237151</v>
      </c>
      <c r="D23" s="147">
        <v>45.1290352281351</v>
      </c>
      <c r="E23" s="148">
        <v>4.22662022555407</v>
      </c>
    </row>
    <row r="24" ht="22.5" customHeight="1" spans="1:5">
      <c r="A24" s="149" t="s">
        <v>86</v>
      </c>
      <c r="B24" s="147">
        <v>107.976991141467</v>
      </c>
      <c r="C24" s="148">
        <v>0.960077812307176</v>
      </c>
      <c r="D24" s="147">
        <v>27.3506522633994</v>
      </c>
      <c r="E24" s="148">
        <v>4.65517796932653</v>
      </c>
    </row>
    <row r="25" ht="22.5" customHeight="1" spans="1:5">
      <c r="A25" s="149" t="s">
        <v>87</v>
      </c>
      <c r="B25" s="147">
        <v>166.009375879916</v>
      </c>
      <c r="C25" s="148">
        <v>3.34047357717336</v>
      </c>
      <c r="D25" s="147">
        <v>45.0910048097092</v>
      </c>
      <c r="E25" s="148">
        <v>5.64622849627436</v>
      </c>
    </row>
    <row r="26" ht="22.5" customHeight="1" spans="1:5">
      <c r="A26" s="149" t="s">
        <v>88</v>
      </c>
      <c r="B26" s="147">
        <v>200.887578346493</v>
      </c>
      <c r="C26" s="148">
        <v>0.224048303516412</v>
      </c>
      <c r="D26" s="147">
        <v>48.208479081996</v>
      </c>
      <c r="E26" s="148">
        <v>2.45301865451826</v>
      </c>
    </row>
    <row r="27" ht="22.5" customHeight="1" spans="1:5">
      <c r="A27" s="149" t="s">
        <v>89</v>
      </c>
      <c r="B27" s="147">
        <v>276.112897448855</v>
      </c>
      <c r="C27" s="148">
        <v>1.4507764776757</v>
      </c>
      <c r="D27" s="147">
        <v>68.3690095737324</v>
      </c>
      <c r="E27" s="148">
        <v>4.70860824158954</v>
      </c>
    </row>
    <row r="28" ht="22.5" customHeight="1" spans="1:5">
      <c r="A28" s="153" t="s">
        <v>423</v>
      </c>
      <c r="B28" s="154">
        <v>224.755233733686</v>
      </c>
      <c r="C28" s="155">
        <v>0.874330379358469</v>
      </c>
      <c r="D28" s="154">
        <v>48.2507848130334</v>
      </c>
      <c r="E28" s="155">
        <v>4.62335852192209</v>
      </c>
    </row>
    <row r="29" ht="44.25" customHeight="1" spans="1:5">
      <c r="A29" s="168" t="s">
        <v>425</v>
      </c>
      <c r="B29" s="168"/>
      <c r="C29" s="168"/>
      <c r="D29" s="168"/>
      <c r="E29" s="168"/>
    </row>
  </sheetData>
  <mergeCells count="5">
    <mergeCell ref="A1:E1"/>
    <mergeCell ref="B2:C2"/>
    <mergeCell ref="D2:E2"/>
    <mergeCell ref="A29:E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C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O18" sqref="O18"/>
    </sheetView>
  </sheetViews>
  <sheetFormatPr defaultColWidth="9" defaultRowHeight="14.25"/>
  <cols>
    <col min="1" max="1" width="30.15" style="160" customWidth="1"/>
    <col min="2" max="9" width="9.375" style="160"/>
    <col min="10" max="133" width="9" style="160"/>
    <col min="134" max="16384" width="9" style="159"/>
  </cols>
  <sheetData>
    <row r="1" s="159" customFormat="1" ht="28.5" customHeight="1" spans="1:133">
      <c r="A1" s="169" t="s">
        <v>429</v>
      </c>
      <c r="B1" s="169"/>
      <c r="C1" s="169"/>
      <c r="D1" s="169"/>
      <c r="E1" s="169"/>
      <c r="F1" s="169"/>
      <c r="G1" s="169"/>
      <c r="H1" s="169"/>
      <c r="I1" s="169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</row>
    <row r="2" ht="21" customHeight="1" spans="1:9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</row>
    <row r="3" ht="29" customHeight="1" spans="1:9">
      <c r="A3" s="140"/>
      <c r="B3" s="141" t="s">
        <v>7</v>
      </c>
      <c r="C3" s="142" t="s">
        <v>8</v>
      </c>
      <c r="D3" s="141" t="s">
        <v>7</v>
      </c>
      <c r="E3" s="142" t="s">
        <v>8</v>
      </c>
      <c r="F3" s="141" t="s">
        <v>7</v>
      </c>
      <c r="G3" s="142" t="s">
        <v>8</v>
      </c>
      <c r="H3" s="141" t="s">
        <v>7</v>
      </c>
      <c r="I3" s="142" t="s">
        <v>8</v>
      </c>
    </row>
    <row r="4" s="159" customFormat="1" ht="33" customHeight="1" spans="1:133">
      <c r="A4" s="143" t="s">
        <v>430</v>
      </c>
      <c r="B4" s="161"/>
      <c r="C4" s="162"/>
      <c r="D4" s="161"/>
      <c r="E4" s="162"/>
      <c r="F4" s="161"/>
      <c r="G4" s="162"/>
      <c r="H4" s="161"/>
      <c r="I4" s="162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</row>
    <row r="5" s="159" customFormat="1" ht="22.5" customHeight="1" spans="1:133">
      <c r="A5" s="146" t="s">
        <v>422</v>
      </c>
      <c r="B5" s="163">
        <v>1170.18164817982</v>
      </c>
      <c r="C5" s="164">
        <v>2.667537891788</v>
      </c>
      <c r="D5" s="170" t="s">
        <v>11</v>
      </c>
      <c r="E5" s="171" t="s">
        <v>11</v>
      </c>
      <c r="F5" s="163">
        <v>244.15</v>
      </c>
      <c r="G5" s="164">
        <v>3</v>
      </c>
      <c r="H5" s="170" t="s">
        <v>11</v>
      </c>
      <c r="I5" s="171" t="s">
        <v>11</v>
      </c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</row>
    <row r="6" ht="22.5" customHeight="1" spans="1:9">
      <c r="A6" s="149" t="s">
        <v>81</v>
      </c>
      <c r="B6" s="163">
        <v>1.239386</v>
      </c>
      <c r="C6" s="164">
        <v>-24.7</v>
      </c>
      <c r="D6" s="170" t="s">
        <v>11</v>
      </c>
      <c r="E6" s="171" t="s">
        <v>11</v>
      </c>
      <c r="F6" s="163">
        <v>0.3</v>
      </c>
      <c r="G6" s="164">
        <v>-0.9</v>
      </c>
      <c r="H6" s="170" t="s">
        <v>11</v>
      </c>
      <c r="I6" s="171" t="s">
        <v>11</v>
      </c>
    </row>
    <row r="7" ht="22.5" customHeight="1" spans="1:9">
      <c r="A7" s="149" t="s">
        <v>82</v>
      </c>
      <c r="B7" s="163">
        <v>5.533544</v>
      </c>
      <c r="C7" s="164">
        <v>2.7</v>
      </c>
      <c r="D7" s="170" t="s">
        <v>11</v>
      </c>
      <c r="E7" s="171" t="s">
        <v>11</v>
      </c>
      <c r="F7" s="163">
        <v>0.83</v>
      </c>
      <c r="G7" s="164">
        <v>3.4</v>
      </c>
      <c r="H7" s="170" t="s">
        <v>11</v>
      </c>
      <c r="I7" s="171" t="s">
        <v>11</v>
      </c>
    </row>
    <row r="8" ht="22.5" customHeight="1" spans="1:9">
      <c r="A8" s="149" t="s">
        <v>83</v>
      </c>
      <c r="B8" s="163">
        <v>42.928843</v>
      </c>
      <c r="C8" s="164">
        <v>4.90000000000001</v>
      </c>
      <c r="D8" s="170" t="s">
        <v>11</v>
      </c>
      <c r="E8" s="171" t="s">
        <v>11</v>
      </c>
      <c r="F8" s="163">
        <v>8.23</v>
      </c>
      <c r="G8" s="164">
        <v>1.7</v>
      </c>
      <c r="H8" s="170" t="s">
        <v>11</v>
      </c>
      <c r="I8" s="171" t="s">
        <v>11</v>
      </c>
    </row>
    <row r="9" ht="22.5" customHeight="1" spans="1:9">
      <c r="A9" s="149" t="s">
        <v>84</v>
      </c>
      <c r="B9" s="163">
        <v>53.052691</v>
      </c>
      <c r="C9" s="164">
        <v>4.40000000000001</v>
      </c>
      <c r="D9" s="170" t="s">
        <v>11</v>
      </c>
      <c r="E9" s="171" t="s">
        <v>11</v>
      </c>
      <c r="F9" s="163">
        <v>9.67</v>
      </c>
      <c r="G9" s="164">
        <v>2.5</v>
      </c>
      <c r="H9" s="170" t="s">
        <v>11</v>
      </c>
      <c r="I9" s="171" t="s">
        <v>11</v>
      </c>
    </row>
    <row r="10" ht="22.5" customHeight="1" spans="1:9">
      <c r="A10" s="149" t="s">
        <v>85</v>
      </c>
      <c r="B10" s="163">
        <v>73.744446</v>
      </c>
      <c r="C10" s="164">
        <v>1.8</v>
      </c>
      <c r="D10" s="170" t="s">
        <v>11</v>
      </c>
      <c r="E10" s="171" t="s">
        <v>11</v>
      </c>
      <c r="F10" s="163">
        <v>14.16</v>
      </c>
      <c r="G10" s="164">
        <v>-0.4</v>
      </c>
      <c r="H10" s="170" t="s">
        <v>11</v>
      </c>
      <c r="I10" s="171" t="s">
        <v>11</v>
      </c>
    </row>
    <row r="11" ht="22.5" customHeight="1" spans="1:9">
      <c r="A11" s="149" t="s">
        <v>86</v>
      </c>
      <c r="B11" s="163">
        <v>186.95368</v>
      </c>
      <c r="C11" s="164">
        <v>2</v>
      </c>
      <c r="D11" s="170" t="s">
        <v>11</v>
      </c>
      <c r="E11" s="171" t="s">
        <v>11</v>
      </c>
      <c r="F11" s="163">
        <v>44.78</v>
      </c>
      <c r="G11" s="164">
        <v>2.4</v>
      </c>
      <c r="H11" s="170" t="s">
        <v>11</v>
      </c>
      <c r="I11" s="171" t="s">
        <v>11</v>
      </c>
    </row>
    <row r="12" ht="22.5" customHeight="1" spans="1:9">
      <c r="A12" s="149" t="s">
        <v>87</v>
      </c>
      <c r="B12" s="163">
        <v>263.566885</v>
      </c>
      <c r="C12" s="164">
        <v>3.59999999999999</v>
      </c>
      <c r="D12" s="170" t="s">
        <v>11</v>
      </c>
      <c r="E12" s="171" t="s">
        <v>11</v>
      </c>
      <c r="F12" s="163">
        <v>64.56</v>
      </c>
      <c r="G12" s="164">
        <v>7.6</v>
      </c>
      <c r="H12" s="170" t="s">
        <v>11</v>
      </c>
      <c r="I12" s="171" t="s">
        <v>11</v>
      </c>
    </row>
    <row r="13" ht="22.5" customHeight="1" spans="1:9">
      <c r="A13" s="149" t="s">
        <v>88</v>
      </c>
      <c r="B13" s="163">
        <v>268.840595</v>
      </c>
      <c r="C13" s="164">
        <v>4.09999999999999</v>
      </c>
      <c r="D13" s="170" t="s">
        <v>11</v>
      </c>
      <c r="E13" s="171" t="s">
        <v>11</v>
      </c>
      <c r="F13" s="163">
        <v>51.29</v>
      </c>
      <c r="G13" s="164">
        <v>4.6</v>
      </c>
      <c r="H13" s="170" t="s">
        <v>11</v>
      </c>
      <c r="I13" s="171" t="s">
        <v>11</v>
      </c>
    </row>
    <row r="14" ht="22.5" customHeight="1" spans="1:9">
      <c r="A14" s="149" t="s">
        <v>89</v>
      </c>
      <c r="B14" s="163">
        <v>238.041099</v>
      </c>
      <c r="C14" s="164">
        <v>0.799999999999997</v>
      </c>
      <c r="D14" s="170" t="s">
        <v>11</v>
      </c>
      <c r="E14" s="171" t="s">
        <v>11</v>
      </c>
      <c r="F14" s="163">
        <v>41.28</v>
      </c>
      <c r="G14" s="164">
        <v>-2</v>
      </c>
      <c r="H14" s="170" t="s">
        <v>11</v>
      </c>
      <c r="I14" s="171" t="s">
        <v>11</v>
      </c>
    </row>
    <row r="15" ht="22.5" customHeight="1" spans="1:9">
      <c r="A15" s="149" t="s">
        <v>423</v>
      </c>
      <c r="B15" s="163">
        <v>36.280502</v>
      </c>
      <c r="C15" s="164">
        <v>7.7</v>
      </c>
      <c r="D15" s="170" t="s">
        <v>11</v>
      </c>
      <c r="E15" s="171" t="s">
        <v>11</v>
      </c>
      <c r="F15" s="163">
        <v>9.05</v>
      </c>
      <c r="G15" s="164">
        <v>3</v>
      </c>
      <c r="H15" s="170" t="s">
        <v>11</v>
      </c>
      <c r="I15" s="171" t="s">
        <v>11</v>
      </c>
    </row>
    <row r="16" ht="19.5" customHeight="1" spans="1:9">
      <c r="A16" s="149"/>
      <c r="B16" s="163"/>
      <c r="C16" s="164"/>
      <c r="D16" s="163"/>
      <c r="E16" s="164"/>
      <c r="F16" s="163"/>
      <c r="G16" s="164"/>
      <c r="H16" s="163"/>
      <c r="I16" s="164"/>
    </row>
    <row r="17" ht="33" customHeight="1" spans="1:9">
      <c r="A17" s="150" t="s">
        <v>431</v>
      </c>
      <c r="B17" s="163"/>
      <c r="C17" s="164"/>
      <c r="D17" s="163"/>
      <c r="E17" s="164"/>
      <c r="F17" s="163"/>
      <c r="G17" s="164"/>
      <c r="H17" s="163"/>
      <c r="I17" s="164"/>
    </row>
    <row r="18" ht="22.5" customHeight="1" spans="1:9">
      <c r="A18" s="146" t="s">
        <v>422</v>
      </c>
      <c r="B18" s="163"/>
      <c r="C18" s="164">
        <v>-2.7</v>
      </c>
      <c r="D18" s="163"/>
      <c r="E18" s="164">
        <v>-1.5</v>
      </c>
      <c r="F18" s="163"/>
      <c r="G18" s="164">
        <v>-0.5</v>
      </c>
      <c r="H18" s="163"/>
      <c r="I18" s="164">
        <v>4.8</v>
      </c>
    </row>
    <row r="19" ht="22.5" customHeight="1" spans="1:9">
      <c r="A19" s="149" t="s">
        <v>81</v>
      </c>
      <c r="B19" s="163"/>
      <c r="C19" s="164">
        <v>0.2</v>
      </c>
      <c r="D19" s="163"/>
      <c r="E19" s="164">
        <v>13.9</v>
      </c>
      <c r="F19" s="163"/>
      <c r="G19" s="164">
        <v>1.6</v>
      </c>
      <c r="H19" s="163"/>
      <c r="I19" s="164">
        <v>-1.8</v>
      </c>
    </row>
    <row r="20" ht="22.5" customHeight="1" spans="1:9">
      <c r="A20" s="149" t="s">
        <v>82</v>
      </c>
      <c r="B20" s="163"/>
      <c r="C20" s="164">
        <v>17</v>
      </c>
      <c r="D20" s="163"/>
      <c r="E20" s="164">
        <v>-2.5</v>
      </c>
      <c r="F20" s="163"/>
      <c r="G20" s="164">
        <v>-6.8</v>
      </c>
      <c r="H20" s="163"/>
      <c r="I20" s="164">
        <v>-7.3</v>
      </c>
    </row>
    <row r="21" ht="22.5" customHeight="1" spans="1:9">
      <c r="A21" s="149" t="s">
        <v>83</v>
      </c>
      <c r="B21" s="163"/>
      <c r="C21" s="164">
        <v>-8.4</v>
      </c>
      <c r="D21" s="163"/>
      <c r="E21" s="164">
        <v>-13</v>
      </c>
      <c r="F21" s="163"/>
      <c r="G21" s="164">
        <v>-6</v>
      </c>
      <c r="H21" s="163"/>
      <c r="I21" s="164">
        <v>-1.2</v>
      </c>
    </row>
    <row r="22" ht="22.5" customHeight="1" spans="1:9">
      <c r="A22" s="149" t="s">
        <v>84</v>
      </c>
      <c r="B22" s="163"/>
      <c r="C22" s="165">
        <v>-4.3</v>
      </c>
      <c r="D22" s="163"/>
      <c r="E22" s="165">
        <v>-57.2</v>
      </c>
      <c r="F22" s="163"/>
      <c r="G22" s="165">
        <v>-58.2</v>
      </c>
      <c r="H22" s="163"/>
      <c r="I22" s="165">
        <v>-59.1</v>
      </c>
    </row>
    <row r="23" ht="22.5" customHeight="1" spans="1:9">
      <c r="A23" s="149" t="s">
        <v>85</v>
      </c>
      <c r="B23" s="163"/>
      <c r="C23" s="165">
        <v>0.1</v>
      </c>
      <c r="D23" s="163"/>
      <c r="E23" s="165">
        <v>-3.1</v>
      </c>
      <c r="F23" s="163"/>
      <c r="G23" s="165">
        <v>4</v>
      </c>
      <c r="H23" s="163"/>
      <c r="I23" s="165">
        <v>3.6</v>
      </c>
    </row>
    <row r="24" ht="22.5" customHeight="1" spans="1:9">
      <c r="A24" s="149" t="s">
        <v>86</v>
      </c>
      <c r="B24" s="163"/>
      <c r="C24" s="165">
        <v>13.3</v>
      </c>
      <c r="D24" s="163"/>
      <c r="E24" s="165">
        <v>11.6</v>
      </c>
      <c r="F24" s="163"/>
      <c r="G24" s="165">
        <v>1.4</v>
      </c>
      <c r="H24" s="163"/>
      <c r="I24" s="165">
        <v>-8.2</v>
      </c>
    </row>
    <row r="25" ht="22.5" customHeight="1" spans="1:9">
      <c r="A25" s="149" t="s">
        <v>87</v>
      </c>
      <c r="B25" s="163"/>
      <c r="C25" s="165">
        <v>31.5</v>
      </c>
      <c r="D25" s="163"/>
      <c r="E25" s="165">
        <v>145.3</v>
      </c>
      <c r="F25" s="163"/>
      <c r="G25" s="165">
        <v>137.9</v>
      </c>
      <c r="H25" s="163"/>
      <c r="I25" s="165">
        <v>130.3</v>
      </c>
    </row>
    <row r="26" ht="22.5" customHeight="1" spans="1:9">
      <c r="A26" s="149" t="s">
        <v>88</v>
      </c>
      <c r="B26" s="163"/>
      <c r="C26" s="165">
        <v>-2.1</v>
      </c>
      <c r="D26" s="163"/>
      <c r="E26" s="165">
        <v>15.4</v>
      </c>
      <c r="F26" s="163"/>
      <c r="G26" s="165">
        <v>12.8</v>
      </c>
      <c r="H26" s="163"/>
      <c r="I26" s="165">
        <v>11.5</v>
      </c>
    </row>
    <row r="27" ht="22.5" customHeight="1" spans="1:9">
      <c r="A27" s="149" t="s">
        <v>89</v>
      </c>
      <c r="B27" s="163"/>
      <c r="C27" s="165">
        <v>0.1</v>
      </c>
      <c r="D27" s="163"/>
      <c r="E27" s="165">
        <v>3.3</v>
      </c>
      <c r="F27" s="163"/>
      <c r="G27" s="165">
        <v>1.6</v>
      </c>
      <c r="H27" s="163"/>
      <c r="I27" s="165">
        <v>-2.6</v>
      </c>
    </row>
    <row r="28" ht="22.5" customHeight="1" spans="1:9">
      <c r="A28" s="153" t="s">
        <v>423</v>
      </c>
      <c r="B28" s="166"/>
      <c r="C28" s="167">
        <v>-1.7</v>
      </c>
      <c r="D28" s="166"/>
      <c r="E28" s="167">
        <v>2.6</v>
      </c>
      <c r="F28" s="166"/>
      <c r="G28" s="167">
        <v>3.5</v>
      </c>
      <c r="H28" s="166"/>
      <c r="I28" s="167">
        <v>15.3</v>
      </c>
    </row>
    <row r="29" s="159" customFormat="1" ht="64" customHeight="1" spans="1:133">
      <c r="A29" s="168" t="s">
        <v>432</v>
      </c>
      <c r="B29" s="168"/>
      <c r="C29" s="168"/>
      <c r="D29" s="168"/>
      <c r="E29" s="168"/>
      <c r="F29" s="168"/>
      <c r="G29" s="168"/>
      <c r="H29" s="168"/>
      <c r="I29" s="168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  <c r="BI29" s="160"/>
      <c r="BJ29" s="160"/>
      <c r="BK29" s="160"/>
      <c r="BL29" s="160"/>
      <c r="BM29" s="160"/>
      <c r="BN29" s="160"/>
      <c r="BO29" s="160"/>
      <c r="BP29" s="160"/>
      <c r="BQ29" s="160"/>
      <c r="BR29" s="160"/>
      <c r="BS29" s="160"/>
      <c r="BT29" s="160"/>
      <c r="BU29" s="160"/>
      <c r="BV29" s="160"/>
      <c r="BW29" s="160"/>
      <c r="BX29" s="160"/>
      <c r="BY29" s="160"/>
      <c r="BZ29" s="160"/>
      <c r="CA29" s="160"/>
      <c r="CB29" s="160"/>
      <c r="CC29" s="160"/>
      <c r="CD29" s="160"/>
      <c r="CE29" s="160"/>
      <c r="CF29" s="160"/>
      <c r="CG29" s="160"/>
      <c r="CH29" s="160"/>
      <c r="CI29" s="160"/>
      <c r="CJ29" s="160"/>
      <c r="CK29" s="160"/>
      <c r="CL29" s="160"/>
      <c r="CM29" s="160"/>
      <c r="CN29" s="160"/>
      <c r="CO29" s="160"/>
      <c r="CP29" s="160"/>
      <c r="CQ29" s="160"/>
      <c r="CR29" s="160"/>
      <c r="CS29" s="160"/>
      <c r="CT29" s="160"/>
      <c r="CU29" s="160"/>
      <c r="CV29" s="160"/>
      <c r="CW29" s="160"/>
      <c r="CX29" s="160"/>
      <c r="CY29" s="160"/>
      <c r="CZ29" s="160"/>
      <c r="DA29" s="160"/>
      <c r="DB29" s="160"/>
      <c r="DC29" s="160"/>
      <c r="DD29" s="160"/>
      <c r="DE29" s="160"/>
      <c r="DF29" s="160"/>
      <c r="DG29" s="160"/>
      <c r="DH29" s="160"/>
      <c r="DI29" s="160"/>
      <c r="DJ29" s="160"/>
      <c r="DK29" s="160"/>
      <c r="DL29" s="160"/>
      <c r="DM29" s="160"/>
      <c r="DN29" s="160"/>
      <c r="DO29" s="160"/>
      <c r="DP29" s="160"/>
      <c r="DQ29" s="160"/>
      <c r="DR29" s="160"/>
      <c r="DS29" s="160"/>
      <c r="DT29" s="160"/>
      <c r="DU29" s="160"/>
      <c r="DV29" s="160"/>
      <c r="DW29" s="160"/>
      <c r="DX29" s="160"/>
      <c r="DY29" s="160"/>
      <c r="DZ29" s="160"/>
      <c r="EA29" s="160"/>
      <c r="EB29" s="160"/>
      <c r="EC29" s="160"/>
    </row>
  </sheetData>
  <mergeCells count="7">
    <mergeCell ref="A1:I1"/>
    <mergeCell ref="B2:C2"/>
    <mergeCell ref="D2:E2"/>
    <mergeCell ref="F2:G2"/>
    <mergeCell ref="H2:I2"/>
    <mergeCell ref="A29:I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C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N24" sqref="N24"/>
    </sheetView>
  </sheetViews>
  <sheetFormatPr defaultColWidth="9" defaultRowHeight="14.25"/>
  <cols>
    <col min="1" max="1" width="36.7166666666667" style="160" customWidth="1"/>
    <col min="2" max="2" width="12.025" style="160" customWidth="1"/>
    <col min="3" max="5" width="11.0833333333333" style="160" customWidth="1"/>
    <col min="6" max="6" width="12.6583333333333" style="160" customWidth="1"/>
    <col min="7" max="7" width="11.25" style="160" customWidth="1"/>
    <col min="8" max="133" width="9" style="160"/>
    <col min="134" max="16384" width="9" style="159"/>
  </cols>
  <sheetData>
    <row r="1" s="159" customFormat="1" ht="28.5" customHeight="1" spans="1:133">
      <c r="A1" s="136" t="s">
        <v>433</v>
      </c>
      <c r="B1" s="136"/>
      <c r="C1" s="136"/>
      <c r="D1" s="136"/>
      <c r="E1" s="136"/>
      <c r="F1" s="136"/>
      <c r="G1" s="136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</row>
    <row r="2" ht="21" customHeight="1" spans="1:7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</row>
    <row r="3" ht="29" customHeight="1" spans="1:7">
      <c r="A3" s="140"/>
      <c r="B3" s="141" t="s">
        <v>7</v>
      </c>
      <c r="C3" s="142" t="s">
        <v>8</v>
      </c>
      <c r="D3" s="141" t="s">
        <v>7</v>
      </c>
      <c r="E3" s="142" t="s">
        <v>8</v>
      </c>
      <c r="F3" s="141" t="s">
        <v>7</v>
      </c>
      <c r="G3" s="142" t="s">
        <v>8</v>
      </c>
    </row>
    <row r="4" s="159" customFormat="1" ht="33" customHeight="1" spans="1:133">
      <c r="A4" s="143" t="s">
        <v>434</v>
      </c>
      <c r="B4" s="161"/>
      <c r="C4" s="162"/>
      <c r="D4" s="161"/>
      <c r="E4" s="162"/>
      <c r="F4" s="161"/>
      <c r="G4" s="162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</row>
    <row r="5" s="159" customFormat="1" ht="22.5" customHeight="1" spans="1:133">
      <c r="A5" s="146" t="s">
        <v>422</v>
      </c>
      <c r="B5" s="163">
        <v>125.35695</v>
      </c>
      <c r="C5" s="164">
        <v>-13</v>
      </c>
      <c r="D5" s="163">
        <v>27.19969</v>
      </c>
      <c r="E5" s="164">
        <v>-10.9</v>
      </c>
      <c r="F5" s="163">
        <v>41.0498</v>
      </c>
      <c r="G5" s="164">
        <v>-10.4</v>
      </c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</row>
    <row r="6" ht="22.5" customHeight="1" spans="1:7">
      <c r="A6" s="149" t="s">
        <v>81</v>
      </c>
      <c r="B6" s="163">
        <v>3.46</v>
      </c>
      <c r="C6" s="164">
        <v>-27.2</v>
      </c>
      <c r="D6" s="163">
        <v>0.58762</v>
      </c>
      <c r="E6" s="164">
        <v>-34.9</v>
      </c>
      <c r="F6" s="163">
        <v>0.86629</v>
      </c>
      <c r="G6" s="164">
        <v>-22.9</v>
      </c>
    </row>
    <row r="7" ht="22.5" customHeight="1" spans="1:7">
      <c r="A7" s="149" t="s">
        <v>82</v>
      </c>
      <c r="B7" s="163">
        <v>0.72499</v>
      </c>
      <c r="C7" s="164">
        <v>-88</v>
      </c>
      <c r="D7" s="163">
        <v>1.65398</v>
      </c>
      <c r="E7" s="164">
        <v>38.4</v>
      </c>
      <c r="F7" s="163">
        <v>1.31073</v>
      </c>
      <c r="G7" s="164">
        <v>357.1</v>
      </c>
    </row>
    <row r="8" ht="22.5" customHeight="1" spans="1:7">
      <c r="A8" s="149" t="s">
        <v>83</v>
      </c>
      <c r="B8" s="163">
        <v>103.04564</v>
      </c>
      <c r="C8" s="164">
        <v>-3</v>
      </c>
      <c r="D8" s="163">
        <v>18.4925</v>
      </c>
      <c r="E8" s="164">
        <v>-20.1</v>
      </c>
      <c r="F8" s="163">
        <v>27.0562</v>
      </c>
      <c r="G8" s="164">
        <v>-19.9</v>
      </c>
    </row>
    <row r="9" ht="22.5" customHeight="1" spans="1:7">
      <c r="A9" s="149" t="s">
        <v>84</v>
      </c>
      <c r="B9" s="163">
        <v>-3.27734</v>
      </c>
      <c r="C9" s="164">
        <v>-132.6</v>
      </c>
      <c r="D9" s="163">
        <v>-2.25511</v>
      </c>
      <c r="E9" s="164">
        <v>-991</v>
      </c>
      <c r="F9" s="163">
        <v>-3.4385</v>
      </c>
      <c r="G9" s="164">
        <v>-899.2</v>
      </c>
    </row>
    <row r="10" ht="22.5" customHeight="1" spans="1:7">
      <c r="A10" s="149" t="s">
        <v>85</v>
      </c>
      <c r="B10" s="163">
        <v>0.25488</v>
      </c>
      <c r="C10" s="164">
        <v>110.5</v>
      </c>
      <c r="D10" s="163">
        <v>-0.32707</v>
      </c>
      <c r="E10" s="164">
        <v>-1170.6</v>
      </c>
      <c r="F10" s="163">
        <v>-0.66907</v>
      </c>
      <c r="G10" s="164">
        <v>-387.3</v>
      </c>
    </row>
    <row r="11" ht="22.5" customHeight="1" spans="1:7">
      <c r="A11" s="149" t="s">
        <v>86</v>
      </c>
      <c r="B11" s="163">
        <v>9.51805</v>
      </c>
      <c r="C11" s="164">
        <v>93.6</v>
      </c>
      <c r="D11" s="163">
        <v>2.11709</v>
      </c>
      <c r="E11" s="164">
        <v>-13.1</v>
      </c>
      <c r="F11" s="163">
        <v>3.07578</v>
      </c>
      <c r="G11" s="164">
        <v>-18.4</v>
      </c>
    </row>
    <row r="12" ht="22.5" customHeight="1" spans="1:7">
      <c r="A12" s="149" t="s">
        <v>87</v>
      </c>
      <c r="B12" s="163">
        <v>5.6929</v>
      </c>
      <c r="C12" s="164">
        <v>8</v>
      </c>
      <c r="D12" s="163">
        <v>1.14702</v>
      </c>
      <c r="E12" s="164">
        <v>439.2</v>
      </c>
      <c r="F12" s="163">
        <v>2.68172</v>
      </c>
      <c r="G12" s="164">
        <v>406.4</v>
      </c>
    </row>
    <row r="13" ht="22.5" customHeight="1" spans="1:7">
      <c r="A13" s="149" t="s">
        <v>88</v>
      </c>
      <c r="B13" s="163">
        <v>-0.76795</v>
      </c>
      <c r="C13" s="164">
        <v>86.3</v>
      </c>
      <c r="D13" s="163">
        <v>0.14757</v>
      </c>
      <c r="E13" s="164">
        <v>135.2</v>
      </c>
      <c r="F13" s="163">
        <v>-0.17913</v>
      </c>
      <c r="G13" s="164">
        <v>80.3</v>
      </c>
    </row>
    <row r="14" ht="22.5" customHeight="1" spans="1:7">
      <c r="A14" s="149" t="s">
        <v>89</v>
      </c>
      <c r="B14" s="163">
        <v>1.59116</v>
      </c>
      <c r="C14" s="164">
        <v>-35.8</v>
      </c>
      <c r="D14" s="163">
        <v>0.12507</v>
      </c>
      <c r="E14" s="164">
        <v>-52</v>
      </c>
      <c r="F14" s="163">
        <v>0.23104</v>
      </c>
      <c r="G14" s="164">
        <v>-25.4</v>
      </c>
    </row>
    <row r="15" ht="22.5" customHeight="1" spans="1:7">
      <c r="A15" s="149" t="s">
        <v>423</v>
      </c>
      <c r="B15" s="163">
        <v>-3.85895</v>
      </c>
      <c r="C15" s="164">
        <v>-122</v>
      </c>
      <c r="D15" s="163">
        <v>6.53657</v>
      </c>
      <c r="E15" s="164">
        <v>69.7</v>
      </c>
      <c r="F15" s="163">
        <v>10.19242</v>
      </c>
      <c r="G15" s="164">
        <v>51.7</v>
      </c>
    </row>
    <row r="16" ht="19.5" customHeight="1" spans="1:7">
      <c r="A16" s="149"/>
      <c r="B16" s="163"/>
      <c r="C16" s="164"/>
      <c r="D16" s="163"/>
      <c r="E16" s="164"/>
      <c r="F16" s="163"/>
      <c r="G16" s="164"/>
    </row>
    <row r="17" ht="33" customHeight="1" spans="1:7">
      <c r="A17" s="150" t="s">
        <v>435</v>
      </c>
      <c r="B17" s="163"/>
      <c r="C17" s="164"/>
      <c r="D17" s="163"/>
      <c r="E17" s="164"/>
      <c r="F17" s="163"/>
      <c r="G17" s="164"/>
    </row>
    <row r="18" ht="22.5" customHeight="1" spans="1:7">
      <c r="A18" s="146" t="s">
        <v>422</v>
      </c>
      <c r="B18" s="163">
        <v>3252.6854</v>
      </c>
      <c r="C18" s="164">
        <v>-5</v>
      </c>
      <c r="D18" s="163">
        <v>502.99101</v>
      </c>
      <c r="E18" s="164">
        <v>-9.9</v>
      </c>
      <c r="F18" s="163">
        <v>762.13988</v>
      </c>
      <c r="G18" s="164">
        <v>-8.2</v>
      </c>
    </row>
    <row r="19" ht="22.5" customHeight="1" spans="1:7">
      <c r="A19" s="149" t="s">
        <v>81</v>
      </c>
      <c r="B19" s="163">
        <v>121.6385</v>
      </c>
      <c r="C19" s="164">
        <v>-4.1</v>
      </c>
      <c r="D19" s="163">
        <v>19.63909</v>
      </c>
      <c r="E19" s="164">
        <v>-12.3</v>
      </c>
      <c r="F19" s="163">
        <v>29.51531</v>
      </c>
      <c r="G19" s="164">
        <v>-16.3</v>
      </c>
    </row>
    <row r="20" ht="22.5" customHeight="1" spans="1:7">
      <c r="A20" s="149" t="s">
        <v>82</v>
      </c>
      <c r="B20" s="163">
        <v>463.43583</v>
      </c>
      <c r="C20" s="164">
        <v>-7.7</v>
      </c>
      <c r="D20" s="163">
        <v>66.96604</v>
      </c>
      <c r="E20" s="164">
        <v>-22.4</v>
      </c>
      <c r="F20" s="163">
        <v>86.81502</v>
      </c>
      <c r="G20" s="164">
        <v>-27.4</v>
      </c>
    </row>
    <row r="21" ht="22.5" customHeight="1" spans="1:7">
      <c r="A21" s="149" t="s">
        <v>83</v>
      </c>
      <c r="B21" s="163">
        <v>301.58098</v>
      </c>
      <c r="C21" s="164">
        <v>-4.2</v>
      </c>
      <c r="D21" s="163">
        <v>44.32736</v>
      </c>
      <c r="E21" s="164">
        <v>-15.4</v>
      </c>
      <c r="F21" s="163">
        <v>69.86409</v>
      </c>
      <c r="G21" s="164">
        <v>-11.4</v>
      </c>
    </row>
    <row r="22" ht="22.5" customHeight="1" spans="1:7">
      <c r="A22" s="149" t="s">
        <v>84</v>
      </c>
      <c r="B22" s="163">
        <v>184.4997</v>
      </c>
      <c r="C22" s="165">
        <v>2.9</v>
      </c>
      <c r="D22" s="163">
        <v>13.4569</v>
      </c>
      <c r="E22" s="165">
        <v>-61.2</v>
      </c>
      <c r="F22" s="163">
        <v>20.40475</v>
      </c>
      <c r="G22" s="165">
        <v>-58.4</v>
      </c>
    </row>
    <row r="23" ht="22.5" customHeight="1" spans="1:7">
      <c r="A23" s="149" t="s">
        <v>85</v>
      </c>
      <c r="B23" s="163">
        <v>87.59792</v>
      </c>
      <c r="C23" s="165">
        <v>-10.5</v>
      </c>
      <c r="D23" s="163">
        <v>11.47039</v>
      </c>
      <c r="E23" s="165">
        <v>-19</v>
      </c>
      <c r="F23" s="163">
        <v>18.09775</v>
      </c>
      <c r="G23" s="165">
        <v>-9.9</v>
      </c>
    </row>
    <row r="24" ht="22.5" customHeight="1" spans="1:7">
      <c r="A24" s="149" t="s">
        <v>86</v>
      </c>
      <c r="B24" s="163">
        <v>47.10851</v>
      </c>
      <c r="C24" s="165">
        <v>-4.4</v>
      </c>
      <c r="D24" s="163">
        <v>8.21877</v>
      </c>
      <c r="E24" s="165">
        <v>-1.7</v>
      </c>
      <c r="F24" s="163">
        <v>11.91952</v>
      </c>
      <c r="G24" s="165">
        <v>-9.4</v>
      </c>
    </row>
    <row r="25" ht="22.5" customHeight="1" spans="1:7">
      <c r="A25" s="149" t="s">
        <v>87</v>
      </c>
      <c r="B25" s="163">
        <v>103.55943</v>
      </c>
      <c r="C25" s="165">
        <v>-5.3</v>
      </c>
      <c r="D25" s="163">
        <v>19.33186</v>
      </c>
      <c r="E25" s="165">
        <v>44</v>
      </c>
      <c r="F25" s="163">
        <v>32.13066</v>
      </c>
      <c r="G25" s="165">
        <v>48.8</v>
      </c>
    </row>
    <row r="26" ht="22.5" customHeight="1" spans="1:7">
      <c r="A26" s="149" t="s">
        <v>88</v>
      </c>
      <c r="B26" s="163">
        <v>227.72892</v>
      </c>
      <c r="C26" s="165">
        <v>-6.9</v>
      </c>
      <c r="D26" s="163">
        <v>38.62699</v>
      </c>
      <c r="E26" s="165">
        <v>7.2</v>
      </c>
      <c r="F26" s="163">
        <v>59.02364</v>
      </c>
      <c r="G26" s="165">
        <v>9.1</v>
      </c>
    </row>
    <row r="27" ht="22.5" customHeight="1" spans="1:7">
      <c r="A27" s="149" t="s">
        <v>89</v>
      </c>
      <c r="B27" s="163">
        <v>151.29639</v>
      </c>
      <c r="C27" s="165">
        <v>-5.2</v>
      </c>
      <c r="D27" s="163">
        <v>21.19085</v>
      </c>
      <c r="E27" s="165">
        <v>-3.3</v>
      </c>
      <c r="F27" s="163">
        <v>32.04252</v>
      </c>
      <c r="G27" s="165">
        <v>-3.2</v>
      </c>
    </row>
    <row r="28" ht="22.5" customHeight="1" spans="1:7">
      <c r="A28" s="153" t="s">
        <v>423</v>
      </c>
      <c r="B28" s="166">
        <v>1796.9932</v>
      </c>
      <c r="C28" s="167">
        <v>-4.6</v>
      </c>
      <c r="D28" s="166">
        <v>271.44054</v>
      </c>
      <c r="E28" s="167">
        <v>-3.4</v>
      </c>
      <c r="F28" s="166">
        <v>406.74004</v>
      </c>
      <c r="G28" s="167">
        <v>-1.5</v>
      </c>
    </row>
    <row r="29" ht="50" customHeight="1" spans="1:5">
      <c r="A29" s="168"/>
      <c r="B29" s="168"/>
      <c r="C29" s="168"/>
      <c r="D29" s="168"/>
      <c r="E29" s="168"/>
    </row>
  </sheetData>
  <mergeCells count="5">
    <mergeCell ref="A1:G1"/>
    <mergeCell ref="B2:C2"/>
    <mergeCell ref="D2:E2"/>
    <mergeCell ref="F2:G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L24" sqref="L24"/>
    </sheetView>
  </sheetViews>
  <sheetFormatPr defaultColWidth="9" defaultRowHeight="14.25"/>
  <cols>
    <col min="1" max="1" width="25.625" style="134" customWidth="1"/>
    <col min="2" max="2" width="10.375" style="134"/>
    <col min="3" max="7" width="9.375" style="134"/>
    <col min="8" max="8" width="10.375" style="134"/>
    <col min="9" max="9" width="9.375" style="134"/>
    <col min="10" max="158" width="9" style="134"/>
    <col min="159" max="16384" width="9" style="135"/>
  </cols>
  <sheetData>
    <row r="1" ht="28.5" customHeight="1" spans="1:9">
      <c r="A1" s="136" t="s">
        <v>436</v>
      </c>
      <c r="B1" s="136"/>
      <c r="C1" s="136"/>
      <c r="D1" s="136"/>
      <c r="E1" s="136"/>
      <c r="F1" s="136"/>
      <c r="G1" s="136"/>
      <c r="H1" s="136"/>
      <c r="I1" s="136"/>
    </row>
    <row r="2" ht="21" customHeight="1" spans="1:9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</row>
    <row r="3" ht="21" customHeight="1" spans="1:9">
      <c r="A3" s="140"/>
      <c r="B3" s="141" t="s">
        <v>7</v>
      </c>
      <c r="C3" s="142" t="s">
        <v>8</v>
      </c>
      <c r="D3" s="141" t="s">
        <v>7</v>
      </c>
      <c r="E3" s="142" t="s">
        <v>8</v>
      </c>
      <c r="F3" s="141" t="s">
        <v>7</v>
      </c>
      <c r="G3" s="142" t="s">
        <v>8</v>
      </c>
      <c r="H3" s="141" t="s">
        <v>7</v>
      </c>
      <c r="I3" s="142" t="s">
        <v>8</v>
      </c>
    </row>
    <row r="4" ht="33" customHeight="1" spans="1:9">
      <c r="A4" s="143" t="s">
        <v>294</v>
      </c>
      <c r="B4" s="144"/>
      <c r="C4" s="145"/>
      <c r="D4" s="144"/>
      <c r="E4" s="145"/>
      <c r="F4" s="144"/>
      <c r="G4" s="145"/>
      <c r="H4" s="144"/>
      <c r="I4" s="145"/>
    </row>
    <row r="5" ht="24" customHeight="1" spans="1:9">
      <c r="A5" s="146" t="s">
        <v>422</v>
      </c>
      <c r="B5" s="147">
        <v>1987.45464</v>
      </c>
      <c r="C5" s="148">
        <v>1.53</v>
      </c>
      <c r="D5" s="147">
        <v>259.8447</v>
      </c>
      <c r="E5" s="148">
        <v>1.01</v>
      </c>
      <c r="F5" s="147">
        <v>381.62659</v>
      </c>
      <c r="G5" s="148">
        <v>1.6495</v>
      </c>
      <c r="H5" s="147">
        <v>504.339</v>
      </c>
      <c r="I5" s="148">
        <v>1.84</v>
      </c>
    </row>
    <row r="6" ht="24" customHeight="1" spans="1:9">
      <c r="A6" s="149" t="s">
        <v>81</v>
      </c>
      <c r="B6" s="147">
        <v>452.76074</v>
      </c>
      <c r="C6" s="148">
        <v>1.24</v>
      </c>
      <c r="D6" s="147">
        <v>41.74836</v>
      </c>
      <c r="E6" s="148">
        <v>-0.08</v>
      </c>
      <c r="F6" s="147">
        <v>61.77109</v>
      </c>
      <c r="G6" s="148">
        <v>0.14</v>
      </c>
      <c r="H6" s="147">
        <v>81.4502</v>
      </c>
      <c r="I6" s="148">
        <v>-0.07</v>
      </c>
    </row>
    <row r="7" ht="24" customHeight="1" spans="1:9">
      <c r="A7" s="149" t="s">
        <v>82</v>
      </c>
      <c r="B7" s="147">
        <v>366.33754</v>
      </c>
      <c r="C7" s="148">
        <v>0.95</v>
      </c>
      <c r="D7" s="147">
        <v>41.65635</v>
      </c>
      <c r="E7" s="148">
        <v>-1</v>
      </c>
      <c r="F7" s="147">
        <v>61.63399</v>
      </c>
      <c r="G7" s="148">
        <v>0.41</v>
      </c>
      <c r="H7" s="147">
        <v>82.72958</v>
      </c>
      <c r="I7" s="148">
        <v>1.2</v>
      </c>
    </row>
    <row r="8" ht="24" customHeight="1" spans="1:9">
      <c r="A8" s="149" t="s">
        <v>83</v>
      </c>
      <c r="B8" s="147">
        <v>48.14113</v>
      </c>
      <c r="C8" s="148">
        <v>2.56</v>
      </c>
      <c r="D8" s="147">
        <v>7.63626</v>
      </c>
      <c r="E8" s="148">
        <v>1.91</v>
      </c>
      <c r="F8" s="147">
        <v>10.9069</v>
      </c>
      <c r="G8" s="148">
        <v>1.56</v>
      </c>
      <c r="H8" s="147">
        <v>14.44</v>
      </c>
      <c r="I8" s="148">
        <v>1.3</v>
      </c>
    </row>
    <row r="9" ht="24" customHeight="1" spans="1:9">
      <c r="A9" s="149" t="s">
        <v>84</v>
      </c>
      <c r="B9" s="147">
        <v>161.14152</v>
      </c>
      <c r="C9" s="148">
        <v>0.9</v>
      </c>
      <c r="D9" s="147">
        <v>32.48778</v>
      </c>
      <c r="E9" s="148">
        <v>1.26</v>
      </c>
      <c r="F9" s="147">
        <v>47.66182</v>
      </c>
      <c r="G9" s="148">
        <v>1.14</v>
      </c>
      <c r="H9" s="147">
        <v>62.50953</v>
      </c>
      <c r="I9" s="148">
        <v>1.06</v>
      </c>
    </row>
    <row r="10" ht="24" customHeight="1" spans="1:9">
      <c r="A10" s="149" t="s">
        <v>85</v>
      </c>
      <c r="B10" s="147">
        <v>176.61394</v>
      </c>
      <c r="C10" s="148">
        <v>1.62</v>
      </c>
      <c r="D10" s="147">
        <v>27.57005</v>
      </c>
      <c r="E10" s="148">
        <v>2.21</v>
      </c>
      <c r="F10" s="147">
        <v>40.41333</v>
      </c>
      <c r="G10" s="148">
        <v>2.01</v>
      </c>
      <c r="H10" s="147">
        <v>53.28821</v>
      </c>
      <c r="I10" s="148">
        <v>2.01</v>
      </c>
    </row>
    <row r="11" ht="24" customHeight="1" spans="1:9">
      <c r="A11" s="149" t="s">
        <v>86</v>
      </c>
      <c r="B11" s="147">
        <v>81.63372</v>
      </c>
      <c r="C11" s="148">
        <v>1.91</v>
      </c>
      <c r="D11" s="147">
        <v>17.79687</v>
      </c>
      <c r="E11" s="148">
        <v>2.1</v>
      </c>
      <c r="F11" s="147">
        <v>26.05688</v>
      </c>
      <c r="G11" s="148">
        <v>1.7</v>
      </c>
      <c r="H11" s="147">
        <v>34.36023</v>
      </c>
      <c r="I11" s="148">
        <v>1.56</v>
      </c>
    </row>
    <row r="12" ht="24" customHeight="1" spans="1:9">
      <c r="A12" s="149" t="s">
        <v>87</v>
      </c>
      <c r="B12" s="147">
        <v>197.93671</v>
      </c>
      <c r="C12" s="148">
        <v>1.73</v>
      </c>
      <c r="D12" s="147">
        <v>29.84095</v>
      </c>
      <c r="E12" s="148">
        <v>1.22</v>
      </c>
      <c r="F12" s="147">
        <v>43.28281</v>
      </c>
      <c r="G12" s="148">
        <v>0.9</v>
      </c>
      <c r="H12" s="147">
        <v>57.0917</v>
      </c>
      <c r="I12" s="148">
        <v>0.81</v>
      </c>
    </row>
    <row r="13" ht="24" customHeight="1" spans="1:9">
      <c r="A13" s="149" t="s">
        <v>88</v>
      </c>
      <c r="B13" s="147">
        <v>160.41507</v>
      </c>
      <c r="C13" s="148">
        <v>2.51</v>
      </c>
      <c r="D13" s="147">
        <v>24.49671</v>
      </c>
      <c r="E13" s="148">
        <v>1.98</v>
      </c>
      <c r="F13" s="147">
        <v>36.3394</v>
      </c>
      <c r="G13" s="148">
        <v>1.31</v>
      </c>
      <c r="H13" s="147">
        <v>47.75062</v>
      </c>
      <c r="I13" s="148">
        <v>1.44</v>
      </c>
    </row>
    <row r="14" ht="24" customHeight="1" spans="1:9">
      <c r="A14" s="149" t="s">
        <v>89</v>
      </c>
      <c r="B14" s="147">
        <v>342.47423</v>
      </c>
      <c r="C14" s="148">
        <v>1.99</v>
      </c>
      <c r="D14" s="147">
        <v>36.61137</v>
      </c>
      <c r="E14" s="148">
        <v>1.95</v>
      </c>
      <c r="F14" s="147">
        <v>53.56037</v>
      </c>
      <c r="G14" s="148">
        <v>1.74</v>
      </c>
      <c r="H14" s="147">
        <v>70.71895</v>
      </c>
      <c r="I14" s="148">
        <v>1.55</v>
      </c>
    </row>
    <row r="15" ht="24" customHeight="1" spans="1:9">
      <c r="A15" s="149" t="s">
        <v>423</v>
      </c>
      <c r="B15" s="147">
        <v>132.64813</v>
      </c>
      <c r="C15" s="148">
        <v>4.69</v>
      </c>
      <c r="D15" s="147">
        <v>22.15132</v>
      </c>
      <c r="E15" s="148">
        <v>3.81</v>
      </c>
      <c r="F15" s="147">
        <v>33.15438</v>
      </c>
      <c r="G15" s="148">
        <v>4.73</v>
      </c>
      <c r="H15" s="147">
        <v>44.56394</v>
      </c>
      <c r="I15" s="148">
        <v>5.15</v>
      </c>
    </row>
    <row r="16" ht="22.9" customHeight="1" spans="1:9">
      <c r="A16" s="149"/>
      <c r="B16" s="158"/>
      <c r="C16" s="157"/>
      <c r="D16" s="158"/>
      <c r="E16" s="157"/>
      <c r="F16" s="158"/>
      <c r="G16" s="157"/>
      <c r="H16" s="158"/>
      <c r="I16" s="157"/>
    </row>
    <row r="17" ht="33" customHeight="1" spans="1:9">
      <c r="A17" s="150" t="s">
        <v>437</v>
      </c>
      <c r="B17" s="158"/>
      <c r="C17" s="157"/>
      <c r="D17" s="158"/>
      <c r="E17" s="157"/>
      <c r="F17" s="158"/>
      <c r="G17" s="157"/>
      <c r="H17" s="158"/>
      <c r="I17" s="157"/>
    </row>
    <row r="18" ht="24" customHeight="1" spans="1:9">
      <c r="A18" s="146" t="s">
        <v>422</v>
      </c>
      <c r="B18" s="147"/>
      <c r="C18" s="148">
        <v>-11.3</v>
      </c>
      <c r="D18" s="147"/>
      <c r="E18" s="148">
        <v>8.6</v>
      </c>
      <c r="F18" s="147"/>
      <c r="G18" s="148">
        <v>8.7</v>
      </c>
      <c r="H18" s="147"/>
      <c r="I18" s="148">
        <v>4.67883866873623</v>
      </c>
    </row>
    <row r="19" ht="24" customHeight="1" spans="1:9">
      <c r="A19" s="149" t="s">
        <v>81</v>
      </c>
      <c r="B19" s="151"/>
      <c r="C19" s="152">
        <v>-28</v>
      </c>
      <c r="D19" s="151"/>
      <c r="E19" s="152">
        <v>-30.5</v>
      </c>
      <c r="F19" s="151"/>
      <c r="G19" s="152">
        <v>-25.6</v>
      </c>
      <c r="H19" s="151"/>
      <c r="I19" s="152">
        <v>-23.8506655945213</v>
      </c>
    </row>
    <row r="20" ht="24" customHeight="1" spans="1:9">
      <c r="A20" s="149" t="s">
        <v>82</v>
      </c>
      <c r="B20" s="147"/>
      <c r="C20" s="148">
        <v>-26</v>
      </c>
      <c r="D20" s="147"/>
      <c r="E20" s="148">
        <v>76.2</v>
      </c>
      <c r="F20" s="147"/>
      <c r="G20" s="148">
        <v>39.6</v>
      </c>
      <c r="H20" s="147"/>
      <c r="I20" s="148">
        <v>49.9374138752135</v>
      </c>
    </row>
    <row r="21" ht="24" customHeight="1" spans="1:9">
      <c r="A21" s="149" t="s">
        <v>83</v>
      </c>
      <c r="B21" s="147"/>
      <c r="C21" s="148">
        <v>-21.4</v>
      </c>
      <c r="D21" s="147"/>
      <c r="E21" s="148">
        <v>1.1</v>
      </c>
      <c r="F21" s="147"/>
      <c r="G21" s="148">
        <v>3.3</v>
      </c>
      <c r="H21" s="147"/>
      <c r="I21" s="148">
        <v>6.7422790281984</v>
      </c>
    </row>
    <row r="22" ht="24" customHeight="1" spans="1:9">
      <c r="A22" s="149" t="s">
        <v>84</v>
      </c>
      <c r="B22" s="147"/>
      <c r="C22" s="148">
        <v>-19.2</v>
      </c>
      <c r="D22" s="147"/>
      <c r="E22" s="148">
        <v>21.3</v>
      </c>
      <c r="F22" s="147"/>
      <c r="G22" s="148">
        <v>12.6</v>
      </c>
      <c r="H22" s="147"/>
      <c r="I22" s="148">
        <v>7.35426908800483</v>
      </c>
    </row>
    <row r="23" ht="24" customHeight="1" spans="1:9">
      <c r="A23" s="149" t="s">
        <v>85</v>
      </c>
      <c r="B23" s="147"/>
      <c r="C23" s="148">
        <v>-36.3</v>
      </c>
      <c r="D23" s="147"/>
      <c r="E23" s="148">
        <v>40.2</v>
      </c>
      <c r="F23" s="147"/>
      <c r="G23" s="148">
        <v>0.2</v>
      </c>
      <c r="H23" s="147"/>
      <c r="I23" s="148">
        <v>0.60437751111786</v>
      </c>
    </row>
    <row r="24" ht="24" customHeight="1" spans="1:9">
      <c r="A24" s="149" t="s">
        <v>86</v>
      </c>
      <c r="B24" s="147"/>
      <c r="C24" s="148">
        <v>-31</v>
      </c>
      <c r="D24" s="147"/>
      <c r="E24" s="148">
        <v>1.1</v>
      </c>
      <c r="F24" s="147"/>
      <c r="G24" s="148">
        <v>15.7</v>
      </c>
      <c r="H24" s="147"/>
      <c r="I24" s="148">
        <v>6.96480671943714</v>
      </c>
    </row>
    <row r="25" ht="24" customHeight="1" spans="1:9">
      <c r="A25" s="149" t="s">
        <v>87</v>
      </c>
      <c r="B25" s="147"/>
      <c r="C25" s="148">
        <v>10.4</v>
      </c>
      <c r="D25" s="147"/>
      <c r="E25" s="148">
        <v>-16.7</v>
      </c>
      <c r="F25" s="147"/>
      <c r="G25" s="148">
        <v>-17.8</v>
      </c>
      <c r="H25" s="147"/>
      <c r="I25" s="148">
        <v>-15.8294681156626</v>
      </c>
    </row>
    <row r="26" ht="24" customHeight="1" spans="1:9">
      <c r="A26" s="149" t="s">
        <v>88</v>
      </c>
      <c r="B26" s="147"/>
      <c r="C26" s="148">
        <v>-14.2</v>
      </c>
      <c r="D26" s="147"/>
      <c r="E26" s="148">
        <v>-6.8</v>
      </c>
      <c r="F26" s="147"/>
      <c r="G26" s="148">
        <v>2.4</v>
      </c>
      <c r="H26" s="147"/>
      <c r="I26" s="148">
        <v>-4.02623456916287</v>
      </c>
    </row>
    <row r="27" ht="24" customHeight="1" spans="1:9">
      <c r="A27" s="149" t="s">
        <v>89</v>
      </c>
      <c r="B27" s="147"/>
      <c r="C27" s="148">
        <v>0.7</v>
      </c>
      <c r="D27" s="147"/>
      <c r="E27" s="148">
        <v>36.8</v>
      </c>
      <c r="F27" s="147"/>
      <c r="G27" s="148">
        <v>52.1</v>
      </c>
      <c r="H27" s="147"/>
      <c r="I27" s="148">
        <v>39.3597187421144</v>
      </c>
    </row>
    <row r="28" ht="24" customHeight="1" spans="1:9">
      <c r="A28" s="153" t="s">
        <v>438</v>
      </c>
      <c r="B28" s="154"/>
      <c r="C28" s="155">
        <v>9.8</v>
      </c>
      <c r="D28" s="154"/>
      <c r="E28" s="155">
        <v>-4.6</v>
      </c>
      <c r="F28" s="154"/>
      <c r="G28" s="155">
        <v>6</v>
      </c>
      <c r="H28" s="154"/>
      <c r="I28" s="155">
        <v>-7.54033387877149</v>
      </c>
    </row>
    <row r="29" ht="78" customHeight="1" spans="1:9">
      <c r="A29" s="156" t="s">
        <v>439</v>
      </c>
      <c r="B29" s="156"/>
      <c r="C29" s="156"/>
      <c r="D29" s="156"/>
      <c r="E29" s="156"/>
      <c r="F29" s="156"/>
      <c r="G29" s="156"/>
      <c r="H29" s="156"/>
      <c r="I29" s="156"/>
    </row>
  </sheetData>
  <mergeCells count="7">
    <mergeCell ref="A1:I1"/>
    <mergeCell ref="B2:C2"/>
    <mergeCell ref="D2:E2"/>
    <mergeCell ref="F2:G2"/>
    <mergeCell ref="H2:I2"/>
    <mergeCell ref="A29:I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B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L23" sqref="L23"/>
    </sheetView>
  </sheetViews>
  <sheetFormatPr defaultColWidth="9" defaultRowHeight="14.25"/>
  <cols>
    <col min="1" max="1" width="25.625" style="134" customWidth="1"/>
    <col min="2" max="2" width="11.7166666666667" style="134" customWidth="1"/>
    <col min="3" max="3" width="9" style="134"/>
    <col min="4" max="4" width="10.4666666666667" style="134" customWidth="1"/>
    <col min="5" max="7" width="9" style="134"/>
    <col min="8" max="8" width="11.7166666666667" style="134" customWidth="1"/>
    <col min="9" max="156" width="9" style="134"/>
    <col min="157" max="16384" width="9" style="135"/>
  </cols>
  <sheetData>
    <row r="1" ht="28.5" customHeight="1" spans="1:9">
      <c r="A1" s="136" t="s">
        <v>440</v>
      </c>
      <c r="B1" s="136"/>
      <c r="C1" s="136"/>
      <c r="D1" s="136"/>
      <c r="E1" s="136"/>
      <c r="F1" s="136"/>
      <c r="G1" s="136"/>
      <c r="H1" s="136"/>
      <c r="I1" s="136"/>
    </row>
    <row r="2" ht="21" customHeight="1" spans="1:9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</row>
    <row r="3" ht="37" customHeight="1" spans="1:9">
      <c r="A3" s="140"/>
      <c r="B3" s="141" t="s">
        <v>7</v>
      </c>
      <c r="C3" s="142" t="s">
        <v>8</v>
      </c>
      <c r="D3" s="141" t="s">
        <v>7</v>
      </c>
      <c r="E3" s="142" t="s">
        <v>8</v>
      </c>
      <c r="F3" s="141" t="s">
        <v>7</v>
      </c>
      <c r="G3" s="142" t="s">
        <v>8</v>
      </c>
      <c r="H3" s="141" t="s">
        <v>7</v>
      </c>
      <c r="I3" s="142" t="s">
        <v>8</v>
      </c>
    </row>
    <row r="4" ht="33" customHeight="1" spans="1:9">
      <c r="A4" s="143" t="s">
        <v>441</v>
      </c>
      <c r="B4" s="144"/>
      <c r="C4" s="145"/>
      <c r="D4" s="144"/>
      <c r="E4" s="145"/>
      <c r="F4" s="144"/>
      <c r="G4" s="145"/>
      <c r="H4" s="144"/>
      <c r="I4" s="145"/>
    </row>
    <row r="5" ht="24" customHeight="1" spans="1:9">
      <c r="A5" s="146" t="s">
        <v>422</v>
      </c>
      <c r="B5" s="147"/>
      <c r="C5" s="148">
        <v>12.7</v>
      </c>
      <c r="D5" s="147"/>
      <c r="E5" s="148">
        <v>0.6</v>
      </c>
      <c r="F5" s="147"/>
      <c r="G5" s="148">
        <v>9.4</v>
      </c>
      <c r="H5" s="147"/>
      <c r="I5" s="148">
        <v>4.99455343204733</v>
      </c>
    </row>
    <row r="6" ht="24" customHeight="1" spans="1:9">
      <c r="A6" s="149" t="s">
        <v>81</v>
      </c>
      <c r="B6" s="147"/>
      <c r="C6" s="148">
        <v>-30.4</v>
      </c>
      <c r="D6" s="147"/>
      <c r="E6" s="148">
        <v>-25.8</v>
      </c>
      <c r="F6" s="147"/>
      <c r="G6" s="148">
        <v>-30</v>
      </c>
      <c r="H6" s="147"/>
      <c r="I6" s="148">
        <v>32.5213050084016</v>
      </c>
    </row>
    <row r="7" ht="24" customHeight="1" spans="1:9">
      <c r="A7" s="149" t="s">
        <v>82</v>
      </c>
      <c r="B7" s="147"/>
      <c r="C7" s="148">
        <v>-58.3</v>
      </c>
      <c r="D7" s="147"/>
      <c r="E7" s="148">
        <v>-63.1</v>
      </c>
      <c r="F7" s="147"/>
      <c r="G7" s="148">
        <v>27</v>
      </c>
      <c r="H7" s="147"/>
      <c r="I7" s="148">
        <v>221.215519275029</v>
      </c>
    </row>
    <row r="8" ht="24" customHeight="1" spans="1:9">
      <c r="A8" s="149" t="s">
        <v>83</v>
      </c>
      <c r="B8" s="147"/>
      <c r="C8" s="148">
        <v>0.7</v>
      </c>
      <c r="D8" s="147"/>
      <c r="E8" s="148">
        <v>-17.2</v>
      </c>
      <c r="F8" s="147"/>
      <c r="G8" s="148">
        <v>7.7</v>
      </c>
      <c r="H8" s="147"/>
      <c r="I8" s="148">
        <v>15.8807536040254</v>
      </c>
    </row>
    <row r="9" ht="24" customHeight="1" spans="1:9">
      <c r="A9" s="149" t="s">
        <v>84</v>
      </c>
      <c r="B9" s="147"/>
      <c r="C9" s="148">
        <v>-10</v>
      </c>
      <c r="D9" s="147"/>
      <c r="E9" s="148">
        <v>-32.1</v>
      </c>
      <c r="F9" s="147"/>
      <c r="G9" s="148">
        <v>-25.9</v>
      </c>
      <c r="H9" s="147"/>
      <c r="I9" s="148">
        <v>-20.6588147885692</v>
      </c>
    </row>
    <row r="10" ht="24" customHeight="1" spans="1:9">
      <c r="A10" s="149" t="s">
        <v>85</v>
      </c>
      <c r="B10" s="147"/>
      <c r="C10" s="148">
        <v>16.1</v>
      </c>
      <c r="D10" s="147"/>
      <c r="E10" s="148">
        <v>102.1</v>
      </c>
      <c r="F10" s="147"/>
      <c r="G10" s="148">
        <v>282.1</v>
      </c>
      <c r="H10" s="147"/>
      <c r="I10" s="148">
        <v>225.444716826953</v>
      </c>
    </row>
    <row r="11" ht="24" customHeight="1" spans="1:9">
      <c r="A11" s="149" t="s">
        <v>86</v>
      </c>
      <c r="B11" s="147"/>
      <c r="C11" s="148">
        <v>-36.7</v>
      </c>
      <c r="D11" s="147"/>
      <c r="E11" s="148">
        <v>60.1</v>
      </c>
      <c r="F11" s="147"/>
      <c r="G11" s="148">
        <v>114.1</v>
      </c>
      <c r="H11" s="147"/>
      <c r="I11" s="148">
        <v>89.3382796650594</v>
      </c>
    </row>
    <row r="12" ht="24" customHeight="1" spans="1:9">
      <c r="A12" s="149" t="s">
        <v>87</v>
      </c>
      <c r="B12" s="147"/>
      <c r="C12" s="148">
        <v>39.9</v>
      </c>
      <c r="D12" s="147"/>
      <c r="E12" s="148">
        <v>-15.8</v>
      </c>
      <c r="F12" s="147"/>
      <c r="G12" s="148">
        <v>-40.6</v>
      </c>
      <c r="H12" s="147"/>
      <c r="I12" s="148">
        <v>-37.5641728037971</v>
      </c>
    </row>
    <row r="13" ht="24" customHeight="1" spans="1:9">
      <c r="A13" s="149" t="s">
        <v>88</v>
      </c>
      <c r="B13" s="147"/>
      <c r="C13" s="148">
        <v>22.9</v>
      </c>
      <c r="D13" s="147"/>
      <c r="E13" s="148">
        <v>-32.2</v>
      </c>
      <c r="F13" s="147"/>
      <c r="G13" s="148">
        <v>0.6</v>
      </c>
      <c r="H13" s="147"/>
      <c r="I13" s="148">
        <v>-16.9991342645359</v>
      </c>
    </row>
    <row r="14" ht="24" customHeight="1" spans="1:9">
      <c r="A14" s="149" t="s">
        <v>89</v>
      </c>
      <c r="B14" s="147"/>
      <c r="C14" s="148">
        <v>17.5</v>
      </c>
      <c r="D14" s="147"/>
      <c r="E14" s="148">
        <v>71.3</v>
      </c>
      <c r="F14" s="147"/>
      <c r="G14" s="148">
        <v>59.7</v>
      </c>
      <c r="H14" s="147"/>
      <c r="I14" s="148">
        <v>34.7927295423524</v>
      </c>
    </row>
    <row r="15" ht="24" customHeight="1" spans="1:9">
      <c r="A15" s="149" t="s">
        <v>90</v>
      </c>
      <c r="B15" s="147"/>
      <c r="C15" s="148">
        <v>25.7</v>
      </c>
      <c r="D15" s="147"/>
      <c r="E15" s="148">
        <v>4.5</v>
      </c>
      <c r="F15" s="147"/>
      <c r="G15" s="148">
        <v>-1.9</v>
      </c>
      <c r="H15" s="147"/>
      <c r="I15" s="148">
        <v>-9.26068368035898</v>
      </c>
    </row>
    <row r="16" ht="22.9" customHeight="1" spans="1:9">
      <c r="A16" s="149"/>
      <c r="B16" s="147"/>
      <c r="C16" s="148"/>
      <c r="D16" s="147"/>
      <c r="E16" s="148"/>
      <c r="F16" s="147"/>
      <c r="G16" s="148"/>
      <c r="H16" s="147"/>
      <c r="I16" s="148"/>
    </row>
    <row r="17" ht="33" customHeight="1" spans="1:9">
      <c r="A17" s="150" t="s">
        <v>442</v>
      </c>
      <c r="B17" s="147"/>
      <c r="C17" s="148"/>
      <c r="D17" s="147"/>
      <c r="E17" s="148"/>
      <c r="F17" s="147"/>
      <c r="G17" s="148"/>
      <c r="H17" s="147"/>
      <c r="I17" s="148"/>
    </row>
    <row r="18" ht="24" customHeight="1" spans="1:9">
      <c r="A18" s="149" t="s">
        <v>422</v>
      </c>
      <c r="B18" s="147"/>
      <c r="C18" s="148">
        <v>-37.5949672946857</v>
      </c>
      <c r="D18" s="147"/>
      <c r="E18" s="148">
        <v>-25.2362860292221</v>
      </c>
      <c r="F18" s="147"/>
      <c r="G18" s="148">
        <v>-35.6</v>
      </c>
      <c r="H18" s="147"/>
      <c r="I18" s="148">
        <v>-31.9401687688047</v>
      </c>
    </row>
    <row r="19" ht="24" customHeight="1" spans="1:9">
      <c r="A19" s="149" t="s">
        <v>81</v>
      </c>
      <c r="B19" s="151"/>
      <c r="C19" s="152">
        <v>-34.8366445252622</v>
      </c>
      <c r="D19" s="151"/>
      <c r="E19" s="152">
        <v>-42.5832355092805</v>
      </c>
      <c r="F19" s="151"/>
      <c r="G19" s="152">
        <v>-39.6</v>
      </c>
      <c r="H19" s="151"/>
      <c r="I19" s="152">
        <v>-34.6123425954834</v>
      </c>
    </row>
    <row r="20" ht="24" customHeight="1" spans="1:9">
      <c r="A20" s="149" t="s">
        <v>82</v>
      </c>
      <c r="B20" s="147"/>
      <c r="C20" s="148">
        <v>-30.8500605979115</v>
      </c>
      <c r="D20" s="147"/>
      <c r="E20" s="148">
        <v>-34.0642447794968</v>
      </c>
      <c r="F20" s="147"/>
      <c r="G20" s="148">
        <v>-33</v>
      </c>
      <c r="H20" s="147"/>
      <c r="I20" s="148">
        <v>-24.6699254703777</v>
      </c>
    </row>
    <row r="21" ht="24" customHeight="1" spans="1:9">
      <c r="A21" s="149" t="s">
        <v>83</v>
      </c>
      <c r="B21" s="147"/>
      <c r="C21" s="148">
        <v>-49.3993122481163</v>
      </c>
      <c r="D21" s="147"/>
      <c r="E21" s="148">
        <v>-28.4896335583414</v>
      </c>
      <c r="F21" s="147"/>
      <c r="G21" s="148">
        <v>-33.2</v>
      </c>
      <c r="H21" s="147"/>
      <c r="I21" s="148">
        <v>-30.9368879903974</v>
      </c>
    </row>
    <row r="22" ht="24" customHeight="1" spans="1:9">
      <c r="A22" s="149" t="s">
        <v>84</v>
      </c>
      <c r="B22" s="147"/>
      <c r="C22" s="148">
        <v>-30.0301510084119</v>
      </c>
      <c r="D22" s="147"/>
      <c r="E22" s="148">
        <v>45.730719830234</v>
      </c>
      <c r="F22" s="147"/>
      <c r="G22" s="148">
        <v>-14.6</v>
      </c>
      <c r="H22" s="147"/>
      <c r="I22" s="148">
        <v>-26.6327736056029</v>
      </c>
    </row>
    <row r="23" ht="24" customHeight="1" spans="1:9">
      <c r="A23" s="149" t="s">
        <v>85</v>
      </c>
      <c r="B23" s="147"/>
      <c r="C23" s="148">
        <v>-51.5072700270979</v>
      </c>
      <c r="D23" s="147"/>
      <c r="E23" s="148">
        <v>28.2992995589816</v>
      </c>
      <c r="F23" s="147"/>
      <c r="G23" s="148">
        <v>-61.6</v>
      </c>
      <c r="H23" s="147"/>
      <c r="I23" s="148">
        <v>-61.7632977308595</v>
      </c>
    </row>
    <row r="24" ht="24" customHeight="1" spans="1:9">
      <c r="A24" s="149" t="s">
        <v>86</v>
      </c>
      <c r="B24" s="147"/>
      <c r="C24" s="148">
        <v>-54.8313526308003</v>
      </c>
      <c r="D24" s="147"/>
      <c r="E24" s="148">
        <v>-40.598645919943</v>
      </c>
      <c r="F24" s="147"/>
      <c r="G24" s="148">
        <v>-58.6</v>
      </c>
      <c r="H24" s="147"/>
      <c r="I24" s="148">
        <v>-41.6395112016293</v>
      </c>
    </row>
    <row r="25" ht="24" customHeight="1" spans="1:9">
      <c r="A25" s="149" t="s">
        <v>87</v>
      </c>
      <c r="B25" s="147"/>
      <c r="C25" s="148">
        <v>-15.3464146009721</v>
      </c>
      <c r="D25" s="147"/>
      <c r="E25" s="148">
        <v>130.810520665593</v>
      </c>
      <c r="F25" s="147"/>
      <c r="G25" s="148">
        <v>150.6</v>
      </c>
      <c r="H25" s="147"/>
      <c r="I25" s="148">
        <v>116.263919050039</v>
      </c>
    </row>
    <row r="26" ht="24" customHeight="1" spans="1:9">
      <c r="A26" s="149" t="s">
        <v>88</v>
      </c>
      <c r="B26" s="147"/>
      <c r="C26" s="148">
        <v>-44.0993740704016</v>
      </c>
      <c r="D26" s="147"/>
      <c r="E26" s="148">
        <v>-44.3964083804456</v>
      </c>
      <c r="F26" s="147"/>
      <c r="G26" s="148">
        <v>-55.4</v>
      </c>
      <c r="H26" s="147"/>
      <c r="I26" s="148">
        <v>-42.3425202403453</v>
      </c>
    </row>
    <row r="27" ht="24" customHeight="1" spans="1:9">
      <c r="A27" s="149" t="s">
        <v>89</v>
      </c>
      <c r="B27" s="147"/>
      <c r="C27" s="148">
        <v>-31.9546840354767</v>
      </c>
      <c r="D27" s="147"/>
      <c r="E27" s="148">
        <v>-24.2403012522988</v>
      </c>
      <c r="F27" s="147"/>
      <c r="G27" s="148">
        <v>-9</v>
      </c>
      <c r="H27" s="147"/>
      <c r="I27" s="148">
        <v>-1.67066685491082</v>
      </c>
    </row>
    <row r="28" ht="24" customHeight="1" spans="1:9">
      <c r="A28" s="153" t="s">
        <v>90</v>
      </c>
      <c r="B28" s="154"/>
      <c r="C28" s="155">
        <v>-32.8750735480901</v>
      </c>
      <c r="D28" s="154"/>
      <c r="E28" s="155">
        <v>-49.298842110211</v>
      </c>
      <c r="F28" s="154"/>
      <c r="G28" s="155">
        <v>-41.6</v>
      </c>
      <c r="H28" s="154"/>
      <c r="I28" s="155">
        <v>-39.1583894610862</v>
      </c>
    </row>
    <row r="29" ht="45" customHeight="1" spans="1:158">
      <c r="A29" s="156" t="s">
        <v>443</v>
      </c>
      <c r="B29" s="156"/>
      <c r="C29" s="156"/>
      <c r="D29" s="156"/>
      <c r="E29" s="156"/>
      <c r="F29" s="156"/>
      <c r="G29" s="156"/>
      <c r="H29" s="156"/>
      <c r="I29" s="156"/>
      <c r="FA29" s="134"/>
      <c r="FB29" s="134"/>
    </row>
  </sheetData>
  <mergeCells count="7">
    <mergeCell ref="A1:I1"/>
    <mergeCell ref="B2:C2"/>
    <mergeCell ref="D2:E2"/>
    <mergeCell ref="F2:G2"/>
    <mergeCell ref="H2:I2"/>
    <mergeCell ref="A29:I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B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J24" sqref="J24"/>
    </sheetView>
  </sheetViews>
  <sheetFormatPr defaultColWidth="9" defaultRowHeight="14.25"/>
  <cols>
    <col min="1" max="1" width="25.625" style="134" customWidth="1"/>
    <col min="2" max="2" width="12.9666666666667" style="134" customWidth="1"/>
    <col min="3" max="3" width="9" style="134"/>
    <col min="4" max="4" width="11.8666666666667" style="134" customWidth="1"/>
    <col min="5" max="5" width="9" style="134"/>
    <col min="6" max="6" width="11.875" style="134" customWidth="1"/>
    <col min="7" max="7" width="9" style="134"/>
    <col min="8" max="8" width="12.9666666666667" style="134" customWidth="1"/>
    <col min="9" max="156" width="9" style="134"/>
    <col min="157" max="16384" width="9" style="135"/>
  </cols>
  <sheetData>
    <row r="1" ht="28.5" customHeight="1" spans="1:9">
      <c r="A1" s="136" t="s">
        <v>444</v>
      </c>
      <c r="B1" s="136"/>
      <c r="C1" s="136"/>
      <c r="D1" s="136"/>
      <c r="E1" s="136"/>
      <c r="F1" s="136"/>
      <c r="G1" s="136"/>
      <c r="H1" s="136"/>
      <c r="I1" s="136"/>
    </row>
    <row r="2" ht="21" customHeight="1" spans="1:9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</row>
    <row r="3" ht="37" customHeight="1" spans="1:9">
      <c r="A3" s="140"/>
      <c r="B3" s="141" t="s">
        <v>7</v>
      </c>
      <c r="C3" s="142" t="s">
        <v>8</v>
      </c>
      <c r="D3" s="141" t="s">
        <v>7</v>
      </c>
      <c r="E3" s="142" t="s">
        <v>8</v>
      </c>
      <c r="F3" s="141" t="s">
        <v>7</v>
      </c>
      <c r="G3" s="142" t="s">
        <v>8</v>
      </c>
      <c r="H3" s="141" t="s">
        <v>7</v>
      </c>
      <c r="I3" s="142" t="s">
        <v>8</v>
      </c>
    </row>
    <row r="4" ht="33" customHeight="1" spans="1:9">
      <c r="A4" s="143" t="s">
        <v>445</v>
      </c>
      <c r="B4" s="144"/>
      <c r="C4" s="145"/>
      <c r="D4" s="144"/>
      <c r="E4" s="145"/>
      <c r="F4" s="144"/>
      <c r="G4" s="145"/>
      <c r="H4" s="144"/>
      <c r="I4" s="145"/>
    </row>
    <row r="5" ht="24" customHeight="1" spans="1:9">
      <c r="A5" s="146" t="s">
        <v>422</v>
      </c>
      <c r="B5" s="147"/>
      <c r="C5" s="148">
        <v>17.2</v>
      </c>
      <c r="D5" s="147"/>
      <c r="E5" s="148">
        <v>20.8</v>
      </c>
      <c r="F5" s="147"/>
      <c r="G5" s="148">
        <v>46.3</v>
      </c>
      <c r="H5" s="147"/>
      <c r="I5" s="148">
        <v>47.2131280638799</v>
      </c>
    </row>
    <row r="6" ht="24" customHeight="1" spans="1:9">
      <c r="A6" s="149" t="s">
        <v>81</v>
      </c>
      <c r="B6" s="147"/>
      <c r="C6" s="148">
        <v>-40.8</v>
      </c>
      <c r="D6" s="147"/>
      <c r="E6" s="148">
        <v>-54.1</v>
      </c>
      <c r="F6" s="147"/>
      <c r="G6" s="148">
        <v>-60.7</v>
      </c>
      <c r="H6" s="147"/>
      <c r="I6" s="148">
        <v>-54.1013302687088</v>
      </c>
    </row>
    <row r="7" ht="24" customHeight="1" spans="1:9">
      <c r="A7" s="149" t="s">
        <v>82</v>
      </c>
      <c r="B7" s="147"/>
      <c r="C7" s="148">
        <v>-62.7</v>
      </c>
      <c r="D7" s="147"/>
      <c r="E7" s="148">
        <v>-71.9</v>
      </c>
      <c r="F7" s="147"/>
      <c r="G7" s="148">
        <v>-59.5</v>
      </c>
      <c r="H7" s="147"/>
      <c r="I7" s="148">
        <v>-39.8365635227611</v>
      </c>
    </row>
    <row r="8" ht="24" customHeight="1" spans="1:9">
      <c r="A8" s="149" t="s">
        <v>83</v>
      </c>
      <c r="B8" s="147"/>
      <c r="C8" s="148">
        <v>22.7</v>
      </c>
      <c r="D8" s="147"/>
      <c r="E8" s="148">
        <v>6.6</v>
      </c>
      <c r="F8" s="147"/>
      <c r="G8" s="148">
        <v>39.6</v>
      </c>
      <c r="H8" s="147"/>
      <c r="I8" s="148">
        <v>53.7717887415779</v>
      </c>
    </row>
    <row r="9" ht="24" customHeight="1" spans="1:9">
      <c r="A9" s="149" t="s">
        <v>84</v>
      </c>
      <c r="B9" s="147"/>
      <c r="C9" s="148">
        <v>-34.3</v>
      </c>
      <c r="D9" s="147"/>
      <c r="E9" s="148">
        <v>-84</v>
      </c>
      <c r="F9" s="147"/>
      <c r="G9" s="148">
        <v>-20.9</v>
      </c>
      <c r="H9" s="147"/>
      <c r="I9" s="148">
        <v>-20.0884147928844</v>
      </c>
    </row>
    <row r="10" ht="24" customHeight="1" spans="1:9">
      <c r="A10" s="149" t="s">
        <v>85</v>
      </c>
      <c r="B10" s="147"/>
      <c r="C10" s="148">
        <v>30.8</v>
      </c>
      <c r="D10" s="147"/>
      <c r="E10" s="148">
        <v>1303.1</v>
      </c>
      <c r="F10" s="147"/>
      <c r="G10" s="148">
        <v>1187.2</v>
      </c>
      <c r="H10" s="147"/>
      <c r="I10" s="148">
        <v>1023.1135282121</v>
      </c>
    </row>
    <row r="11" ht="24" customHeight="1" spans="1:9">
      <c r="A11" s="149" t="s">
        <v>86</v>
      </c>
      <c r="B11" s="147"/>
      <c r="C11" s="148">
        <v>83.6</v>
      </c>
      <c r="D11" s="147"/>
      <c r="E11" s="157" t="s">
        <v>11</v>
      </c>
      <c r="F11" s="147"/>
      <c r="G11" s="148">
        <v>-51.4</v>
      </c>
      <c r="H11" s="147"/>
      <c r="I11" s="148">
        <v>131.464174454829</v>
      </c>
    </row>
    <row r="12" ht="24" customHeight="1" spans="1:9">
      <c r="A12" s="149" t="s">
        <v>87</v>
      </c>
      <c r="B12" s="147"/>
      <c r="C12" s="148">
        <v>74.8</v>
      </c>
      <c r="D12" s="147"/>
      <c r="E12" s="148">
        <v>319.8</v>
      </c>
      <c r="F12" s="147"/>
      <c r="G12" s="148">
        <v>206.9</v>
      </c>
      <c r="H12" s="147"/>
      <c r="I12" s="148">
        <v>-12.7154471544715</v>
      </c>
    </row>
    <row r="13" ht="24" customHeight="1" spans="1:9">
      <c r="A13" s="149" t="s">
        <v>88</v>
      </c>
      <c r="B13" s="147"/>
      <c r="C13" s="148">
        <v>110.2</v>
      </c>
      <c r="D13" s="147"/>
      <c r="E13" s="148">
        <v>-67.9</v>
      </c>
      <c r="F13" s="147"/>
      <c r="G13" s="148">
        <v>-53.8</v>
      </c>
      <c r="H13" s="147"/>
      <c r="I13" s="148">
        <v>-70.9415062261637</v>
      </c>
    </row>
    <row r="14" ht="24" customHeight="1" spans="1:9">
      <c r="A14" s="149" t="s">
        <v>89</v>
      </c>
      <c r="B14" s="147"/>
      <c r="C14" s="148">
        <v>131.5</v>
      </c>
      <c r="D14" s="147"/>
      <c r="E14" s="148">
        <v>340.8</v>
      </c>
      <c r="F14" s="147"/>
      <c r="G14" s="148">
        <v>10.3</v>
      </c>
      <c r="H14" s="147"/>
      <c r="I14" s="148">
        <v>-10.5887219081759</v>
      </c>
    </row>
    <row r="15" ht="24" customHeight="1" spans="1:9">
      <c r="A15" s="149" t="s">
        <v>90</v>
      </c>
      <c r="B15" s="147"/>
      <c r="C15" s="148">
        <v>31.3</v>
      </c>
      <c r="D15" s="147"/>
      <c r="E15" s="148">
        <v>85</v>
      </c>
      <c r="F15" s="147"/>
      <c r="G15" s="148">
        <v>192</v>
      </c>
      <c r="H15" s="147"/>
      <c r="I15" s="148">
        <v>161.490400977534</v>
      </c>
    </row>
    <row r="16" ht="22.9" customHeight="1" spans="1:9">
      <c r="A16" s="149"/>
      <c r="B16" s="147"/>
      <c r="C16" s="148"/>
      <c r="D16" s="147"/>
      <c r="E16" s="148"/>
      <c r="F16" s="147"/>
      <c r="G16" s="148"/>
      <c r="H16" s="147"/>
      <c r="I16" s="148"/>
    </row>
    <row r="17" ht="33" customHeight="1" spans="1:9">
      <c r="A17" s="150" t="s">
        <v>446</v>
      </c>
      <c r="B17" s="147"/>
      <c r="C17" s="148"/>
      <c r="D17" s="147"/>
      <c r="E17" s="148"/>
      <c r="F17" s="147"/>
      <c r="G17" s="148"/>
      <c r="H17" s="147"/>
      <c r="I17" s="148"/>
    </row>
    <row r="18" ht="24" customHeight="1" spans="1:9">
      <c r="A18" s="149" t="s">
        <v>422</v>
      </c>
      <c r="B18" s="147"/>
      <c r="C18" s="148">
        <v>18.4</v>
      </c>
      <c r="D18" s="147"/>
      <c r="E18" s="148">
        <v>4.8</v>
      </c>
      <c r="F18" s="147"/>
      <c r="G18" s="148">
        <v>0</v>
      </c>
      <c r="H18" s="147"/>
      <c r="I18" s="148">
        <v>-10.0081252517804</v>
      </c>
    </row>
    <row r="19" ht="24" customHeight="1" spans="1:9">
      <c r="A19" s="149" t="s">
        <v>81</v>
      </c>
      <c r="B19" s="151"/>
      <c r="C19" s="152">
        <v>-18</v>
      </c>
      <c r="D19" s="151"/>
      <c r="E19" s="152">
        <v>202.6</v>
      </c>
      <c r="F19" s="151"/>
      <c r="G19" s="152">
        <v>-51.2</v>
      </c>
      <c r="H19" s="151"/>
      <c r="I19" s="152">
        <v>-21.4480761274307</v>
      </c>
    </row>
    <row r="20" ht="24" customHeight="1" spans="1:9">
      <c r="A20" s="149" t="s">
        <v>82</v>
      </c>
      <c r="B20" s="147"/>
      <c r="C20" s="148">
        <v>-60.9</v>
      </c>
      <c r="D20" s="147"/>
      <c r="E20" s="148">
        <v>-17.7</v>
      </c>
      <c r="F20" s="147"/>
      <c r="G20" s="148">
        <v>28.7</v>
      </c>
      <c r="H20" s="147"/>
      <c r="I20" s="148">
        <v>20.3663203936577</v>
      </c>
    </row>
    <row r="21" ht="24" customHeight="1" spans="1:9">
      <c r="A21" s="149" t="s">
        <v>83</v>
      </c>
      <c r="B21" s="147"/>
      <c r="C21" s="148">
        <v>-42.4</v>
      </c>
      <c r="D21" s="147"/>
      <c r="E21" s="148">
        <v>-14.4</v>
      </c>
      <c r="F21" s="147"/>
      <c r="G21" s="148">
        <v>158.9</v>
      </c>
      <c r="H21" s="147"/>
      <c r="I21" s="148">
        <v>146.136326663413</v>
      </c>
    </row>
    <row r="22" ht="24" customHeight="1" spans="1:9">
      <c r="A22" s="149" t="s">
        <v>84</v>
      </c>
      <c r="B22" s="147"/>
      <c r="C22" s="148">
        <v>-27.8</v>
      </c>
      <c r="D22" s="147"/>
      <c r="E22" s="148">
        <v>11.7</v>
      </c>
      <c r="F22" s="147"/>
      <c r="G22" s="148">
        <v>147.1</v>
      </c>
      <c r="H22" s="147"/>
      <c r="I22" s="148">
        <v>119.051724137931</v>
      </c>
    </row>
    <row r="23" ht="24" customHeight="1" spans="1:9">
      <c r="A23" s="149" t="s">
        <v>85</v>
      </c>
      <c r="B23" s="147"/>
      <c r="C23" s="148">
        <v>6.7</v>
      </c>
      <c r="D23" s="147"/>
      <c r="E23" s="148">
        <v>40.2</v>
      </c>
      <c r="F23" s="147"/>
      <c r="G23" s="148">
        <v>406.9</v>
      </c>
      <c r="H23" s="147"/>
      <c r="I23" s="148">
        <v>378.318817629982</v>
      </c>
    </row>
    <row r="24" ht="24" customHeight="1" spans="1:9">
      <c r="A24" s="149" t="s">
        <v>86</v>
      </c>
      <c r="B24" s="147"/>
      <c r="C24" s="148">
        <v>-58.9</v>
      </c>
      <c r="D24" s="147"/>
      <c r="E24" s="148">
        <v>-92.5</v>
      </c>
      <c r="F24" s="147"/>
      <c r="G24" s="148">
        <v>-95.9</v>
      </c>
      <c r="H24" s="147"/>
      <c r="I24" s="148">
        <v>-96.8524939983996</v>
      </c>
    </row>
    <row r="25" ht="24" customHeight="1" spans="1:9">
      <c r="A25" s="149" t="s">
        <v>87</v>
      </c>
      <c r="B25" s="147"/>
      <c r="C25" s="148">
        <v>-19.1</v>
      </c>
      <c r="D25" s="147"/>
      <c r="E25" s="148">
        <v>29.5</v>
      </c>
      <c r="F25" s="147"/>
      <c r="G25" s="148">
        <v>-32.3</v>
      </c>
      <c r="H25" s="147"/>
      <c r="I25" s="148">
        <v>-23.9543076028592</v>
      </c>
    </row>
    <row r="26" ht="24" customHeight="1" spans="1:9">
      <c r="A26" s="149" t="s">
        <v>88</v>
      </c>
      <c r="B26" s="147"/>
      <c r="C26" s="148">
        <v>30.7</v>
      </c>
      <c r="D26" s="147"/>
      <c r="E26" s="148">
        <v>-33.3</v>
      </c>
      <c r="F26" s="147"/>
      <c r="G26" s="148">
        <v>-42.4</v>
      </c>
      <c r="H26" s="147"/>
      <c r="I26" s="148">
        <v>-56.5799521458026</v>
      </c>
    </row>
    <row r="27" ht="24" customHeight="1" spans="1:9">
      <c r="A27" s="149" t="s">
        <v>89</v>
      </c>
      <c r="B27" s="147"/>
      <c r="C27" s="148">
        <v>-35.3</v>
      </c>
      <c r="D27" s="147"/>
      <c r="E27" s="148">
        <v>45.8</v>
      </c>
      <c r="F27" s="147"/>
      <c r="G27" s="148">
        <v>36</v>
      </c>
      <c r="H27" s="147"/>
      <c r="I27" s="148">
        <v>-30.2285573851069</v>
      </c>
    </row>
    <row r="28" ht="24" customHeight="1" spans="1:9">
      <c r="A28" s="153" t="s">
        <v>90</v>
      </c>
      <c r="B28" s="154"/>
      <c r="C28" s="155">
        <v>28.9</v>
      </c>
      <c r="D28" s="154"/>
      <c r="E28" s="155">
        <v>6.7</v>
      </c>
      <c r="F28" s="154"/>
      <c r="G28" s="155">
        <v>-3.4</v>
      </c>
      <c r="H28" s="154"/>
      <c r="I28" s="155">
        <v>-11.6532576438237</v>
      </c>
    </row>
    <row r="29" ht="45" customHeight="1" spans="1:158">
      <c r="A29" s="156" t="s">
        <v>443</v>
      </c>
      <c r="B29" s="156"/>
      <c r="C29" s="156"/>
      <c r="D29" s="156"/>
      <c r="E29" s="156"/>
      <c r="F29" s="156"/>
      <c r="G29" s="156"/>
      <c r="H29" s="156"/>
      <c r="I29" s="156"/>
      <c r="FA29" s="134"/>
      <c r="FB29" s="134"/>
    </row>
  </sheetData>
  <mergeCells count="7">
    <mergeCell ref="A1:I1"/>
    <mergeCell ref="B2:C2"/>
    <mergeCell ref="D2:E2"/>
    <mergeCell ref="F2:G2"/>
    <mergeCell ref="H2:I2"/>
    <mergeCell ref="A29:I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Z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M24" sqref="M24"/>
    </sheetView>
  </sheetViews>
  <sheetFormatPr defaultColWidth="9" defaultRowHeight="14.25"/>
  <cols>
    <col min="1" max="1" width="25.625" style="134" customWidth="1"/>
    <col min="2" max="2" width="11.4083333333333" style="134" customWidth="1"/>
    <col min="3" max="7" width="9" style="134"/>
    <col min="8" max="8" width="11.4083333333333" style="134" customWidth="1"/>
    <col min="9" max="158" width="9" style="134"/>
    <col min="159" max="16384" width="9" style="135"/>
  </cols>
  <sheetData>
    <row r="1" ht="28.5" customHeight="1" spans="1:9">
      <c r="A1" s="136" t="s">
        <v>447</v>
      </c>
      <c r="B1" s="136"/>
      <c r="C1" s="136"/>
      <c r="D1" s="136"/>
      <c r="E1" s="136"/>
      <c r="F1" s="136"/>
      <c r="G1" s="136"/>
      <c r="H1" s="136"/>
      <c r="I1" s="136"/>
    </row>
    <row r="2" ht="21" customHeight="1" spans="1:9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</row>
    <row r="3" ht="21" customHeight="1" spans="1:9">
      <c r="A3" s="140"/>
      <c r="B3" s="141" t="s">
        <v>7</v>
      </c>
      <c r="C3" s="142" t="s">
        <v>8</v>
      </c>
      <c r="D3" s="141" t="s">
        <v>7</v>
      </c>
      <c r="E3" s="142" t="s">
        <v>8</v>
      </c>
      <c r="F3" s="141" t="s">
        <v>7</v>
      </c>
      <c r="G3" s="142" t="s">
        <v>8</v>
      </c>
      <c r="H3" s="141" t="s">
        <v>7</v>
      </c>
      <c r="I3" s="142" t="s">
        <v>8</v>
      </c>
    </row>
    <row r="4" ht="33" customHeight="1" spans="1:9">
      <c r="A4" s="143" t="s">
        <v>322</v>
      </c>
      <c r="B4" s="144"/>
      <c r="C4" s="145"/>
      <c r="D4" s="144"/>
      <c r="E4" s="145"/>
      <c r="F4" s="144"/>
      <c r="G4" s="145"/>
      <c r="H4" s="144"/>
      <c r="I4" s="145"/>
    </row>
    <row r="5" ht="24" customHeight="1" spans="1:9">
      <c r="A5" s="146" t="s">
        <v>422</v>
      </c>
      <c r="B5" s="147">
        <v>164.9645</v>
      </c>
      <c r="C5" s="148">
        <v>6.01232063996381</v>
      </c>
      <c r="D5" s="147">
        <v>34.5244</v>
      </c>
      <c r="E5" s="148">
        <v>6.3830967340361</v>
      </c>
      <c r="F5" s="147">
        <v>50.1758</v>
      </c>
      <c r="G5" s="148">
        <v>6.37745745499569</v>
      </c>
      <c r="H5" s="147">
        <v>61.5541</v>
      </c>
      <c r="I5" s="148">
        <v>4.65981449837197</v>
      </c>
    </row>
    <row r="6" ht="24" customHeight="1" spans="1:9">
      <c r="A6" s="149" t="s">
        <v>81</v>
      </c>
      <c r="B6" s="147">
        <v>5.5002</v>
      </c>
      <c r="C6" s="148">
        <v>39.8225589139995</v>
      </c>
      <c r="D6" s="147">
        <v>0.7637</v>
      </c>
      <c r="E6" s="148">
        <v>-11.7823726464133</v>
      </c>
      <c r="F6" s="147">
        <v>0.9695</v>
      </c>
      <c r="G6" s="148">
        <v>-10.6533960003686</v>
      </c>
      <c r="H6" s="147">
        <v>1.3224</v>
      </c>
      <c r="I6" s="148">
        <v>-7.87878787878788</v>
      </c>
    </row>
    <row r="7" ht="24" customHeight="1" spans="1:9">
      <c r="A7" s="149" t="s">
        <v>82</v>
      </c>
      <c r="B7" s="147">
        <v>9.027</v>
      </c>
      <c r="C7" s="148">
        <v>33.4960070984916</v>
      </c>
      <c r="D7" s="147">
        <v>0.9773</v>
      </c>
      <c r="E7" s="148">
        <v>2.98208640674394</v>
      </c>
      <c r="F7" s="147">
        <v>1.5875</v>
      </c>
      <c r="G7" s="148">
        <v>7.97850632566998</v>
      </c>
      <c r="H7" s="147">
        <v>2.1756</v>
      </c>
      <c r="I7" s="148">
        <v>5.1573299821161</v>
      </c>
    </row>
    <row r="8" ht="24" customHeight="1" spans="1:9">
      <c r="A8" s="149" t="s">
        <v>83</v>
      </c>
      <c r="B8" s="147">
        <v>4.7842</v>
      </c>
      <c r="C8" s="148">
        <v>-6.31523292928897</v>
      </c>
      <c r="D8" s="147">
        <v>0.9252</v>
      </c>
      <c r="E8" s="148">
        <v>-6.19486971509683</v>
      </c>
      <c r="F8" s="147">
        <v>1.1657</v>
      </c>
      <c r="G8" s="148">
        <v>-17.2088068181818</v>
      </c>
      <c r="H8" s="147">
        <v>1.8878</v>
      </c>
      <c r="I8" s="148">
        <v>10.037304733038</v>
      </c>
    </row>
    <row r="9" ht="24" customHeight="1" spans="1:9">
      <c r="A9" s="149" t="s">
        <v>84</v>
      </c>
      <c r="B9" s="147">
        <v>5.0484</v>
      </c>
      <c r="C9" s="148">
        <v>-16.7493939743738</v>
      </c>
      <c r="D9" s="147">
        <v>1.634</v>
      </c>
      <c r="E9" s="148">
        <v>49.6062992125984</v>
      </c>
      <c r="F9" s="147">
        <v>1.9004</v>
      </c>
      <c r="G9" s="148">
        <v>20.415663414016</v>
      </c>
      <c r="H9" s="147">
        <v>2.1515</v>
      </c>
      <c r="I9" s="148">
        <v>10.8849147039118</v>
      </c>
    </row>
    <row r="10" ht="24" customHeight="1" spans="1:9">
      <c r="A10" s="149" t="s">
        <v>85</v>
      </c>
      <c r="B10" s="147">
        <v>9.3758</v>
      </c>
      <c r="C10" s="148">
        <v>-2.29776059522941</v>
      </c>
      <c r="D10" s="147">
        <v>1.9006</v>
      </c>
      <c r="E10" s="148">
        <v>12.4815055927088</v>
      </c>
      <c r="F10" s="147">
        <v>2.7747</v>
      </c>
      <c r="G10" s="148">
        <v>1.04883644706654</v>
      </c>
      <c r="H10" s="147">
        <v>3.4105</v>
      </c>
      <c r="I10" s="148">
        <v>-4.10515956699002</v>
      </c>
    </row>
    <row r="11" ht="24" customHeight="1" spans="1:9">
      <c r="A11" s="149" t="s">
        <v>86</v>
      </c>
      <c r="B11" s="147">
        <v>8.5249</v>
      </c>
      <c r="C11" s="148">
        <v>-2.77812624736272</v>
      </c>
      <c r="D11" s="147">
        <v>1.0184</v>
      </c>
      <c r="E11" s="148">
        <v>-4.59059396664793</v>
      </c>
      <c r="F11" s="147">
        <v>1.8643</v>
      </c>
      <c r="G11" s="148">
        <v>16.25717136443</v>
      </c>
      <c r="H11" s="147">
        <v>2.5513</v>
      </c>
      <c r="I11" s="148">
        <v>10.278798357467</v>
      </c>
    </row>
    <row r="12" ht="24" customHeight="1" spans="1:9">
      <c r="A12" s="149" t="s">
        <v>87</v>
      </c>
      <c r="B12" s="147">
        <v>11.7631</v>
      </c>
      <c r="C12" s="148">
        <v>0.660625197888053</v>
      </c>
      <c r="D12" s="147">
        <v>1.5811</v>
      </c>
      <c r="E12" s="148">
        <v>28.8905192793674</v>
      </c>
      <c r="F12" s="147">
        <v>2.3863</v>
      </c>
      <c r="G12" s="148">
        <v>39.2077937230195</v>
      </c>
      <c r="H12" s="147">
        <v>3.4013</v>
      </c>
      <c r="I12" s="148">
        <v>35.3320335813472</v>
      </c>
    </row>
    <row r="13" ht="24" customHeight="1" spans="1:9">
      <c r="A13" s="149" t="s">
        <v>88</v>
      </c>
      <c r="B13" s="147">
        <v>11.3164</v>
      </c>
      <c r="C13" s="148">
        <v>4.81836201626498</v>
      </c>
      <c r="D13" s="147">
        <v>1.4875</v>
      </c>
      <c r="E13" s="148">
        <v>4.1156295933366</v>
      </c>
      <c r="F13" s="147">
        <v>5.0861</v>
      </c>
      <c r="G13" s="148">
        <v>123.260611913437</v>
      </c>
      <c r="H13" s="147">
        <v>5.8756</v>
      </c>
      <c r="I13" s="148">
        <v>115.042272078469</v>
      </c>
    </row>
    <row r="14" ht="24" customHeight="1" spans="1:9">
      <c r="A14" s="149" t="s">
        <v>89</v>
      </c>
      <c r="B14" s="147">
        <v>17.9205</v>
      </c>
      <c r="C14" s="148">
        <v>0.750548153145556</v>
      </c>
      <c r="D14" s="147">
        <v>2.0798</v>
      </c>
      <c r="E14" s="148">
        <v>-29.9659898306226</v>
      </c>
      <c r="F14" s="147">
        <v>4.1636</v>
      </c>
      <c r="G14" s="148">
        <v>1.46954889966612</v>
      </c>
      <c r="H14" s="147">
        <v>4.9757</v>
      </c>
      <c r="I14" s="148">
        <v>-12.2110871943258</v>
      </c>
    </row>
    <row r="15" ht="24" customHeight="1" spans="1:9">
      <c r="A15" s="149" t="s">
        <v>90</v>
      </c>
      <c r="B15" s="147">
        <v>17.3238</v>
      </c>
      <c r="C15" s="148">
        <v>2.97626477878631</v>
      </c>
      <c r="D15" s="147">
        <v>5.8329</v>
      </c>
      <c r="E15" s="148">
        <v>72.3721150152191</v>
      </c>
      <c r="F15" s="147">
        <v>7.3506</v>
      </c>
      <c r="G15" s="148">
        <v>33.6594235839622</v>
      </c>
      <c r="H15" s="147">
        <v>8.7689</v>
      </c>
      <c r="I15" s="148">
        <v>22.0309499290267</v>
      </c>
    </row>
    <row r="16" ht="22.9" customHeight="1" spans="1:9">
      <c r="A16" s="149"/>
      <c r="B16" s="147"/>
      <c r="C16" s="148"/>
      <c r="D16" s="147"/>
      <c r="E16" s="148"/>
      <c r="F16" s="147"/>
      <c r="G16" s="148"/>
      <c r="H16" s="147"/>
      <c r="I16" s="148"/>
    </row>
    <row r="17" ht="33" customHeight="1" spans="1:9">
      <c r="A17" s="150" t="s">
        <v>332</v>
      </c>
      <c r="B17" s="147"/>
      <c r="C17" s="148"/>
      <c r="D17" s="147"/>
      <c r="E17" s="148"/>
      <c r="F17" s="147"/>
      <c r="G17" s="148"/>
      <c r="H17" s="147"/>
      <c r="I17" s="148"/>
    </row>
    <row r="18" ht="24" customHeight="1" spans="1:9">
      <c r="A18" s="149" t="s">
        <v>422</v>
      </c>
      <c r="B18" s="147">
        <v>533.0464</v>
      </c>
      <c r="C18" s="148">
        <v>-1.89219313886734</v>
      </c>
      <c r="D18" s="147">
        <v>108.9436</v>
      </c>
      <c r="E18" s="148">
        <v>26.4278071639283</v>
      </c>
      <c r="F18" s="147">
        <v>160.2533</v>
      </c>
      <c r="G18" s="148">
        <v>31.8778108322738</v>
      </c>
      <c r="H18" s="147">
        <v>202.3112</v>
      </c>
      <c r="I18" s="148">
        <v>23.7876306107477</v>
      </c>
    </row>
    <row r="19" ht="24" customHeight="1" spans="1:9">
      <c r="A19" s="149" t="s">
        <v>81</v>
      </c>
      <c r="B19" s="151">
        <v>14.7994</v>
      </c>
      <c r="C19" s="152">
        <v>6.47433360912264</v>
      </c>
      <c r="D19" s="151">
        <v>2.7141</v>
      </c>
      <c r="E19" s="152">
        <v>1.22328721142728</v>
      </c>
      <c r="F19" s="151">
        <v>3.8981</v>
      </c>
      <c r="G19" s="152">
        <v>7.07889242940336</v>
      </c>
      <c r="H19" s="151">
        <v>5.0104</v>
      </c>
      <c r="I19" s="152">
        <v>4.34420425673705</v>
      </c>
    </row>
    <row r="20" ht="24" customHeight="1" spans="1:9">
      <c r="A20" s="149" t="s">
        <v>82</v>
      </c>
      <c r="B20" s="147">
        <v>21.9413</v>
      </c>
      <c r="C20" s="148">
        <v>13.6442740974776</v>
      </c>
      <c r="D20" s="147">
        <v>4.1585</v>
      </c>
      <c r="E20" s="148">
        <v>6.85836159934217</v>
      </c>
      <c r="F20" s="147">
        <v>5.8971</v>
      </c>
      <c r="G20" s="148">
        <v>14.9913226605308</v>
      </c>
      <c r="H20" s="147">
        <v>7.3457</v>
      </c>
      <c r="I20" s="148">
        <v>6.96634776404117</v>
      </c>
    </row>
    <row r="21" ht="24" customHeight="1" spans="1:9">
      <c r="A21" s="149" t="s">
        <v>83</v>
      </c>
      <c r="B21" s="147">
        <v>24.2009</v>
      </c>
      <c r="C21" s="148">
        <v>6.64619018450867</v>
      </c>
      <c r="D21" s="147">
        <v>4.5144</v>
      </c>
      <c r="E21" s="148">
        <v>14.8760751183266</v>
      </c>
      <c r="F21" s="147">
        <v>6.663</v>
      </c>
      <c r="G21" s="148">
        <v>26.6392975253735</v>
      </c>
      <c r="H21" s="147">
        <v>8.4234</v>
      </c>
      <c r="I21" s="148">
        <v>13.7943612120557</v>
      </c>
    </row>
    <row r="22" ht="24" customHeight="1" spans="1:9">
      <c r="A22" s="149" t="s">
        <v>84</v>
      </c>
      <c r="B22" s="147">
        <v>16.4435</v>
      </c>
      <c r="C22" s="148">
        <v>-0.275941536782098</v>
      </c>
      <c r="D22" s="147">
        <v>4.2233</v>
      </c>
      <c r="E22" s="148">
        <v>63.276115363798</v>
      </c>
      <c r="F22" s="147">
        <v>6.1545</v>
      </c>
      <c r="G22" s="148">
        <v>64.5192333395707</v>
      </c>
      <c r="H22" s="147">
        <v>7.4881</v>
      </c>
      <c r="I22" s="148">
        <v>50.5781334834805</v>
      </c>
    </row>
    <row r="23" ht="24" customHeight="1" spans="1:9">
      <c r="A23" s="149" t="s">
        <v>85</v>
      </c>
      <c r="B23" s="147">
        <v>54.8999</v>
      </c>
      <c r="C23" s="148">
        <v>6.88379627015756</v>
      </c>
      <c r="D23" s="147">
        <v>11.3147</v>
      </c>
      <c r="E23" s="148">
        <v>43.978571246787</v>
      </c>
      <c r="F23" s="147">
        <v>18.4571</v>
      </c>
      <c r="G23" s="148">
        <v>66.8393173518458</v>
      </c>
      <c r="H23" s="147">
        <v>23.2001</v>
      </c>
      <c r="I23" s="148">
        <v>43.7366409139628</v>
      </c>
    </row>
    <row r="24" ht="24" customHeight="1" spans="1:9">
      <c r="A24" s="149" t="s">
        <v>86</v>
      </c>
      <c r="B24" s="147">
        <v>46.0266</v>
      </c>
      <c r="C24" s="148">
        <v>-10.3787619166303</v>
      </c>
      <c r="D24" s="147">
        <v>8.3915</v>
      </c>
      <c r="E24" s="148">
        <v>12.5454325988117</v>
      </c>
      <c r="F24" s="147">
        <v>13.2614</v>
      </c>
      <c r="G24" s="148">
        <v>25.8161532404201</v>
      </c>
      <c r="H24" s="147">
        <v>16.3407</v>
      </c>
      <c r="I24" s="148">
        <v>16.960726070245</v>
      </c>
    </row>
    <row r="25" ht="24" customHeight="1" spans="1:9">
      <c r="A25" s="149" t="s">
        <v>87</v>
      </c>
      <c r="B25" s="147">
        <v>79.1375</v>
      </c>
      <c r="C25" s="148">
        <v>2.23611423315324</v>
      </c>
      <c r="D25" s="147">
        <v>16.7991</v>
      </c>
      <c r="E25" s="148">
        <v>69.6707403292597</v>
      </c>
      <c r="F25" s="147">
        <v>24.9264</v>
      </c>
      <c r="G25" s="148">
        <v>62.2263296279905</v>
      </c>
      <c r="H25" s="147">
        <v>30.3957</v>
      </c>
      <c r="I25" s="148">
        <v>53.8243927125506</v>
      </c>
    </row>
    <row r="26" ht="24" customHeight="1" spans="1:9">
      <c r="A26" s="149" t="s">
        <v>88</v>
      </c>
      <c r="B26" s="147">
        <v>54.7941</v>
      </c>
      <c r="C26" s="148">
        <v>7.26064402466478</v>
      </c>
      <c r="D26" s="147">
        <v>10.0128</v>
      </c>
      <c r="E26" s="148">
        <v>19.4331790638866</v>
      </c>
      <c r="F26" s="147">
        <v>17.0472</v>
      </c>
      <c r="G26" s="148">
        <v>46.481293715307</v>
      </c>
      <c r="H26" s="147">
        <v>22.5363</v>
      </c>
      <c r="I26" s="148">
        <v>40.4804797317093</v>
      </c>
    </row>
    <row r="27" ht="24" customHeight="1" spans="1:9">
      <c r="A27" s="149" t="s">
        <v>89</v>
      </c>
      <c r="B27" s="147">
        <v>91.8524</v>
      </c>
      <c r="C27" s="148">
        <v>0.336887179935341</v>
      </c>
      <c r="D27" s="147">
        <v>19.0959</v>
      </c>
      <c r="E27" s="148">
        <v>1.37549902318865</v>
      </c>
      <c r="F27" s="147">
        <v>27.521</v>
      </c>
      <c r="G27" s="148">
        <v>15.9648073082141</v>
      </c>
      <c r="H27" s="147">
        <v>34.5295</v>
      </c>
      <c r="I27" s="148">
        <v>14.6896558596202</v>
      </c>
    </row>
    <row r="28" ht="24" customHeight="1" spans="1:9">
      <c r="A28" s="153" t="s">
        <v>438</v>
      </c>
      <c r="B28" s="154">
        <v>26.3902</v>
      </c>
      <c r="C28" s="155">
        <v>3.06135599442325</v>
      </c>
      <c r="D28" s="154">
        <v>7.9172</v>
      </c>
      <c r="E28" s="155">
        <v>108.440618171287</v>
      </c>
      <c r="F28" s="154">
        <v>9.5786</v>
      </c>
      <c r="G28" s="155">
        <v>88.1514074132275</v>
      </c>
      <c r="H28" s="154">
        <v>11.4496</v>
      </c>
      <c r="I28" s="155">
        <v>52.1824658408209</v>
      </c>
    </row>
    <row r="29" s="133" customFormat="1" ht="36" customHeight="1" spans="1:208">
      <c r="A29" s="156" t="s">
        <v>448</v>
      </c>
      <c r="B29" s="156"/>
      <c r="C29" s="156"/>
      <c r="D29" s="156"/>
      <c r="E29" s="156"/>
      <c r="F29" s="156"/>
      <c r="G29" s="156"/>
      <c r="H29" s="156"/>
      <c r="I29" s="156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4"/>
      <c r="CG29" s="134"/>
      <c r="CH29" s="134"/>
      <c r="CI29" s="134"/>
      <c r="CJ29" s="134"/>
      <c r="CK29" s="134"/>
      <c r="CL29" s="134"/>
      <c r="CM29" s="134"/>
      <c r="CN29" s="134"/>
      <c r="CO29" s="134"/>
      <c r="CP29" s="134"/>
      <c r="CQ29" s="134"/>
      <c r="CR29" s="134"/>
      <c r="CS29" s="134"/>
      <c r="CT29" s="134"/>
      <c r="CU29" s="134"/>
      <c r="CV29" s="134"/>
      <c r="CW29" s="134"/>
      <c r="CX29" s="134"/>
      <c r="CY29" s="134"/>
      <c r="CZ29" s="134"/>
      <c r="DA29" s="134"/>
      <c r="DB29" s="134"/>
      <c r="DC29" s="134"/>
      <c r="DD29" s="134"/>
      <c r="DE29" s="134"/>
      <c r="DF29" s="134"/>
      <c r="DG29" s="134"/>
      <c r="DH29" s="134"/>
      <c r="DI29" s="134"/>
      <c r="DJ29" s="134"/>
      <c r="DK29" s="134"/>
      <c r="DL29" s="134"/>
      <c r="DM29" s="134"/>
      <c r="DN29" s="134"/>
      <c r="DO29" s="134"/>
      <c r="DP29" s="134"/>
      <c r="DQ29" s="134"/>
      <c r="DR29" s="134"/>
      <c r="DS29" s="134"/>
      <c r="DT29" s="134"/>
      <c r="DU29" s="134"/>
      <c r="DV29" s="134"/>
      <c r="DW29" s="134"/>
      <c r="DX29" s="134"/>
      <c r="DY29" s="134"/>
      <c r="DZ29" s="134"/>
      <c r="EA29" s="134"/>
      <c r="EB29" s="134"/>
      <c r="EC29" s="134"/>
      <c r="ED29" s="134"/>
      <c r="EE29" s="134"/>
      <c r="EF29" s="134"/>
      <c r="EG29" s="134"/>
      <c r="EH29" s="134"/>
      <c r="EI29" s="134"/>
      <c r="EJ29" s="134"/>
      <c r="EK29" s="134"/>
      <c r="EL29" s="134"/>
      <c r="EM29" s="134"/>
      <c r="EN29" s="134"/>
      <c r="EO29" s="134"/>
      <c r="EP29" s="134"/>
      <c r="EQ29" s="134"/>
      <c r="ER29" s="134"/>
      <c r="ES29" s="134"/>
      <c r="ET29" s="134"/>
      <c r="EU29" s="134"/>
      <c r="EV29" s="134"/>
      <c r="EW29" s="134"/>
      <c r="EX29" s="134"/>
      <c r="EY29" s="134"/>
      <c r="EZ29" s="134"/>
      <c r="FA29" s="134"/>
      <c r="FB29" s="134"/>
      <c r="FC29" s="135"/>
      <c r="FD29" s="135"/>
      <c r="FE29" s="135"/>
      <c r="FF29" s="135"/>
      <c r="FG29" s="135"/>
      <c r="FH29" s="135"/>
      <c r="FI29" s="135"/>
      <c r="FJ29" s="135"/>
      <c r="FK29" s="135"/>
      <c r="FL29" s="135"/>
      <c r="FM29" s="135"/>
      <c r="FN29" s="135"/>
      <c r="FO29" s="135"/>
      <c r="FP29" s="135"/>
      <c r="FQ29" s="135"/>
      <c r="FR29" s="135"/>
      <c r="FS29" s="135"/>
      <c r="FT29" s="135"/>
      <c r="FU29" s="135"/>
      <c r="FV29" s="135"/>
      <c r="FW29" s="135"/>
      <c r="FX29" s="135"/>
      <c r="FY29" s="135"/>
      <c r="FZ29" s="135"/>
      <c r="GA29" s="135"/>
      <c r="GB29" s="135"/>
      <c r="GC29" s="135"/>
      <c r="GD29" s="135"/>
      <c r="GE29" s="135"/>
      <c r="GF29" s="135"/>
      <c r="GG29" s="135"/>
      <c r="GH29" s="135"/>
      <c r="GI29" s="135"/>
      <c r="GJ29" s="135"/>
      <c r="GK29" s="135"/>
      <c r="GL29" s="135"/>
      <c r="GM29" s="135"/>
      <c r="GN29" s="135"/>
      <c r="GO29" s="135"/>
      <c r="GP29" s="135"/>
      <c r="GQ29" s="135"/>
      <c r="GR29" s="135"/>
      <c r="GS29" s="135"/>
      <c r="GT29" s="135"/>
      <c r="GU29" s="135"/>
      <c r="GV29" s="135"/>
      <c r="GW29" s="135"/>
      <c r="GX29" s="135"/>
      <c r="GY29" s="135"/>
      <c r="GZ29" s="135"/>
    </row>
  </sheetData>
  <mergeCells count="7">
    <mergeCell ref="A1:I1"/>
    <mergeCell ref="B2:C2"/>
    <mergeCell ref="D2:E2"/>
    <mergeCell ref="F2:G2"/>
    <mergeCell ref="H2:I2"/>
    <mergeCell ref="A29:I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7"/>
  <sheetViews>
    <sheetView workbookViewId="0">
      <selection activeCell="X19" sqref="X19"/>
    </sheetView>
  </sheetViews>
  <sheetFormatPr defaultColWidth="9" defaultRowHeight="14.25"/>
  <cols>
    <col min="1" max="1" width="16.375" customWidth="1"/>
    <col min="2" max="2" width="13" customWidth="1"/>
    <col min="3" max="3" width="9.375" customWidth="1"/>
    <col min="4" max="4" width="8.625" customWidth="1"/>
    <col min="5" max="5" width="14.625" customWidth="1"/>
    <col min="6" max="6" width="10.5" customWidth="1"/>
    <col min="7" max="7" width="8.625" customWidth="1"/>
  </cols>
  <sheetData>
    <row r="1" ht="24" spans="1:7">
      <c r="A1" t="s">
        <v>449</v>
      </c>
      <c r="G1" s="103"/>
    </row>
    <row r="2" ht="29.1" customHeight="1" spans="1:1">
      <c r="A2" t="s">
        <v>450</v>
      </c>
    </row>
    <row r="3" s="100" customFormat="1" ht="30" customHeight="1" spans="1:7">
      <c r="A3" t="s">
        <v>451</v>
      </c>
      <c r="B3" t="s">
        <v>452</v>
      </c>
      <c r="C3"/>
      <c r="D3"/>
      <c r="E3" t="s">
        <v>453</v>
      </c>
      <c r="F3"/>
      <c r="G3"/>
    </row>
    <row r="4" s="101" customFormat="1" ht="36" customHeight="1" spans="1:15">
      <c r="A4"/>
      <c r="B4" s="104" t="s">
        <v>454</v>
      </c>
      <c r="C4" s="105" t="s">
        <v>455</v>
      </c>
      <c r="D4" s="106" t="s">
        <v>456</v>
      </c>
      <c r="E4" s="104" t="s">
        <v>454</v>
      </c>
      <c r="F4" s="107" t="s">
        <v>455</v>
      </c>
      <c r="G4" s="107" t="s">
        <v>456</v>
      </c>
      <c r="H4" s="108"/>
      <c r="O4" s="123"/>
    </row>
    <row r="5" s="101" customFormat="1" ht="25.5" customHeight="1" spans="1:15">
      <c r="A5" s="109" t="s">
        <v>457</v>
      </c>
      <c r="B5" s="110" t="s">
        <v>11</v>
      </c>
      <c r="C5" s="110" t="s">
        <v>11</v>
      </c>
      <c r="D5" s="110" t="s">
        <v>11</v>
      </c>
      <c r="E5" s="111" t="s">
        <v>11</v>
      </c>
      <c r="F5" s="112" t="s">
        <v>11</v>
      </c>
      <c r="G5" s="110" t="s">
        <v>11</v>
      </c>
      <c r="I5" s="124"/>
      <c r="J5" s="124"/>
      <c r="K5" s="125"/>
      <c r="O5" s="123"/>
    </row>
    <row r="6" s="101" customFormat="1" ht="23.1" customHeight="1" spans="1:15">
      <c r="A6" s="109" t="s">
        <v>458</v>
      </c>
      <c r="B6" s="113">
        <v>7406.64</v>
      </c>
      <c r="C6" s="11">
        <v>3.4</v>
      </c>
      <c r="D6" s="110" t="s">
        <v>11</v>
      </c>
      <c r="E6" s="113">
        <v>0</v>
      </c>
      <c r="F6" s="114">
        <v>0</v>
      </c>
      <c r="G6" s="110" t="s">
        <v>11</v>
      </c>
      <c r="I6" s="124"/>
      <c r="J6" s="126"/>
      <c r="O6" s="127"/>
    </row>
    <row r="7" ht="23.1" customHeight="1" spans="1:15">
      <c r="A7" s="101" t="s">
        <v>459</v>
      </c>
      <c r="B7" s="113" t="e">
        <v>#REF!</v>
      </c>
      <c r="C7" s="11" t="e">
        <v>#REF!</v>
      </c>
      <c r="D7" s="115" t="e">
        <f t="shared" ref="D7:D27" si="0">RANK(C7,$C$7:$C$27,0)</f>
        <v>#REF!</v>
      </c>
      <c r="E7" s="113" t="e">
        <v>#REF!</v>
      </c>
      <c r="F7" s="114" t="e">
        <v>#REF!</v>
      </c>
      <c r="G7" s="110" t="e">
        <f t="shared" ref="G7:G27" si="1">RANK(F7,$F$7:$F$27,0)</f>
        <v>#REF!</v>
      </c>
      <c r="I7" s="128"/>
      <c r="J7" s="129"/>
      <c r="K7" s="130"/>
      <c r="L7" s="131"/>
      <c r="O7" s="132"/>
    </row>
    <row r="8" ht="23.1" customHeight="1" spans="1:15">
      <c r="A8" s="101" t="s">
        <v>460</v>
      </c>
      <c r="B8" s="113" t="e">
        <v>#REF!</v>
      </c>
      <c r="C8" s="11" t="e">
        <v>#REF!</v>
      </c>
      <c r="D8" s="115" t="e">
        <f t="shared" si="0"/>
        <v>#REF!</v>
      </c>
      <c r="E8" s="113" t="e">
        <v>#REF!</v>
      </c>
      <c r="F8" s="114" t="e">
        <v>#REF!</v>
      </c>
      <c r="G8" s="110" t="e">
        <f t="shared" si="1"/>
        <v>#REF!</v>
      </c>
      <c r="I8" s="128"/>
      <c r="J8" s="129"/>
      <c r="K8" s="130"/>
      <c r="L8" s="131"/>
      <c r="O8" s="132"/>
    </row>
    <row r="9" ht="23.1" customHeight="1" spans="1:15">
      <c r="A9" s="101" t="s">
        <v>461</v>
      </c>
      <c r="B9" s="113" t="e">
        <v>#REF!</v>
      </c>
      <c r="C9" s="11" t="e">
        <v>#REF!</v>
      </c>
      <c r="D9" s="115" t="e">
        <f t="shared" si="0"/>
        <v>#REF!</v>
      </c>
      <c r="E9" s="113" t="e">
        <v>#REF!</v>
      </c>
      <c r="F9" s="114" t="e">
        <v>#REF!</v>
      </c>
      <c r="G9" s="110" t="e">
        <f t="shared" si="1"/>
        <v>#REF!</v>
      </c>
      <c r="I9" s="128"/>
      <c r="J9" s="129"/>
      <c r="K9" s="130"/>
      <c r="L9" s="131"/>
      <c r="O9" s="132"/>
    </row>
    <row r="10" ht="23.1" customHeight="1" spans="1:15">
      <c r="A10" s="101" t="s">
        <v>462</v>
      </c>
      <c r="B10" s="113" t="e">
        <v>#REF!</v>
      </c>
      <c r="C10" s="11" t="e">
        <v>#REF!</v>
      </c>
      <c r="D10" s="115" t="e">
        <f t="shared" si="0"/>
        <v>#REF!</v>
      </c>
      <c r="E10" s="113" t="e">
        <v>#REF!</v>
      </c>
      <c r="F10" s="114" t="e">
        <v>#REF!</v>
      </c>
      <c r="G10" s="110" t="e">
        <f t="shared" si="1"/>
        <v>#REF!</v>
      </c>
      <c r="I10" s="128"/>
      <c r="J10" s="129"/>
      <c r="K10" s="130"/>
      <c r="L10" s="131"/>
      <c r="O10" s="132"/>
    </row>
    <row r="11" ht="23.1" customHeight="1" spans="1:15">
      <c r="A11" s="101" t="s">
        <v>463</v>
      </c>
      <c r="B11" s="113" t="e">
        <v>#REF!</v>
      </c>
      <c r="C11" s="11" t="e">
        <v>#REF!</v>
      </c>
      <c r="D11" s="115" t="e">
        <f t="shared" si="0"/>
        <v>#REF!</v>
      </c>
      <c r="E11" s="113" t="e">
        <v>#REF!</v>
      </c>
      <c r="F11" s="114" t="e">
        <v>#REF!</v>
      </c>
      <c r="G11" s="110" t="e">
        <f t="shared" si="1"/>
        <v>#REF!</v>
      </c>
      <c r="I11" s="128"/>
      <c r="J11" s="129"/>
      <c r="K11" s="130"/>
      <c r="L11" s="131"/>
      <c r="O11" s="132"/>
    </row>
    <row r="12" ht="23.1" customHeight="1" spans="1:15">
      <c r="A12" s="101" t="s">
        <v>464</v>
      </c>
      <c r="B12" s="113" t="e">
        <v>#REF!</v>
      </c>
      <c r="C12" s="11" t="e">
        <v>#REF!</v>
      </c>
      <c r="D12" s="115" t="e">
        <f t="shared" si="0"/>
        <v>#REF!</v>
      </c>
      <c r="E12" s="113" t="e">
        <v>#REF!</v>
      </c>
      <c r="F12" s="114" t="e">
        <v>#REF!</v>
      </c>
      <c r="G12" s="110" t="e">
        <f t="shared" si="1"/>
        <v>#REF!</v>
      </c>
      <c r="I12" s="128"/>
      <c r="J12" s="129"/>
      <c r="K12" s="130"/>
      <c r="L12" s="131"/>
      <c r="O12" s="132"/>
    </row>
    <row r="13" ht="23.1" customHeight="1" spans="1:15">
      <c r="A13" s="101" t="s">
        <v>465</v>
      </c>
      <c r="B13" s="113" t="e">
        <v>#REF!</v>
      </c>
      <c r="C13" s="11" t="e">
        <v>#REF!</v>
      </c>
      <c r="D13" s="115" t="e">
        <f t="shared" si="0"/>
        <v>#REF!</v>
      </c>
      <c r="E13" s="113" t="e">
        <v>#REF!</v>
      </c>
      <c r="F13" s="114" t="e">
        <v>#REF!</v>
      </c>
      <c r="G13" s="110" t="e">
        <f t="shared" si="1"/>
        <v>#REF!</v>
      </c>
      <c r="I13" s="128"/>
      <c r="J13" s="129"/>
      <c r="K13" s="130"/>
      <c r="L13" s="131"/>
      <c r="O13" s="132"/>
    </row>
    <row r="14" ht="23.1" customHeight="1" spans="1:15">
      <c r="A14" s="101" t="s">
        <v>466</v>
      </c>
      <c r="B14" s="113" t="e">
        <v>#REF!</v>
      </c>
      <c r="C14" s="11" t="e">
        <v>#REF!</v>
      </c>
      <c r="D14" s="115" t="e">
        <f t="shared" si="0"/>
        <v>#REF!</v>
      </c>
      <c r="E14" s="113" t="e">
        <v>#REF!</v>
      </c>
      <c r="F14" s="114" t="e">
        <v>#REF!</v>
      </c>
      <c r="G14" s="110" t="e">
        <f t="shared" si="1"/>
        <v>#REF!</v>
      </c>
      <c r="I14" s="128"/>
      <c r="J14" s="129"/>
      <c r="K14" s="130"/>
      <c r="L14" s="131"/>
      <c r="O14" s="132"/>
    </row>
    <row r="15" ht="23.1" customHeight="1" spans="1:15">
      <c r="A15" s="101" t="s">
        <v>467</v>
      </c>
      <c r="B15" s="113" t="e">
        <v>#REF!</v>
      </c>
      <c r="C15" s="11">
        <v>-15.6</v>
      </c>
      <c r="D15" s="115" t="e">
        <f t="shared" si="0"/>
        <v>#REF!</v>
      </c>
      <c r="E15" s="113" t="e">
        <v>#REF!</v>
      </c>
      <c r="F15" s="114" t="e">
        <v>#REF!</v>
      </c>
      <c r="G15" s="110" t="e">
        <f t="shared" si="1"/>
        <v>#REF!</v>
      </c>
      <c r="I15" s="128"/>
      <c r="J15" s="129"/>
      <c r="K15" s="130"/>
      <c r="L15" s="131"/>
      <c r="O15" s="132"/>
    </row>
    <row r="16" ht="23.1" customHeight="1" spans="1:15">
      <c r="A16" s="101" t="s">
        <v>468</v>
      </c>
      <c r="B16" s="113" t="e">
        <v>#REF!</v>
      </c>
      <c r="C16" s="11" t="e">
        <v>#REF!</v>
      </c>
      <c r="D16" s="115" t="e">
        <f t="shared" si="0"/>
        <v>#REF!</v>
      </c>
      <c r="E16" s="113" t="e">
        <v>#REF!</v>
      </c>
      <c r="F16" s="114" t="e">
        <v>#REF!</v>
      </c>
      <c r="G16" s="110" t="e">
        <f t="shared" si="1"/>
        <v>#REF!</v>
      </c>
      <c r="I16" s="128"/>
      <c r="J16" s="129"/>
      <c r="K16" s="130"/>
      <c r="L16" s="131"/>
      <c r="O16" s="132"/>
    </row>
    <row r="17" ht="23.1" customHeight="1" spans="1:15">
      <c r="A17" s="101" t="s">
        <v>469</v>
      </c>
      <c r="B17" s="113" t="e">
        <v>#REF!</v>
      </c>
      <c r="C17" s="11" t="e">
        <v>#REF!</v>
      </c>
      <c r="D17" s="115" t="e">
        <f t="shared" si="0"/>
        <v>#REF!</v>
      </c>
      <c r="E17" s="113" t="e">
        <v>#REF!</v>
      </c>
      <c r="F17" s="114" t="e">
        <v>#REF!</v>
      </c>
      <c r="G17" s="110" t="e">
        <f t="shared" si="1"/>
        <v>#REF!</v>
      </c>
      <c r="I17" s="128"/>
      <c r="J17" s="129"/>
      <c r="K17" s="130"/>
      <c r="L17" s="131"/>
      <c r="O17" s="132"/>
    </row>
    <row r="18" ht="23.1" customHeight="1" spans="1:15">
      <c r="A18" s="101" t="s">
        <v>470</v>
      </c>
      <c r="B18" s="113" t="e">
        <v>#REF!</v>
      </c>
      <c r="C18" s="11" t="e">
        <v>#REF!</v>
      </c>
      <c r="D18" s="115" t="e">
        <f t="shared" si="0"/>
        <v>#REF!</v>
      </c>
      <c r="E18" s="113" t="e">
        <v>#REF!</v>
      </c>
      <c r="F18" s="114" t="e">
        <v>#REF!</v>
      </c>
      <c r="G18" s="110" t="e">
        <f t="shared" si="1"/>
        <v>#REF!</v>
      </c>
      <c r="I18" s="128"/>
      <c r="J18" s="129"/>
      <c r="K18" s="130"/>
      <c r="L18" s="131"/>
      <c r="O18" s="132"/>
    </row>
    <row r="19" ht="23.1" customHeight="1" spans="1:15">
      <c r="A19" s="101" t="s">
        <v>471</v>
      </c>
      <c r="B19" s="113" t="e">
        <v>#REF!</v>
      </c>
      <c r="C19" s="11" t="e">
        <v>#REF!</v>
      </c>
      <c r="D19" s="115" t="e">
        <f t="shared" si="0"/>
        <v>#REF!</v>
      </c>
      <c r="E19" s="113" t="e">
        <v>#REF!</v>
      </c>
      <c r="F19" s="114" t="e">
        <v>#REF!</v>
      </c>
      <c r="G19" s="110" t="e">
        <f t="shared" si="1"/>
        <v>#REF!</v>
      </c>
      <c r="I19" s="128"/>
      <c r="J19" s="129"/>
      <c r="K19" s="130"/>
      <c r="L19" s="131"/>
      <c r="O19" s="132"/>
    </row>
    <row r="20" ht="23.1" customHeight="1" spans="1:15">
      <c r="A20" s="101" t="s">
        <v>472</v>
      </c>
      <c r="B20" s="113" t="e">
        <v>#REF!</v>
      </c>
      <c r="C20" s="11" t="e">
        <v>#REF!</v>
      </c>
      <c r="D20" s="115" t="e">
        <f t="shared" si="0"/>
        <v>#REF!</v>
      </c>
      <c r="E20" s="113" t="e">
        <v>#REF!</v>
      </c>
      <c r="F20" s="114" t="e">
        <v>#REF!</v>
      </c>
      <c r="G20" s="110" t="e">
        <f t="shared" si="1"/>
        <v>#REF!</v>
      </c>
      <c r="I20" s="128"/>
      <c r="J20" s="129"/>
      <c r="K20" s="130"/>
      <c r="L20" s="131"/>
      <c r="O20" s="132"/>
    </row>
    <row r="21" ht="23.1" customHeight="1" spans="1:15">
      <c r="A21" s="101" t="s">
        <v>473</v>
      </c>
      <c r="B21" s="113" t="e">
        <v>#REF!</v>
      </c>
      <c r="C21" s="11" t="e">
        <v>#REF!</v>
      </c>
      <c r="D21" s="115" t="e">
        <f t="shared" si="0"/>
        <v>#REF!</v>
      </c>
      <c r="E21" s="113" t="e">
        <v>#REF!</v>
      </c>
      <c r="F21" s="114" t="e">
        <v>#REF!</v>
      </c>
      <c r="G21" s="110" t="e">
        <f t="shared" si="1"/>
        <v>#REF!</v>
      </c>
      <c r="I21" s="128"/>
      <c r="J21" s="129"/>
      <c r="K21" s="130"/>
      <c r="L21" s="131"/>
      <c r="O21" s="132"/>
    </row>
    <row r="22" ht="23.1" customHeight="1" spans="1:15">
      <c r="A22" s="101" t="s">
        <v>474</v>
      </c>
      <c r="B22" s="113" t="e">
        <v>#REF!</v>
      </c>
      <c r="C22" s="11" t="e">
        <v>#REF!</v>
      </c>
      <c r="D22" s="115" t="e">
        <f t="shared" si="0"/>
        <v>#REF!</v>
      </c>
      <c r="E22" s="113" t="e">
        <v>#REF!</v>
      </c>
      <c r="F22" s="114" t="e">
        <v>#REF!</v>
      </c>
      <c r="G22" s="110" t="e">
        <f t="shared" si="1"/>
        <v>#REF!</v>
      </c>
      <c r="I22" s="128"/>
      <c r="J22" s="129"/>
      <c r="K22" s="130"/>
      <c r="L22" s="131"/>
      <c r="O22" s="132"/>
    </row>
    <row r="23" ht="23.1" customHeight="1" spans="1:15">
      <c r="A23" s="101" t="s">
        <v>475</v>
      </c>
      <c r="B23" s="113" t="e">
        <v>#REF!</v>
      </c>
      <c r="C23" s="11" t="e">
        <v>#REF!</v>
      </c>
      <c r="D23" s="115" t="e">
        <f t="shared" si="0"/>
        <v>#REF!</v>
      </c>
      <c r="E23" s="113" t="e">
        <v>#REF!</v>
      </c>
      <c r="F23" s="114" t="e">
        <v>#REF!</v>
      </c>
      <c r="G23" s="110" t="e">
        <f t="shared" si="1"/>
        <v>#REF!</v>
      </c>
      <c r="I23" s="128"/>
      <c r="J23" s="129"/>
      <c r="K23" s="130"/>
      <c r="L23" s="131"/>
      <c r="O23" s="132"/>
    </row>
    <row r="24" ht="23.1" customHeight="1" spans="1:15">
      <c r="A24" s="101" t="s">
        <v>476</v>
      </c>
      <c r="B24" s="113" t="e">
        <v>#REF!</v>
      </c>
      <c r="C24" s="11" t="e">
        <v>#REF!</v>
      </c>
      <c r="D24" s="115" t="e">
        <f t="shared" si="0"/>
        <v>#REF!</v>
      </c>
      <c r="E24" s="113" t="e">
        <v>#REF!</v>
      </c>
      <c r="F24" s="114" t="e">
        <v>#REF!</v>
      </c>
      <c r="G24" s="110" t="e">
        <f t="shared" si="1"/>
        <v>#REF!</v>
      </c>
      <c r="I24" s="128"/>
      <c r="J24" s="129"/>
      <c r="K24" s="130"/>
      <c r="L24" s="131"/>
      <c r="O24" s="132"/>
    </row>
    <row r="25" ht="23.1" customHeight="1" spans="1:15">
      <c r="A25" s="101" t="s">
        <v>477</v>
      </c>
      <c r="B25" s="113" t="e">
        <v>#REF!</v>
      </c>
      <c r="C25" s="11" t="e">
        <v>#REF!</v>
      </c>
      <c r="D25" s="115" t="e">
        <f t="shared" si="0"/>
        <v>#REF!</v>
      </c>
      <c r="E25" s="113" t="e">
        <v>#REF!</v>
      </c>
      <c r="F25" s="114" t="e">
        <v>#REF!</v>
      </c>
      <c r="G25" s="110" t="e">
        <f t="shared" si="1"/>
        <v>#REF!</v>
      </c>
      <c r="I25" s="128"/>
      <c r="J25" s="129"/>
      <c r="K25" s="130"/>
      <c r="L25" s="131"/>
      <c r="O25" s="132"/>
    </row>
    <row r="26" ht="23.1" customHeight="1" spans="1:15">
      <c r="A26" s="101" t="s">
        <v>478</v>
      </c>
      <c r="B26" s="113" t="e">
        <v>#REF!</v>
      </c>
      <c r="C26" s="11" t="e">
        <v>#REF!</v>
      </c>
      <c r="D26" s="115" t="e">
        <f t="shared" si="0"/>
        <v>#REF!</v>
      </c>
      <c r="E26" s="113" t="e">
        <v>#REF!</v>
      </c>
      <c r="F26" s="114" t="e">
        <v>#REF!</v>
      </c>
      <c r="G26" s="110" t="e">
        <f t="shared" si="1"/>
        <v>#REF!</v>
      </c>
      <c r="I26" s="128"/>
      <c r="J26" s="129"/>
      <c r="K26" s="130"/>
      <c r="L26" s="131"/>
      <c r="O26" s="132"/>
    </row>
    <row r="27" s="102" customFormat="1" ht="23.1" customHeight="1" spans="1:15">
      <c r="A27" s="116" t="s">
        <v>479</v>
      </c>
      <c r="B27" s="117" t="e">
        <v>#REF!</v>
      </c>
      <c r="C27" s="118" t="e">
        <v>#REF!</v>
      </c>
      <c r="D27" s="119" t="e">
        <f t="shared" si="0"/>
        <v>#REF!</v>
      </c>
      <c r="E27" s="117" t="e">
        <v>#REF!</v>
      </c>
      <c r="F27" s="120" t="e">
        <v>#REF!</v>
      </c>
      <c r="G27" s="121" t="e">
        <f t="shared" si="1"/>
        <v>#REF!</v>
      </c>
      <c r="H27" s="122"/>
      <c r="I27" s="128"/>
      <c r="J27" s="129"/>
      <c r="K27" s="130"/>
      <c r="L27" s="122"/>
      <c r="M27" s="122"/>
      <c r="N27" s="122"/>
      <c r="O27" s="127"/>
    </row>
  </sheetData>
  <mergeCells count="5">
    <mergeCell ref="A1:F1"/>
    <mergeCell ref="A2:G2"/>
    <mergeCell ref="B3:D3"/>
    <mergeCell ref="E3:G3"/>
    <mergeCell ref="A3:A4"/>
  </mergeCells>
  <pageMargins left="0.75" right="0.75" top="1" bottom="1" header="0.51" footer="0.51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4" workbookViewId="0">
      <selection activeCell="X19" sqref="X19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480</v>
      </c>
      <c r="B1" s="3"/>
      <c r="C1" s="3"/>
      <c r="D1" s="3"/>
      <c r="E1" s="3"/>
      <c r="F1" s="3"/>
      <c r="G1" s="45"/>
    </row>
    <row r="2" ht="20.25" customHeight="1" spans="1:7">
      <c r="A2" s="84"/>
      <c r="B2" s="84"/>
      <c r="C2" t="s">
        <v>481</v>
      </c>
      <c r="G2" s="45"/>
    </row>
    <row r="3" s="43" customFormat="1" ht="31.5" customHeight="1" spans="1:7">
      <c r="A3" t="s">
        <v>482</v>
      </c>
      <c r="B3" t="s">
        <v>74</v>
      </c>
      <c r="C3"/>
      <c r="D3" s="85"/>
      <c r="E3" s="86"/>
      <c r="F3" s="87"/>
      <c r="G3" s="51"/>
    </row>
    <row r="4" s="43" customFormat="1" ht="31.5" customHeight="1" spans="1:7">
      <c r="A4"/>
      <c r="B4" s="7" t="s">
        <v>483</v>
      </c>
      <c r="C4" s="8" t="s">
        <v>484</v>
      </c>
      <c r="D4" s="88"/>
      <c r="E4" s="89"/>
      <c r="F4" s="90"/>
      <c r="G4" s="51"/>
    </row>
    <row r="5" ht="18" customHeight="1" spans="1:6">
      <c r="A5" s="91">
        <v>2016</v>
      </c>
      <c r="B5" s="92"/>
      <c r="C5" s="80"/>
      <c r="D5" s="93"/>
      <c r="E5" s="93"/>
      <c r="F5" s="93"/>
    </row>
    <row r="6" ht="18" customHeight="1" spans="1:6">
      <c r="A6" s="91">
        <v>6</v>
      </c>
      <c r="B6" s="92">
        <f>ROUND(3143799,0)</f>
        <v>3143799</v>
      </c>
      <c r="C6" s="94">
        <f>ROUND(10.5,1)</f>
        <v>10.5</v>
      </c>
      <c r="D6" s="93"/>
      <c r="E6" s="93"/>
      <c r="F6" s="93"/>
    </row>
    <row r="7" ht="18" customHeight="1" spans="1:6">
      <c r="A7" s="91">
        <v>7</v>
      </c>
      <c r="B7" s="92">
        <f>ROUND(3788981,0)</f>
        <v>3788981</v>
      </c>
      <c r="C7" s="95">
        <f>ROUND(10.6,1)</f>
        <v>10.6</v>
      </c>
      <c r="D7" s="93"/>
      <c r="E7" s="93"/>
      <c r="F7" s="93"/>
    </row>
    <row r="8" ht="18" customHeight="1" spans="1:6">
      <c r="A8" s="91">
        <v>8</v>
      </c>
      <c r="B8" s="92">
        <f>ROUND(4431853,0)</f>
        <v>4431853</v>
      </c>
      <c r="C8" s="95">
        <f>ROUND(10.6,1)</f>
        <v>10.6</v>
      </c>
      <c r="D8" s="93"/>
      <c r="E8" s="93"/>
      <c r="F8" s="93"/>
    </row>
    <row r="9" ht="18" customHeight="1" spans="1:6">
      <c r="A9" s="91">
        <v>9</v>
      </c>
      <c r="B9" s="92">
        <f>ROUND(5129609,0)</f>
        <v>5129609</v>
      </c>
      <c r="C9" s="95">
        <f>ROUND(11,1)</f>
        <v>11</v>
      </c>
      <c r="D9" s="93"/>
      <c r="E9" s="93"/>
      <c r="F9" s="93"/>
    </row>
    <row r="10" ht="18" customHeight="1" spans="1:6">
      <c r="A10" s="91">
        <v>10</v>
      </c>
      <c r="B10" s="92">
        <f>ROUND(5824115,0)</f>
        <v>5824115</v>
      </c>
      <c r="C10" s="95">
        <f>ROUND(11.5,1)</f>
        <v>11.5</v>
      </c>
      <c r="D10" s="93"/>
      <c r="E10" s="93"/>
      <c r="F10" s="93"/>
    </row>
    <row r="11" spans="1:3">
      <c r="A11" s="91">
        <v>11</v>
      </c>
      <c r="B11" s="92">
        <f>ROUND(6614788,0)</f>
        <v>6614788</v>
      </c>
      <c r="C11" s="95">
        <f>ROUND(11.7,1)</f>
        <v>11.7</v>
      </c>
    </row>
    <row r="12" spans="1:3">
      <c r="A12" s="96">
        <v>12</v>
      </c>
      <c r="B12" s="41">
        <f>ROUND(7665202,0)</f>
        <v>7665202</v>
      </c>
      <c r="C12" s="21">
        <f>ROUND(11.5,1)</f>
        <v>11.5</v>
      </c>
    </row>
    <row r="13" ht="18" customHeight="1" spans="1:6">
      <c r="A13" s="91">
        <v>2017</v>
      </c>
      <c r="B13" s="92"/>
      <c r="C13" s="94"/>
      <c r="D13" s="93"/>
      <c r="E13" s="93"/>
      <c r="F13" s="93"/>
    </row>
    <row r="14" spans="1:3">
      <c r="A14" s="91">
        <v>2</v>
      </c>
      <c r="B14" s="16">
        <f>ROUND(1142507,0)</f>
        <v>1142507</v>
      </c>
      <c r="C14" s="97">
        <f>ROUND(7.5,1)</f>
        <v>7.5</v>
      </c>
    </row>
    <row r="15" spans="1:3">
      <c r="A15" s="15">
        <v>3</v>
      </c>
      <c r="B15" s="16">
        <f>ROUND(1799926,0)</f>
        <v>1799926</v>
      </c>
      <c r="C15" s="21">
        <f>ROUND(7.7,1)</f>
        <v>7.7</v>
      </c>
    </row>
    <row r="16" spans="1:3">
      <c r="A16" s="15">
        <v>4</v>
      </c>
      <c r="B16" s="16">
        <f>ROUND(2404934,0)</f>
        <v>2404934</v>
      </c>
      <c r="C16" s="21">
        <f>ROUND(8.1,1)</f>
        <v>8.1</v>
      </c>
    </row>
    <row r="17" spans="1:3">
      <c r="A17" s="15">
        <v>5</v>
      </c>
      <c r="B17" s="16">
        <f>ROUND(3144236,0)</f>
        <v>3144236</v>
      </c>
      <c r="C17" s="21">
        <f>ROUND(7.5,1)</f>
        <v>7.5</v>
      </c>
    </row>
    <row r="18" spans="1:3">
      <c r="A18" s="15">
        <v>6</v>
      </c>
      <c r="B18" s="16">
        <f>ROUND(4030867,0)</f>
        <v>4030867</v>
      </c>
      <c r="C18" s="21">
        <f>ROUND(8.5,)</f>
        <v>9</v>
      </c>
    </row>
    <row r="19" spans="1:3">
      <c r="A19" s="15">
        <v>7</v>
      </c>
      <c r="B19" s="92">
        <f>ROUND(4819573,0)</f>
        <v>4819573</v>
      </c>
      <c r="C19" s="94">
        <f>ROUND(8.8,1)</f>
        <v>8.8</v>
      </c>
    </row>
    <row r="20" spans="1:3">
      <c r="A20" s="98">
        <v>8</v>
      </c>
      <c r="B20" s="41">
        <f>ROUND(5627416,0)</f>
        <v>5627416</v>
      </c>
      <c r="C20" s="21">
        <f>ROUND(9.1,1)</f>
        <v>9.1</v>
      </c>
    </row>
    <row r="21" spans="1:3">
      <c r="A21" s="98">
        <v>9</v>
      </c>
      <c r="B21" s="41">
        <f>ROUND(6503597,0)</f>
        <v>6503597</v>
      </c>
      <c r="C21" s="94">
        <f>ROUND(9.6,1)</f>
        <v>9.6</v>
      </c>
    </row>
    <row r="22" spans="1:3">
      <c r="A22" s="98">
        <v>10</v>
      </c>
      <c r="B22" s="41">
        <f>ROUND(7316245,0)</f>
        <v>7316245</v>
      </c>
      <c r="C22" s="21">
        <f>ROUND(9.3,1)</f>
        <v>9.3</v>
      </c>
    </row>
    <row r="23" spans="1:3">
      <c r="A23" s="99">
        <v>11</v>
      </c>
      <c r="B23" s="16">
        <f>ROUND(8208997,0)</f>
        <v>8208997</v>
      </c>
      <c r="C23" s="21">
        <f>ROUND(9.1,1)</f>
        <v>9.1</v>
      </c>
    </row>
    <row r="24" spans="1:3">
      <c r="A24" s="99">
        <v>12</v>
      </c>
      <c r="B24" s="16">
        <f>ROUND(8357945,0)</f>
        <v>8357945</v>
      </c>
      <c r="C24" s="21">
        <f>ROUND(8.5,1)</f>
        <v>8.5</v>
      </c>
    </row>
    <row r="25" spans="1:3">
      <c r="A25" s="15">
        <v>2018</v>
      </c>
      <c r="B25" s="16"/>
      <c r="C25" s="21"/>
    </row>
    <row r="26" spans="1:3">
      <c r="A26" s="15">
        <v>2</v>
      </c>
      <c r="B26" s="16">
        <f>ROUND(1129112,0)</f>
        <v>1129112</v>
      </c>
      <c r="C26" s="21">
        <f>ROUND(0.2,1)</f>
        <v>0.2</v>
      </c>
    </row>
    <row r="27" spans="1:3">
      <c r="A27" s="15">
        <v>3</v>
      </c>
      <c r="B27" s="16">
        <f>ROUND(1788963,0)</f>
        <v>1788963</v>
      </c>
      <c r="C27" s="21">
        <f>ROUND(2.9,1)</f>
        <v>2.9</v>
      </c>
    </row>
    <row r="28" spans="1:3">
      <c r="A28" s="15">
        <v>4</v>
      </c>
      <c r="B28" s="41">
        <f>ROUND(2439875,0)</f>
        <v>2439875</v>
      </c>
      <c r="C28" s="21">
        <f>ROUND(3.8,1)</f>
        <v>3.8</v>
      </c>
    </row>
    <row r="29" spans="1:3">
      <c r="A29" s="15">
        <v>5</v>
      </c>
      <c r="B29" s="41">
        <v>3086749</v>
      </c>
      <c r="C29" s="21">
        <v>4.1</v>
      </c>
    </row>
    <row r="30" spans="1:3">
      <c r="A30" s="22">
        <v>6</v>
      </c>
      <c r="B30" s="42">
        <v>3845140</v>
      </c>
      <c r="C30" s="24">
        <v>4.7</v>
      </c>
    </row>
    <row r="31" spans="4:256"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  <c r="IR31" s="98"/>
      <c r="IS31" s="98"/>
      <c r="IT31" s="98"/>
      <c r="IU31" s="98"/>
      <c r="IV31" s="98"/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1"/>
  <sheetViews>
    <sheetView topLeftCell="A7" workbookViewId="0">
      <selection activeCell="X19" sqref="X19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485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486</v>
      </c>
      <c r="G2" s="45"/>
    </row>
    <row r="3" s="43" customFormat="1" ht="31.5" customHeight="1" spans="1:7">
      <c r="A3" t="s">
        <v>482</v>
      </c>
      <c r="B3" t="s">
        <v>75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483</v>
      </c>
      <c r="C4" s="8" t="s">
        <v>484</v>
      </c>
      <c r="D4" s="52"/>
      <c r="E4" s="53"/>
      <c r="F4" s="54"/>
      <c r="G4" s="51"/>
    </row>
    <row r="5" ht="18" customHeight="1" spans="1:6">
      <c r="A5" s="9">
        <v>2016</v>
      </c>
      <c r="B5" s="77"/>
      <c r="C5" s="11"/>
      <c r="D5" s="55"/>
      <c r="E5" s="55"/>
      <c r="F5" s="55"/>
    </row>
    <row r="6" ht="18" customHeight="1" spans="1:6">
      <c r="A6" s="9">
        <v>5</v>
      </c>
      <c r="B6" s="77">
        <f>ROUND(3079283,0)</f>
        <v>3079283</v>
      </c>
      <c r="C6" s="11">
        <f>ROUND(7.2,1)</f>
        <v>7.2</v>
      </c>
      <c r="D6" s="55"/>
      <c r="E6" s="55"/>
      <c r="F6" s="55"/>
    </row>
    <row r="7" ht="18" customHeight="1" spans="1:6">
      <c r="A7" s="9">
        <v>6</v>
      </c>
      <c r="B7" s="77">
        <f>ROUND(5096563,0)</f>
        <v>5096563</v>
      </c>
      <c r="C7" s="11">
        <f>ROUND(15.1,1)</f>
        <v>15.1</v>
      </c>
      <c r="D7" s="55"/>
      <c r="E7" s="55"/>
      <c r="F7" s="55"/>
    </row>
    <row r="8" ht="18" customHeight="1" spans="1:6">
      <c r="A8" s="9">
        <v>7</v>
      </c>
      <c r="B8" s="77">
        <f>ROUND(6263505,0)</f>
        <v>6263505</v>
      </c>
      <c r="C8" s="78">
        <f>ROUND(16.3,1)</f>
        <v>16.3</v>
      </c>
      <c r="D8" s="55"/>
      <c r="E8" s="55"/>
      <c r="F8" s="55"/>
    </row>
    <row r="9" ht="18" customHeight="1" spans="1:6">
      <c r="A9" s="9">
        <v>8</v>
      </c>
      <c r="B9" s="77">
        <f>ROUND(7372203,0)</f>
        <v>7372203</v>
      </c>
      <c r="C9" s="11">
        <f>ROUND(24.8,1)</f>
        <v>24.8</v>
      </c>
      <c r="D9" s="55"/>
      <c r="E9" s="55"/>
      <c r="F9" s="55"/>
    </row>
    <row r="10" ht="18" customHeight="1" spans="1:6">
      <c r="A10" s="9">
        <v>9</v>
      </c>
      <c r="B10" s="77">
        <f>ROUND(8717492,0)</f>
        <v>8717492</v>
      </c>
      <c r="C10" s="11">
        <f>ROUND(23.5,1)</f>
        <v>23.5</v>
      </c>
      <c r="D10" s="55"/>
      <c r="E10" s="55"/>
      <c r="F10" s="55"/>
    </row>
    <row r="11" ht="18" customHeight="1" spans="1:6">
      <c r="A11" s="9">
        <v>10</v>
      </c>
      <c r="B11" s="77">
        <f>ROUND(10215452,0)</f>
        <v>10215452</v>
      </c>
      <c r="C11" s="11">
        <f>ROUND(22.6,1)</f>
        <v>22.6</v>
      </c>
      <c r="D11" s="55"/>
      <c r="E11" s="55"/>
      <c r="F11" s="55"/>
    </row>
    <row r="12" spans="1:3">
      <c r="A12" s="9">
        <v>11</v>
      </c>
      <c r="B12" s="77">
        <f>ROUND(12000485,0)</f>
        <v>12000485</v>
      </c>
      <c r="C12" s="11">
        <f>ROUND(23.9,1)</f>
        <v>23.9</v>
      </c>
    </row>
    <row r="13" spans="1:3">
      <c r="A13" s="9">
        <v>12</v>
      </c>
      <c r="B13" s="77">
        <f>ROUND(15315995,0)</f>
        <v>15315995</v>
      </c>
      <c r="C13" s="11">
        <f>ROUND(16.6,1)</f>
        <v>16.6</v>
      </c>
    </row>
    <row r="14" spans="1:3">
      <c r="A14" s="9">
        <v>2017</v>
      </c>
      <c r="B14" s="79"/>
      <c r="C14" s="80"/>
    </row>
    <row r="15" spans="1:3">
      <c r="A15" s="9">
        <v>2</v>
      </c>
      <c r="B15" s="77">
        <f>ROUND(796488,0)</f>
        <v>796488</v>
      </c>
      <c r="C15" s="11">
        <f>ROUND(5.3,1)</f>
        <v>5.3</v>
      </c>
    </row>
    <row r="16" spans="1:3">
      <c r="A16" s="9">
        <v>3</v>
      </c>
      <c r="B16" s="79">
        <f>ROUND(1575746,0)</f>
        <v>1575746</v>
      </c>
      <c r="C16" s="11">
        <f>ROUND(7.9,1)</f>
        <v>7.9</v>
      </c>
    </row>
    <row r="17" spans="1:3">
      <c r="A17" s="66">
        <v>4</v>
      </c>
      <c r="B17" s="41">
        <f>ROUND(2056743,0)</f>
        <v>2056743</v>
      </c>
      <c r="C17" s="11">
        <f>ROUND(-0.7,1)</f>
        <v>-0.7</v>
      </c>
    </row>
    <row r="18" spans="1:3">
      <c r="A18" s="66">
        <v>5</v>
      </c>
      <c r="B18" s="16">
        <f>ROUND(2889968,0)</f>
        <v>2889968</v>
      </c>
      <c r="C18" s="11">
        <f>ROUND(-6.1,1)</f>
        <v>-6.1</v>
      </c>
    </row>
    <row r="19" spans="1:3">
      <c r="A19" s="66">
        <v>6</v>
      </c>
      <c r="B19" s="16">
        <f>ROUND(5604382,0)</f>
        <v>5604382</v>
      </c>
      <c r="C19" s="11">
        <f>ROUND(10,1)</f>
        <v>10</v>
      </c>
    </row>
    <row r="20" spans="1:3">
      <c r="A20" s="66">
        <v>7</v>
      </c>
      <c r="B20" s="79">
        <f>ROUND(6864511,0)</f>
        <v>6864511</v>
      </c>
      <c r="C20" s="11">
        <f>ROUND(9.6,1)</f>
        <v>9.6</v>
      </c>
    </row>
    <row r="21" spans="1:3">
      <c r="A21" s="81">
        <v>8</v>
      </c>
      <c r="B21" s="41">
        <f>ROUND(8096944,0)</f>
        <v>8096944</v>
      </c>
      <c r="C21" s="11">
        <f>ROUND(9.8,1)</f>
        <v>9.8</v>
      </c>
    </row>
    <row r="22" spans="1:3">
      <c r="A22" s="81">
        <v>9</v>
      </c>
      <c r="B22" s="41">
        <f>ROUND(9772404,0)</f>
        <v>9772404</v>
      </c>
      <c r="C22" s="11">
        <f>ROUND(12.1010951314896,1)</f>
        <v>12.1</v>
      </c>
    </row>
    <row r="23" spans="1:3">
      <c r="A23" s="81">
        <v>10</v>
      </c>
      <c r="B23" s="41">
        <f>ROUND(11367531,0)</f>
        <v>11367531</v>
      </c>
      <c r="C23" s="11">
        <f>ROUND(11.3,1)</f>
        <v>11.3</v>
      </c>
    </row>
    <row r="24" spans="1:3">
      <c r="A24" s="81">
        <v>11</v>
      </c>
      <c r="B24" s="41">
        <f>ROUND(13376063,0)</f>
        <v>13376063</v>
      </c>
      <c r="C24" s="11">
        <f>ROUND(11.5,1)</f>
        <v>11.5</v>
      </c>
    </row>
    <row r="25" spans="1:3">
      <c r="A25" s="81">
        <v>12</v>
      </c>
      <c r="B25" s="41">
        <f>ROUND(16415341,0)</f>
        <v>16415341</v>
      </c>
      <c r="C25" s="11">
        <f>ROUND(7.2,1)</f>
        <v>7.2</v>
      </c>
    </row>
    <row r="26" spans="1:3">
      <c r="A26" s="15">
        <v>2018</v>
      </c>
      <c r="B26" s="16"/>
      <c r="C26" s="17"/>
    </row>
    <row r="27" spans="1:3">
      <c r="A27" s="15">
        <v>2</v>
      </c>
      <c r="B27" s="16">
        <f>ROUND(844761,0)</f>
        <v>844761</v>
      </c>
      <c r="C27" s="21">
        <f>ROUND(8.8,1)</f>
        <v>8.8</v>
      </c>
    </row>
    <row r="28" spans="1:3">
      <c r="A28" s="15">
        <v>3</v>
      </c>
      <c r="B28" s="16">
        <f>ROUND(2020022,0)</f>
        <v>2020022</v>
      </c>
      <c r="C28" s="21">
        <f>ROUND(31.6,1)</f>
        <v>31.6</v>
      </c>
    </row>
    <row r="29" spans="1:3">
      <c r="A29" s="15">
        <v>4</v>
      </c>
      <c r="B29" s="41">
        <f>ROUND(2639275,0)</f>
        <v>2639275</v>
      </c>
      <c r="C29" s="21">
        <f>ROUND(31,1)</f>
        <v>31</v>
      </c>
    </row>
    <row r="30" spans="1:3">
      <c r="A30" s="15">
        <v>5</v>
      </c>
      <c r="B30" s="41">
        <v>3391968</v>
      </c>
      <c r="C30" s="21">
        <v>19.6</v>
      </c>
    </row>
    <row r="31" spans="1:3">
      <c r="A31" s="22">
        <v>6</v>
      </c>
      <c r="B31" s="82">
        <v>5515829</v>
      </c>
      <c r="C31" s="83">
        <v>13.6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J29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L33" sqref="L33"/>
    </sheetView>
  </sheetViews>
  <sheetFormatPr defaultColWidth="9" defaultRowHeight="14.25"/>
  <cols>
    <col min="1" max="1" width="28.6666666666667" style="257" customWidth="1"/>
    <col min="2" max="2" width="9.625" style="257" customWidth="1"/>
    <col min="3" max="3" width="10.375" style="257"/>
    <col min="4" max="8" width="10.7333333333333" style="257" customWidth="1"/>
    <col min="9" max="9" width="10.375" style="257"/>
    <col min="10" max="10" width="9.375" style="257"/>
    <col min="11" max="16384" width="9" style="257"/>
  </cols>
  <sheetData>
    <row r="1" ht="24.95" customHeight="1" spans="1:10">
      <c r="A1" s="136" t="s">
        <v>40</v>
      </c>
      <c r="B1" s="136"/>
      <c r="C1" s="136"/>
      <c r="D1" s="136"/>
      <c r="E1" s="136"/>
      <c r="F1" s="136"/>
      <c r="G1" s="136"/>
      <c r="H1" s="136"/>
      <c r="I1" s="136"/>
      <c r="J1" s="136"/>
    </row>
    <row r="2" s="286" customFormat="1" ht="21" customHeight="1" spans="1:10">
      <c r="A2" s="137" t="s">
        <v>1</v>
      </c>
      <c r="B2" s="233" t="s">
        <v>2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</row>
    <row r="3" s="286" customFormat="1" ht="21" customHeight="1" spans="1:10">
      <c r="A3" s="140"/>
      <c r="B3" s="234"/>
      <c r="C3" s="141" t="s">
        <v>7</v>
      </c>
      <c r="D3" s="142" t="s">
        <v>8</v>
      </c>
      <c r="E3" s="141" t="s">
        <v>7</v>
      </c>
      <c r="F3" s="142" t="s">
        <v>8</v>
      </c>
      <c r="G3" s="141" t="s">
        <v>7</v>
      </c>
      <c r="H3" s="142" t="s">
        <v>8</v>
      </c>
      <c r="I3" s="141" t="s">
        <v>7</v>
      </c>
      <c r="J3" s="142" t="s">
        <v>8</v>
      </c>
    </row>
    <row r="4" ht="18" customHeight="1" spans="1:10">
      <c r="A4" s="260" t="s">
        <v>41</v>
      </c>
      <c r="B4" s="326" t="s">
        <v>42</v>
      </c>
      <c r="C4" s="147">
        <v>255.4</v>
      </c>
      <c r="D4" s="327">
        <v>-33.4</v>
      </c>
      <c r="E4" s="147">
        <v>47.35</v>
      </c>
      <c r="F4" s="327">
        <v>27.5</v>
      </c>
      <c r="G4" s="147">
        <v>68.63</v>
      </c>
      <c r="H4" s="327">
        <v>13.9</v>
      </c>
      <c r="I4" s="147">
        <v>89.2031</v>
      </c>
      <c r="J4" s="327">
        <v>9.50029338184568</v>
      </c>
    </row>
    <row r="5" ht="18" customHeight="1" spans="1:10">
      <c r="A5" s="328" t="s">
        <v>43</v>
      </c>
      <c r="B5" s="329" t="s">
        <v>10</v>
      </c>
      <c r="C5" s="147">
        <v>229.04</v>
      </c>
      <c r="D5" s="330">
        <v>-34.4</v>
      </c>
      <c r="E5" s="147">
        <v>39.28</v>
      </c>
      <c r="F5" s="330">
        <v>19.5</v>
      </c>
      <c r="G5" s="147">
        <v>57.83</v>
      </c>
      <c r="H5" s="330">
        <v>6.1</v>
      </c>
      <c r="I5" s="147">
        <v>74.197</v>
      </c>
      <c r="J5" s="330">
        <v>0.515875918836244</v>
      </c>
    </row>
    <row r="6" ht="18" customHeight="1" spans="1:10">
      <c r="A6" s="237" t="s">
        <v>44</v>
      </c>
      <c r="B6" s="238" t="s">
        <v>10</v>
      </c>
      <c r="C6" s="147">
        <v>1987.45464</v>
      </c>
      <c r="D6" s="148">
        <v>1.53</v>
      </c>
      <c r="E6" s="147">
        <v>259.8447</v>
      </c>
      <c r="F6" s="148">
        <v>1.01</v>
      </c>
      <c r="G6" s="147">
        <v>381.62659</v>
      </c>
      <c r="H6" s="148">
        <v>1.6495</v>
      </c>
      <c r="I6" s="147">
        <v>504.339</v>
      </c>
      <c r="J6" s="148">
        <v>1.84</v>
      </c>
    </row>
    <row r="7" ht="18" customHeight="1" spans="1:10">
      <c r="A7" s="237" t="s">
        <v>45</v>
      </c>
      <c r="B7" s="238" t="s">
        <v>10</v>
      </c>
      <c r="C7" s="147">
        <v>1602.89825</v>
      </c>
      <c r="D7" s="148">
        <v>1.43</v>
      </c>
      <c r="E7" s="147">
        <v>209.03322</v>
      </c>
      <c r="F7" s="148">
        <v>0.75</v>
      </c>
      <c r="G7" s="147">
        <v>304.89247</v>
      </c>
      <c r="H7" s="148">
        <v>1.46</v>
      </c>
      <c r="I7" s="147">
        <v>403.72916</v>
      </c>
      <c r="J7" s="148">
        <v>1.67</v>
      </c>
    </row>
    <row r="8" ht="18" customHeight="1" spans="1:10">
      <c r="A8" s="237" t="s">
        <v>46</v>
      </c>
      <c r="B8" s="238" t="s">
        <v>10</v>
      </c>
      <c r="C8" s="147">
        <v>384.55639</v>
      </c>
      <c r="D8" s="148">
        <v>1.93</v>
      </c>
      <c r="E8" s="147">
        <v>50.81148</v>
      </c>
      <c r="F8" s="148">
        <v>2.08</v>
      </c>
      <c r="G8" s="147">
        <v>76.73412</v>
      </c>
      <c r="H8" s="148">
        <v>2.39</v>
      </c>
      <c r="I8" s="147">
        <v>100.60984</v>
      </c>
      <c r="J8" s="148">
        <v>2.54</v>
      </c>
    </row>
    <row r="9" ht="18" customHeight="1" spans="1:10">
      <c r="A9" s="262" t="s">
        <v>47</v>
      </c>
      <c r="B9" s="263" t="s">
        <v>10</v>
      </c>
      <c r="C9" s="147">
        <v>1738.4543</v>
      </c>
      <c r="D9" s="148">
        <v>1.5</v>
      </c>
      <c r="E9" s="147">
        <v>227.47418</v>
      </c>
      <c r="F9" s="148">
        <v>1.09</v>
      </c>
      <c r="G9" s="147">
        <v>335.00738</v>
      </c>
      <c r="H9" s="148">
        <v>1.76</v>
      </c>
      <c r="I9" s="147">
        <v>442.41886</v>
      </c>
      <c r="J9" s="148">
        <v>1.94</v>
      </c>
    </row>
    <row r="10" ht="18" customHeight="1" spans="1:10">
      <c r="A10" s="262" t="s">
        <v>48</v>
      </c>
      <c r="B10" s="263" t="s">
        <v>10</v>
      </c>
      <c r="C10" s="147">
        <v>249.00034</v>
      </c>
      <c r="D10" s="148">
        <v>1.71</v>
      </c>
      <c r="E10" s="147">
        <v>32.37052</v>
      </c>
      <c r="F10" s="148">
        <v>0.4</v>
      </c>
      <c r="G10" s="147">
        <v>46.61921</v>
      </c>
      <c r="H10" s="148">
        <v>0.84</v>
      </c>
      <c r="I10" s="147">
        <v>61.92014</v>
      </c>
      <c r="J10" s="148">
        <v>1.11</v>
      </c>
    </row>
    <row r="11" ht="18" customHeight="1" spans="1:10">
      <c r="A11" s="260" t="s">
        <v>49</v>
      </c>
      <c r="B11" s="326" t="s">
        <v>10</v>
      </c>
      <c r="C11" s="147">
        <v>616.09145209</v>
      </c>
      <c r="D11" s="331">
        <v>-12.1</v>
      </c>
      <c r="E11" s="147">
        <v>122.79514916</v>
      </c>
      <c r="F11" s="331">
        <v>-11.7</v>
      </c>
      <c r="G11" s="147">
        <v>167.18430141</v>
      </c>
      <c r="H11" s="331">
        <v>-10.5</v>
      </c>
      <c r="I11" s="147">
        <v>204.03371934</v>
      </c>
      <c r="J11" s="331">
        <v>-14.5</v>
      </c>
    </row>
    <row r="12" ht="18" customHeight="1" spans="1:10">
      <c r="A12" s="260" t="s">
        <v>50</v>
      </c>
      <c r="B12" s="326" t="s">
        <v>10</v>
      </c>
      <c r="C12" s="147">
        <v>194.38649769</v>
      </c>
      <c r="D12" s="331">
        <v>-4.6</v>
      </c>
      <c r="E12" s="147">
        <v>27.39625553</v>
      </c>
      <c r="F12" s="331">
        <v>-16.2</v>
      </c>
      <c r="G12" s="147">
        <v>44.97914513</v>
      </c>
      <c r="H12" s="331">
        <v>-6.7</v>
      </c>
      <c r="I12" s="147">
        <v>61.64744792</v>
      </c>
      <c r="J12" s="331">
        <v>-1.4</v>
      </c>
    </row>
    <row r="13" ht="18" customHeight="1" spans="1:10">
      <c r="A13" s="260" t="s">
        <v>51</v>
      </c>
      <c r="B13" s="326" t="s">
        <v>10</v>
      </c>
      <c r="C13" s="147">
        <v>421.7049544</v>
      </c>
      <c r="D13" s="331">
        <v>-15.1</v>
      </c>
      <c r="E13" s="147">
        <v>95.39889363</v>
      </c>
      <c r="F13" s="331">
        <v>-10.4</v>
      </c>
      <c r="G13" s="147">
        <v>122.20515628</v>
      </c>
      <c r="H13" s="331">
        <v>-11.9</v>
      </c>
      <c r="I13" s="147">
        <v>142.38627142</v>
      </c>
      <c r="J13" s="331">
        <v>-19.1</v>
      </c>
    </row>
    <row r="14" ht="18" customHeight="1" spans="1:10">
      <c r="A14" s="260" t="s">
        <v>52</v>
      </c>
      <c r="B14" s="326" t="s">
        <v>10</v>
      </c>
      <c r="C14" s="147">
        <v>37.5352</v>
      </c>
      <c r="D14" s="148">
        <v>-18.8</v>
      </c>
      <c r="E14" s="147">
        <v>0</v>
      </c>
      <c r="F14" s="148">
        <v>-100</v>
      </c>
      <c r="G14" s="147">
        <v>0.4818</v>
      </c>
      <c r="H14" s="148">
        <v>-98.4</v>
      </c>
      <c r="I14" s="147">
        <v>0.5355</v>
      </c>
      <c r="J14" s="148">
        <v>-98.6</v>
      </c>
    </row>
    <row r="15" ht="18" customHeight="1" spans="1:10">
      <c r="A15" s="260" t="s">
        <v>53</v>
      </c>
      <c r="B15" s="326" t="s">
        <v>10</v>
      </c>
      <c r="C15" s="147">
        <v>164.9645</v>
      </c>
      <c r="D15" s="148">
        <v>6.0123206399638</v>
      </c>
      <c r="E15" s="147">
        <v>34.5244</v>
      </c>
      <c r="F15" s="148">
        <v>6.3830967340361</v>
      </c>
      <c r="G15" s="147">
        <v>50.1758</v>
      </c>
      <c r="H15" s="148">
        <v>6.37745745499569</v>
      </c>
      <c r="I15" s="147">
        <v>61.5541</v>
      </c>
      <c r="J15" s="148">
        <v>4.65981449837196</v>
      </c>
    </row>
    <row r="16" ht="18" customHeight="1" spans="1:10">
      <c r="A16" s="260" t="s">
        <v>54</v>
      </c>
      <c r="B16" s="326" t="s">
        <v>10</v>
      </c>
      <c r="C16" s="147">
        <v>87.5113</v>
      </c>
      <c r="D16" s="148">
        <v>-3.16354284930209</v>
      </c>
      <c r="E16" s="147">
        <v>16.9546</v>
      </c>
      <c r="F16" s="148">
        <v>-1.293605328117</v>
      </c>
      <c r="G16" s="147">
        <v>21.9817</v>
      </c>
      <c r="H16" s="148">
        <v>-11.8549528632895</v>
      </c>
      <c r="I16" s="147">
        <v>29.783</v>
      </c>
      <c r="J16" s="148">
        <v>-10.8135868312067</v>
      </c>
    </row>
    <row r="17" ht="18" customHeight="1" spans="1:10">
      <c r="A17" s="260" t="s">
        <v>55</v>
      </c>
      <c r="B17" s="326" t="s">
        <v>10</v>
      </c>
      <c r="C17" s="147">
        <v>533.0464</v>
      </c>
      <c r="D17" s="148">
        <v>-1.89219313886734</v>
      </c>
      <c r="E17" s="147">
        <v>108.9436</v>
      </c>
      <c r="F17" s="148">
        <v>26.4278071639283</v>
      </c>
      <c r="G17" s="147">
        <v>160.2533</v>
      </c>
      <c r="H17" s="148">
        <v>31.8778108322738</v>
      </c>
      <c r="I17" s="147">
        <v>202.3112</v>
      </c>
      <c r="J17" s="148">
        <v>23.7876306107477</v>
      </c>
    </row>
    <row r="18" ht="18" customHeight="1" spans="1:10">
      <c r="A18" s="260" t="s">
        <v>56</v>
      </c>
      <c r="B18" s="326" t="s">
        <v>10</v>
      </c>
      <c r="C18" s="147">
        <v>4968.235657063</v>
      </c>
      <c r="D18" s="148">
        <v>5.37318780380383</v>
      </c>
      <c r="E18" s="147">
        <v>5073.5846202377</v>
      </c>
      <c r="F18" s="148">
        <v>5.88428555571392</v>
      </c>
      <c r="G18" s="147">
        <v>5193.1745656255</v>
      </c>
      <c r="H18" s="148">
        <v>5.71497552879694</v>
      </c>
      <c r="I18" s="147">
        <v>5145.07</v>
      </c>
      <c r="J18" s="148">
        <v>6.44</v>
      </c>
    </row>
    <row r="19" ht="18" customHeight="1" spans="1:10">
      <c r="A19" s="260" t="s">
        <v>57</v>
      </c>
      <c r="B19" s="326" t="s">
        <v>10</v>
      </c>
      <c r="C19" s="147">
        <v>3646.3105541303</v>
      </c>
      <c r="D19" s="148">
        <v>7.33495327594018</v>
      </c>
      <c r="E19" s="147">
        <v>3764.3324237731</v>
      </c>
      <c r="F19" s="148">
        <v>8.24126016915048</v>
      </c>
      <c r="G19" s="147">
        <v>3842.5702511898</v>
      </c>
      <c r="H19" s="148">
        <v>8.20044558496622</v>
      </c>
      <c r="I19" s="147">
        <v>3821.7570409972</v>
      </c>
      <c r="J19" s="148">
        <v>8.7</v>
      </c>
    </row>
    <row r="20" ht="18" customHeight="1" spans="1:10">
      <c r="A20" s="260" t="s">
        <v>58</v>
      </c>
      <c r="B20" s="326" t="s">
        <v>10</v>
      </c>
      <c r="C20" s="147">
        <v>4346.5443033106</v>
      </c>
      <c r="D20" s="148">
        <v>8.85299730662321</v>
      </c>
      <c r="E20" s="147">
        <v>4467.5752673783</v>
      </c>
      <c r="F20" s="148">
        <v>9.59418612663399</v>
      </c>
      <c r="G20" s="147">
        <v>4525.6200126821</v>
      </c>
      <c r="H20" s="148">
        <v>8.15409530092965</v>
      </c>
      <c r="I20" s="147">
        <v>4505.72</v>
      </c>
      <c r="J20" s="148">
        <v>7.81</v>
      </c>
    </row>
    <row r="21" ht="18" customHeight="1" spans="1:10">
      <c r="A21" s="260" t="s">
        <v>59</v>
      </c>
      <c r="B21" s="326" t="s">
        <v>23</v>
      </c>
      <c r="C21" s="192">
        <v>100.3</v>
      </c>
      <c r="D21" s="148">
        <v>0.3</v>
      </c>
      <c r="E21" s="192">
        <v>99.95092948</v>
      </c>
      <c r="F21" s="148">
        <v>0</v>
      </c>
      <c r="G21" s="192">
        <v>99.9</v>
      </c>
      <c r="H21" s="148">
        <v>-0.1</v>
      </c>
      <c r="I21" s="192">
        <v>99.91110704</v>
      </c>
      <c r="J21" s="148">
        <v>-0.1</v>
      </c>
    </row>
    <row r="22" ht="18" customHeight="1" spans="1:10">
      <c r="A22" s="237" t="s">
        <v>60</v>
      </c>
      <c r="B22" s="238" t="s">
        <v>61</v>
      </c>
      <c r="C22" s="147">
        <v>320.4</v>
      </c>
      <c r="D22" s="148">
        <v>4.3</v>
      </c>
      <c r="E22" s="147">
        <v>45.4457890647</v>
      </c>
      <c r="F22" s="148">
        <v>-5.49247171984529</v>
      </c>
      <c r="G22" s="147">
        <v>69.9</v>
      </c>
      <c r="H22" s="148">
        <v>-5.1</v>
      </c>
      <c r="I22" s="147">
        <v>95.2196306492</v>
      </c>
      <c r="J22" s="148">
        <v>-4.34500011912298</v>
      </c>
    </row>
    <row r="23" ht="18" customHeight="1" spans="1:10">
      <c r="A23" s="237" t="s">
        <v>62</v>
      </c>
      <c r="B23" s="238" t="s">
        <v>61</v>
      </c>
      <c r="C23" s="147">
        <v>177.73</v>
      </c>
      <c r="D23" s="148">
        <v>0.5</v>
      </c>
      <c r="E23" s="147">
        <v>25.2652007347</v>
      </c>
      <c r="F23" s="148">
        <v>-10.6608738669633</v>
      </c>
      <c r="G23" s="147">
        <v>39.15</v>
      </c>
      <c r="H23" s="148">
        <v>-10.4</v>
      </c>
      <c r="I23" s="147">
        <v>53.0385578392</v>
      </c>
      <c r="J23" s="148">
        <v>-7.97936953919726</v>
      </c>
    </row>
    <row r="24" ht="18" customHeight="1" spans="1:10">
      <c r="A24" s="237" t="s">
        <v>63</v>
      </c>
      <c r="B24" s="238" t="s">
        <v>61</v>
      </c>
      <c r="C24" s="147">
        <v>150.58</v>
      </c>
      <c r="D24" s="148">
        <v>-0.1</v>
      </c>
      <c r="E24" s="147">
        <v>20.92431428</v>
      </c>
      <c r="F24" s="148">
        <v>-13.3449125800649</v>
      </c>
      <c r="G24" s="147">
        <v>32.38</v>
      </c>
      <c r="H24" s="148">
        <v>-13.2</v>
      </c>
      <c r="I24" s="147">
        <v>43.64730814</v>
      </c>
      <c r="J24" s="148">
        <v>-10.5767371513104</v>
      </c>
    </row>
    <row r="25" ht="18" customHeight="1" spans="1:10">
      <c r="A25" s="262" t="s">
        <v>64</v>
      </c>
      <c r="B25" s="263" t="s">
        <v>65</v>
      </c>
      <c r="C25" s="147">
        <v>255.574689954</v>
      </c>
      <c r="D25" s="148">
        <v>-1.47567890827943</v>
      </c>
      <c r="E25" s="147">
        <v>34.956122</v>
      </c>
      <c r="F25" s="148">
        <v>3.5</v>
      </c>
      <c r="G25" s="147">
        <v>58.206052665</v>
      </c>
      <c r="H25" s="148">
        <v>2.3</v>
      </c>
      <c r="I25" s="147">
        <v>80.081343669</v>
      </c>
      <c r="J25" s="148">
        <v>0.00604349808412508</v>
      </c>
    </row>
    <row r="26" ht="18" customHeight="1" spans="1:10">
      <c r="A26" s="262" t="s">
        <v>66</v>
      </c>
      <c r="B26" s="263" t="s">
        <v>65</v>
      </c>
      <c r="C26" s="147">
        <v>189.30271304</v>
      </c>
      <c r="D26" s="148">
        <v>-0.845782218554632</v>
      </c>
      <c r="E26" s="147">
        <v>27.83938</v>
      </c>
      <c r="F26" s="148">
        <v>-8.5</v>
      </c>
      <c r="G26" s="147">
        <v>47.775562395</v>
      </c>
      <c r="H26" s="148">
        <v>7.5</v>
      </c>
      <c r="I26" s="147">
        <v>63.0472</v>
      </c>
      <c r="J26" s="148">
        <v>5.83698869063507</v>
      </c>
    </row>
    <row r="27" ht="18" customHeight="1" spans="1:10">
      <c r="A27" s="262" t="s">
        <v>67</v>
      </c>
      <c r="B27" s="263" t="s">
        <v>68</v>
      </c>
      <c r="C27" s="147">
        <v>2.74999288</v>
      </c>
      <c r="D27" s="148">
        <v>-2.73367811539511</v>
      </c>
      <c r="E27" s="147">
        <v>0.4318</v>
      </c>
      <c r="F27" s="148">
        <v>-4.1</v>
      </c>
      <c r="G27" s="147">
        <v>0.6745</v>
      </c>
      <c r="H27" s="148">
        <v>-3.91995462297656</v>
      </c>
      <c r="I27" s="147">
        <v>0.9112</v>
      </c>
      <c r="J27" s="148">
        <v>-4.4</v>
      </c>
    </row>
    <row r="28" ht="18" customHeight="1" spans="1:10">
      <c r="A28" s="264" t="s">
        <v>69</v>
      </c>
      <c r="B28" s="265" t="s">
        <v>70</v>
      </c>
      <c r="C28" s="332">
        <v>165.042875</v>
      </c>
      <c r="D28" s="155">
        <v>4.37418162650518</v>
      </c>
      <c r="E28" s="332">
        <v>21.9576</v>
      </c>
      <c r="F28" s="155">
        <v>-7.8</v>
      </c>
      <c r="G28" s="332">
        <v>35.36975</v>
      </c>
      <c r="H28" s="155">
        <v>-2.96744228792152</v>
      </c>
      <c r="I28" s="332">
        <v>49.25</v>
      </c>
      <c r="J28" s="155">
        <v>-0.98</v>
      </c>
    </row>
    <row r="29" ht="82" customHeight="1" spans="1:10">
      <c r="A29" s="272" t="s">
        <v>71</v>
      </c>
      <c r="B29" s="272"/>
      <c r="C29" s="272"/>
      <c r="D29" s="272"/>
      <c r="E29" s="272"/>
      <c r="F29" s="272"/>
      <c r="G29" s="272"/>
      <c r="H29" s="272"/>
      <c r="I29" s="272"/>
      <c r="J29" s="272"/>
    </row>
  </sheetData>
  <mergeCells count="8">
    <mergeCell ref="A1:J1"/>
    <mergeCell ref="C2:D2"/>
    <mergeCell ref="E2:F2"/>
    <mergeCell ref="G2:H2"/>
    <mergeCell ref="I2:J2"/>
    <mergeCell ref="A29:J29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0"/>
  <sheetViews>
    <sheetView topLeftCell="A7" workbookViewId="0">
      <selection activeCell="X19" sqref="X19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487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486</v>
      </c>
      <c r="G2" s="45"/>
    </row>
    <row r="3" s="43" customFormat="1" ht="31.5" customHeight="1" spans="1:7">
      <c r="A3" t="s">
        <v>482</v>
      </c>
      <c r="B3" t="s">
        <v>76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483</v>
      </c>
      <c r="C4" s="8" t="s">
        <v>484</v>
      </c>
      <c r="D4" s="52"/>
      <c r="E4" s="53"/>
      <c r="F4" s="54"/>
      <c r="G4" s="51"/>
    </row>
    <row r="5" ht="18" customHeight="1" spans="1:6">
      <c r="A5" s="9">
        <v>2016</v>
      </c>
      <c r="B5" s="61"/>
      <c r="C5" s="11"/>
      <c r="D5" s="55"/>
      <c r="E5" s="55"/>
      <c r="F5" s="55"/>
    </row>
    <row r="6" ht="18" customHeight="1" spans="1:6">
      <c r="A6" s="9">
        <v>6</v>
      </c>
      <c r="B6" s="62">
        <f>ROUND(6760206,0)</f>
        <v>6760206</v>
      </c>
      <c r="C6" s="63">
        <f>ROUND(8.8,1)</f>
        <v>8.8</v>
      </c>
      <c r="D6" s="55"/>
      <c r="E6" s="55"/>
      <c r="F6" s="55"/>
    </row>
    <row r="7" ht="18" customHeight="1" spans="1:6">
      <c r="A7" s="9">
        <v>7</v>
      </c>
      <c r="B7" s="62">
        <f>ROUND(7975890,0)</f>
        <v>7975890</v>
      </c>
      <c r="C7" s="63">
        <f>ROUND(9,1)</f>
        <v>9</v>
      </c>
      <c r="D7" s="55"/>
      <c r="E7" s="55"/>
      <c r="F7" s="55"/>
    </row>
    <row r="8" ht="18" customHeight="1" spans="1:6">
      <c r="A8" s="9">
        <v>8</v>
      </c>
      <c r="B8" s="62">
        <f>ROUND(9193702.5,0)</f>
        <v>9193703</v>
      </c>
      <c r="C8" s="63">
        <f>ROUND(8.9,1)</f>
        <v>8.9</v>
      </c>
      <c r="D8" s="55"/>
      <c r="E8" s="55"/>
      <c r="F8" s="55"/>
    </row>
    <row r="9" spans="1:3">
      <c r="A9" s="9">
        <v>9</v>
      </c>
      <c r="B9" s="64">
        <f>ROUND(10457008.3,0)</f>
        <v>10457008</v>
      </c>
      <c r="C9" s="63">
        <f>ROUND(9.3,1)</f>
        <v>9.3</v>
      </c>
    </row>
    <row r="10" spans="1:3">
      <c r="A10" s="9">
        <v>10</v>
      </c>
      <c r="B10" s="64">
        <f>ROUND(11782159.5,0)</f>
        <v>11782160</v>
      </c>
      <c r="C10" s="63">
        <f>ROUND(9.5,1)</f>
        <v>9.5</v>
      </c>
    </row>
    <row r="11" spans="1:3">
      <c r="A11" s="9">
        <v>11</v>
      </c>
      <c r="B11" s="65">
        <f>ROUND(13025842,0)</f>
        <v>13025842</v>
      </c>
      <c r="C11" s="63">
        <f>ROUND(9.4,1)</f>
        <v>9.4</v>
      </c>
    </row>
    <row r="12" ht="15.95" customHeight="1" spans="1:3">
      <c r="A12" s="66">
        <v>12</v>
      </c>
      <c r="B12" s="67">
        <f>ROUND(14329570,0)</f>
        <v>14329570</v>
      </c>
      <c r="C12" s="68">
        <f>ROUND(9.5,1)</f>
        <v>9.5</v>
      </c>
    </row>
    <row r="13" ht="15.95" customHeight="1" spans="1:3">
      <c r="A13" s="66">
        <v>2017</v>
      </c>
      <c r="B13" s="67"/>
      <c r="C13" s="68"/>
    </row>
    <row r="14" ht="15.95" customHeight="1" spans="1:3">
      <c r="A14" s="66">
        <v>2</v>
      </c>
      <c r="B14" s="67">
        <f>ROUND(2520522,0)</f>
        <v>2520522</v>
      </c>
      <c r="C14" s="69">
        <f>ROUND(12,1)</f>
        <v>12</v>
      </c>
    </row>
    <row r="15" ht="15.95" customHeight="1" spans="1:3">
      <c r="A15" s="66">
        <v>3</v>
      </c>
      <c r="B15" s="67">
        <f>ROUND(3755066,0)</f>
        <v>3755066</v>
      </c>
      <c r="C15" s="68">
        <f>ROUND(12.1,1)</f>
        <v>12.1</v>
      </c>
    </row>
    <row r="16" ht="15.95" customHeight="1" spans="1:3">
      <c r="A16" s="66">
        <v>4</v>
      </c>
      <c r="B16" s="67">
        <f>ROUND(4968495,0)</f>
        <v>4968495</v>
      </c>
      <c r="C16" s="68">
        <f>ROUND(11.8,1)</f>
        <v>11.8</v>
      </c>
    </row>
    <row r="17" ht="15.95" customHeight="1" spans="1:3">
      <c r="A17" s="66">
        <v>5</v>
      </c>
      <c r="B17" s="67">
        <f>ROUND(6247711,0)</f>
        <v>6247711</v>
      </c>
      <c r="C17" s="68">
        <f>ROUND(11.5,1)</f>
        <v>11.5</v>
      </c>
    </row>
    <row r="18" ht="15.95" customHeight="1" spans="1:3">
      <c r="A18" s="66">
        <v>6</v>
      </c>
      <c r="B18" s="67">
        <f>ROUND(7543984,0)</f>
        <v>7543984</v>
      </c>
      <c r="C18" s="68">
        <f>ROUND(11.1,1)</f>
        <v>11.1</v>
      </c>
    </row>
    <row r="19" ht="15.95" customHeight="1" spans="1:3">
      <c r="A19" s="66">
        <v>7</v>
      </c>
      <c r="B19" s="67">
        <f>ROUND(8865132,0)</f>
        <v>8865132</v>
      </c>
      <c r="C19" s="68">
        <f>ROUND(10.8,1)</f>
        <v>10.8</v>
      </c>
    </row>
    <row r="20" ht="15.95" customHeight="1" spans="1:3">
      <c r="A20" s="70">
        <v>8</v>
      </c>
      <c r="B20" s="71">
        <f>ROUND(10165674.4,0)</f>
        <v>10165674</v>
      </c>
      <c r="C20" s="72">
        <f>ROUND(10.2,1)</f>
        <v>10.2</v>
      </c>
    </row>
    <row r="21" spans="1:3">
      <c r="A21" s="66">
        <v>9</v>
      </c>
      <c r="B21" s="71">
        <f>ROUND(11558876.6,0)</f>
        <v>11558877</v>
      </c>
      <c r="C21" s="72">
        <f>ROUND(10.2,1)</f>
        <v>10.2</v>
      </c>
    </row>
    <row r="22" spans="1:3">
      <c r="A22" s="66">
        <v>10</v>
      </c>
      <c r="B22" s="71">
        <f>ROUND(12962204,0)</f>
        <v>12962204</v>
      </c>
      <c r="C22" s="72">
        <f>ROUND(10.2,1)</f>
        <v>10.2</v>
      </c>
    </row>
    <row r="23" spans="1:3">
      <c r="A23" s="66">
        <v>11</v>
      </c>
      <c r="B23" s="71">
        <f>ROUND(14339244.7,0)</f>
        <v>14339245</v>
      </c>
      <c r="C23" s="73">
        <f>ROUND(10.1873510322444,1)</f>
        <v>10.2</v>
      </c>
    </row>
    <row r="24" spans="1:3">
      <c r="A24" s="66">
        <v>12</v>
      </c>
      <c r="B24" s="71">
        <f>ROUND(15780801.9,0)</f>
        <v>15780802</v>
      </c>
      <c r="C24" s="73">
        <f>ROUND(10.1275297129633,1)</f>
        <v>10.1</v>
      </c>
    </row>
    <row r="25" spans="1:3">
      <c r="A25" s="15">
        <v>2018</v>
      </c>
      <c r="B25" s="16"/>
      <c r="C25" s="17"/>
    </row>
    <row r="26" spans="1:3">
      <c r="A26" s="15">
        <v>2</v>
      </c>
      <c r="B26" s="74">
        <f>ROUND(2761961.2,0)</f>
        <v>2761961</v>
      </c>
      <c r="C26" s="17">
        <f>ROUND(10.1,1)</f>
        <v>10.1</v>
      </c>
    </row>
    <row r="27" spans="1:3">
      <c r="A27" s="15">
        <v>3</v>
      </c>
      <c r="B27" s="74">
        <f>ROUND(4120562.9,0)</f>
        <v>4120563</v>
      </c>
      <c r="C27" s="17">
        <f>ROUND(10.1,1)</f>
        <v>10.1</v>
      </c>
    </row>
    <row r="28" spans="1:3">
      <c r="A28" s="15">
        <v>4</v>
      </c>
      <c r="B28" s="74">
        <f>ROUND(5462840,0)</f>
        <v>5462840</v>
      </c>
      <c r="C28" s="17">
        <f>ROUND(10.1,1)</f>
        <v>10.1</v>
      </c>
    </row>
    <row r="29" spans="1:3">
      <c r="A29" s="15">
        <v>5</v>
      </c>
      <c r="B29" s="74">
        <v>6829174</v>
      </c>
      <c r="C29" s="21">
        <v>10</v>
      </c>
    </row>
    <row r="30" spans="1:3">
      <c r="A30" s="22">
        <v>6</v>
      </c>
      <c r="B30" s="75">
        <v>8214416</v>
      </c>
      <c r="C30" s="76">
        <v>10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32"/>
  <sheetViews>
    <sheetView workbookViewId="0">
      <selection activeCell="X19" sqref="X19"/>
    </sheetView>
  </sheetViews>
  <sheetFormatPr defaultColWidth="9" defaultRowHeight="14.25" outlineLevelCol="7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488</v>
      </c>
      <c r="B1" s="3"/>
      <c r="C1" s="3"/>
      <c r="D1" s="3"/>
      <c r="E1" s="3"/>
      <c r="F1" s="3"/>
      <c r="G1" s="45"/>
    </row>
    <row r="2" ht="20.25" customHeight="1" spans="1:8">
      <c r="A2" s="46"/>
      <c r="C2" s="47" t="s">
        <v>489</v>
      </c>
      <c r="D2" s="47"/>
      <c r="E2" s="47"/>
      <c r="F2" s="47"/>
      <c r="G2" s="47"/>
      <c r="H2" s="47"/>
    </row>
    <row r="3" s="43" customFormat="1" ht="31.5" customHeight="1" spans="1:7">
      <c r="A3" t="s">
        <v>482</v>
      </c>
      <c r="B3" t="s">
        <v>490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483</v>
      </c>
      <c r="C4" s="8" t="s">
        <v>484</v>
      </c>
      <c r="D4" s="52"/>
      <c r="E4" s="53"/>
      <c r="F4" s="54"/>
      <c r="G4" s="51"/>
    </row>
    <row r="5" ht="18" customHeight="1" spans="1:8">
      <c r="A5" s="9">
        <v>2016</v>
      </c>
      <c r="B5" s="27"/>
      <c r="C5" s="11"/>
      <c r="D5" s="55"/>
      <c r="E5" s="55"/>
      <c r="F5" s="55"/>
      <c r="H5" t="s">
        <v>255</v>
      </c>
    </row>
    <row r="6" ht="18" customHeight="1" spans="1:6">
      <c r="A6" s="9">
        <v>5</v>
      </c>
      <c r="B6" s="27">
        <f>ROUND(651964,0)</f>
        <v>651964</v>
      </c>
      <c r="C6" s="56">
        <f>ROUND(4.3,1)</f>
        <v>4.3</v>
      </c>
      <c r="D6" s="55"/>
      <c r="E6" s="55"/>
      <c r="F6" s="55"/>
    </row>
    <row r="7" ht="18" customHeight="1" spans="1:6">
      <c r="A7" s="9">
        <v>6</v>
      </c>
      <c r="B7" s="27">
        <f>ROUND(780476,0)</f>
        <v>780476</v>
      </c>
      <c r="C7" s="11">
        <f>ROUND(-3.8,1)</f>
        <v>-3.8</v>
      </c>
      <c r="D7" s="55"/>
      <c r="E7" s="55"/>
      <c r="F7" s="55"/>
    </row>
    <row r="8" ht="18" customHeight="1" spans="1:6">
      <c r="A8" s="9">
        <v>7</v>
      </c>
      <c r="B8" s="27">
        <f>ROUND(922333.1019,0)</f>
        <v>922333</v>
      </c>
      <c r="C8" s="11">
        <f>ROUND(-3.98796758100968,1)</f>
        <v>-4</v>
      </c>
      <c r="D8" s="55"/>
      <c r="E8" s="55"/>
      <c r="F8" s="55"/>
    </row>
    <row r="9" spans="1:3">
      <c r="A9" s="9">
        <v>8</v>
      </c>
      <c r="B9" s="27">
        <f>ROUND(1118014,0)</f>
        <v>1118014</v>
      </c>
      <c r="C9" s="11">
        <f>ROUND(2.07,1)</f>
        <v>2.1</v>
      </c>
    </row>
    <row r="10" spans="1:3">
      <c r="A10" s="9">
        <v>9</v>
      </c>
      <c r="B10" s="27">
        <f>ROUND(1355582.6735,0)</f>
        <v>1355583</v>
      </c>
      <c r="C10" s="11">
        <f>ROUND(10.8909650955423,1)</f>
        <v>10.9</v>
      </c>
    </row>
    <row r="11" spans="1:3">
      <c r="A11" s="9">
        <v>10</v>
      </c>
      <c r="B11" s="27">
        <f>ROUND(1530438,0)</f>
        <v>1530438</v>
      </c>
      <c r="C11" s="11">
        <f>ROUND(12,1)</f>
        <v>12</v>
      </c>
    </row>
    <row r="12" spans="1:3">
      <c r="A12" s="57">
        <v>11</v>
      </c>
      <c r="B12" s="27">
        <f>ROUND(1711506,0)</f>
        <v>1711506</v>
      </c>
      <c r="C12" s="11">
        <f>ROUND(14,1)</f>
        <v>14</v>
      </c>
    </row>
    <row r="13" spans="1:3">
      <c r="A13" s="57">
        <v>12</v>
      </c>
      <c r="B13" s="27">
        <f>ROUND(1947922,0)</f>
        <v>1947922</v>
      </c>
      <c r="C13" s="11">
        <f>ROUND(11.8,1)</f>
        <v>11.8</v>
      </c>
    </row>
    <row r="14" spans="1:3">
      <c r="A14" s="57">
        <v>2017</v>
      </c>
      <c r="B14" s="27"/>
      <c r="C14" s="11"/>
    </row>
    <row r="15" spans="1:3">
      <c r="A15" s="57">
        <v>1</v>
      </c>
      <c r="B15" s="27">
        <f>ROUND(181359,0)</f>
        <v>181359</v>
      </c>
      <c r="C15" s="11">
        <f>ROUND(-7.6,1)</f>
        <v>-7.6</v>
      </c>
    </row>
    <row r="16" spans="1:3">
      <c r="A16" s="57">
        <v>2</v>
      </c>
      <c r="B16" s="27">
        <f>ROUND(241658,0)</f>
        <v>241658</v>
      </c>
      <c r="C16" s="11">
        <f>ROUND(-11.38,1)</f>
        <v>-11.4</v>
      </c>
    </row>
    <row r="17" spans="1:3">
      <c r="A17" s="57">
        <v>3</v>
      </c>
      <c r="B17" s="27">
        <f>ROUND(415528,0)</f>
        <v>415528</v>
      </c>
      <c r="C17" s="11">
        <f>ROUND(13.9,1)</f>
        <v>13.9</v>
      </c>
    </row>
    <row r="18" spans="1:3">
      <c r="A18" s="57">
        <v>4</v>
      </c>
      <c r="B18" s="27">
        <f>ROUND(594563,0)</f>
        <v>594563</v>
      </c>
      <c r="C18" s="11">
        <f>ROUND(22.2,1)</f>
        <v>22.2</v>
      </c>
    </row>
    <row r="19" spans="1:3">
      <c r="A19" s="57">
        <v>5</v>
      </c>
      <c r="B19" s="27">
        <f>ROUND(815811,0)</f>
        <v>815811</v>
      </c>
      <c r="C19" s="11">
        <f>ROUND(28.7,1)</f>
        <v>28.7</v>
      </c>
    </row>
    <row r="20" spans="1:3">
      <c r="A20" s="57">
        <v>6</v>
      </c>
      <c r="B20" s="27">
        <f>ROUND(1006074,0)</f>
        <v>1006074</v>
      </c>
      <c r="C20" s="11">
        <f>ROUND(32,1)</f>
        <v>32</v>
      </c>
    </row>
    <row r="21" spans="1:3">
      <c r="A21" s="57">
        <v>7</v>
      </c>
      <c r="B21" s="40">
        <f>ROUND(1228741,0)</f>
        <v>1228741</v>
      </c>
      <c r="C21" s="14">
        <f>ROUND(35.9,1)</f>
        <v>35.9</v>
      </c>
    </row>
    <row r="22" spans="1:3">
      <c r="A22" s="57">
        <v>8</v>
      </c>
      <c r="B22" s="40">
        <v>1411285</v>
      </c>
      <c r="C22" s="14">
        <v>28.3</v>
      </c>
    </row>
    <row r="23" spans="1:3">
      <c r="A23" s="57">
        <v>9</v>
      </c>
      <c r="B23" s="40">
        <f>ROUND(1593063,0)</f>
        <v>1593063</v>
      </c>
      <c r="C23" s="14">
        <f>ROUND(19.1,1)</f>
        <v>19.1</v>
      </c>
    </row>
    <row r="24" spans="1:3">
      <c r="A24" s="57">
        <v>10</v>
      </c>
      <c r="B24" s="40">
        <f>ROUND(1750486,0)</f>
        <v>1750486</v>
      </c>
      <c r="C24" s="14">
        <f>ROUND(15.7303,1)</f>
        <v>15.7</v>
      </c>
    </row>
    <row r="25" spans="1:3">
      <c r="A25" s="57">
        <v>11</v>
      </c>
      <c r="B25" s="40">
        <f>ROUND(1923410,0)</f>
        <v>1923410</v>
      </c>
      <c r="C25" s="14">
        <f>ROUND(12.4106,1)</f>
        <v>12.4</v>
      </c>
    </row>
    <row r="26" spans="1:3">
      <c r="A26" s="57">
        <v>12</v>
      </c>
      <c r="B26" s="40">
        <f>ROUND(2170709.6623,0)</f>
        <v>2170710</v>
      </c>
      <c r="C26" s="14">
        <f>ROUND(11.4496,1)</f>
        <v>11.4</v>
      </c>
    </row>
    <row r="27" spans="1:3">
      <c r="A27" s="15">
        <v>2018</v>
      </c>
      <c r="B27" s="16"/>
      <c r="C27" s="17"/>
    </row>
    <row r="28" spans="1:3">
      <c r="A28" s="15">
        <v>1</v>
      </c>
      <c r="B28" s="40">
        <f>ROUND(245060.5487,0)</f>
        <v>245061</v>
      </c>
      <c r="C28" s="14">
        <f>ROUND(-9.2749,1)</f>
        <v>-9.3</v>
      </c>
    </row>
    <row r="29" spans="1:3">
      <c r="A29" s="15">
        <v>2</v>
      </c>
      <c r="B29" s="40">
        <f>ROUND(254273.584,0)</f>
        <v>254274</v>
      </c>
      <c r="C29" s="14">
        <f>ROUND(5.1148,1)</f>
        <v>5.1</v>
      </c>
    </row>
    <row r="30" spans="1:3">
      <c r="A30" s="15">
        <v>3</v>
      </c>
      <c r="B30" s="40">
        <f>ROUND(368490,0)</f>
        <v>368490</v>
      </c>
      <c r="C30" s="58">
        <f>ROUND(-11.4,1)</f>
        <v>-11.4</v>
      </c>
    </row>
    <row r="31" spans="1:3">
      <c r="A31" s="15">
        <v>4</v>
      </c>
      <c r="B31" s="40">
        <v>498314.2314</v>
      </c>
      <c r="C31" s="58">
        <v>-16.2432</v>
      </c>
    </row>
    <row r="32" spans="1:3">
      <c r="A32" s="22">
        <v>5</v>
      </c>
      <c r="B32" s="59">
        <v>696319</v>
      </c>
      <c r="C32" s="60">
        <v>-14.7</v>
      </c>
    </row>
  </sheetData>
  <mergeCells count="3">
    <mergeCell ref="A1:F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1"/>
  <sheetViews>
    <sheetView topLeftCell="A7" workbookViewId="0">
      <selection activeCell="X19" sqref="X19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ht="24" spans="1:3">
      <c r="A1" s="39" t="s">
        <v>491</v>
      </c>
      <c r="B1" s="39"/>
      <c r="C1" s="39"/>
    </row>
    <row r="2" ht="24.75" spans="1:3">
      <c r="A2" s="25"/>
      <c r="B2" s="25"/>
      <c r="C2" s="26" t="s">
        <v>486</v>
      </c>
    </row>
    <row r="3" ht="32.1" customHeight="1" spans="1:2">
      <c r="A3" t="s">
        <v>482</v>
      </c>
      <c r="B3" t="s">
        <v>77</v>
      </c>
    </row>
    <row r="4" ht="32.1" customHeight="1" spans="2:3">
      <c r="B4" s="7" t="s">
        <v>483</v>
      </c>
      <c r="C4" s="8" t="s">
        <v>484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7">
        <f>ROUND(566175,0)</f>
        <v>566175</v>
      </c>
      <c r="C6" s="11">
        <f>ROUND(5,1)</f>
        <v>5</v>
      </c>
    </row>
    <row r="7" spans="1:3">
      <c r="A7" s="9">
        <v>7</v>
      </c>
      <c r="B7" s="27">
        <f>ROUND(663904,0)</f>
        <v>663904</v>
      </c>
      <c r="C7" s="11">
        <f>ROUND(7.7,1)</f>
        <v>7.7</v>
      </c>
    </row>
    <row r="8" spans="1:3">
      <c r="A8" s="9">
        <v>8</v>
      </c>
      <c r="B8" s="27">
        <f>ROUND(735390,0)</f>
        <v>735390</v>
      </c>
      <c r="C8" s="11">
        <f>ROUND(7.7,1)</f>
        <v>7.7</v>
      </c>
    </row>
    <row r="9" spans="1:3">
      <c r="A9" s="9">
        <v>9</v>
      </c>
      <c r="B9" s="27">
        <f>ROUND(815736,0)</f>
        <v>815736</v>
      </c>
      <c r="C9" s="29">
        <f>ROUND(7.2,1)</f>
        <v>7.2</v>
      </c>
    </row>
    <row r="10" spans="1:3">
      <c r="A10" s="9">
        <v>10</v>
      </c>
      <c r="B10" s="27">
        <f>ROUND(894414,0)</f>
        <v>894414</v>
      </c>
      <c r="C10" s="29">
        <f>ROUND(7.36088408731323,1)</f>
        <v>7.4</v>
      </c>
    </row>
    <row r="11" spans="1:3">
      <c r="A11" s="9">
        <v>11</v>
      </c>
      <c r="B11" s="27">
        <f>ROUND(966337,0)</f>
        <v>966337</v>
      </c>
      <c r="C11" s="30">
        <f>ROUND(3.8,1)</f>
        <v>3.8</v>
      </c>
    </row>
    <row r="12" spans="1:3">
      <c r="A12" s="9">
        <v>12</v>
      </c>
      <c r="B12" s="27">
        <f>ROUND(1129375,0)</f>
        <v>1129375</v>
      </c>
      <c r="C12" s="30">
        <f>ROUND(-4.8,1)</f>
        <v>-4.8</v>
      </c>
    </row>
    <row r="13" spans="1:3">
      <c r="A13" s="9">
        <v>2017</v>
      </c>
      <c r="B13" s="27"/>
      <c r="C13" s="30"/>
    </row>
    <row r="14" spans="1:3">
      <c r="A14" s="9">
        <v>2</v>
      </c>
      <c r="B14" s="27">
        <f>ROUND(168865,0)</f>
        <v>168865</v>
      </c>
      <c r="C14" s="30">
        <f>ROUND(21.3,1)</f>
        <v>21.3</v>
      </c>
    </row>
    <row r="15" spans="1:3">
      <c r="A15" s="9">
        <v>3</v>
      </c>
      <c r="B15" s="27">
        <f>ROUND(248142,0)</f>
        <v>248142</v>
      </c>
      <c r="C15" s="30">
        <f>ROUND(15.8466028595928,1)</f>
        <v>15.8</v>
      </c>
    </row>
    <row r="16" spans="1:3">
      <c r="A16" s="9">
        <v>4</v>
      </c>
      <c r="B16" s="27">
        <f>ROUND(325815,0)</f>
        <v>325815</v>
      </c>
      <c r="C16" s="30">
        <v>7.38333558548909</v>
      </c>
    </row>
    <row r="17" spans="1:3">
      <c r="A17" s="9">
        <v>5</v>
      </c>
      <c r="B17" s="27">
        <f>ROUND(401635,0)</f>
        <v>401635</v>
      </c>
      <c r="C17" s="30">
        <f>ROUND(2.1,1)</f>
        <v>2.1</v>
      </c>
    </row>
    <row r="18" spans="1:3">
      <c r="A18" s="9">
        <v>6</v>
      </c>
      <c r="B18" s="27">
        <f>ROUND(583819,0)</f>
        <v>583819</v>
      </c>
      <c r="C18" s="30">
        <f>ROUND(6.8,1)</f>
        <v>6.8</v>
      </c>
    </row>
    <row r="19" spans="1:3">
      <c r="A19" s="9">
        <v>7</v>
      </c>
      <c r="B19" s="27">
        <f>ROUND(672492,0)</f>
        <v>672492</v>
      </c>
      <c r="C19" s="30">
        <f>ROUND(4.4,1)</f>
        <v>4.4</v>
      </c>
    </row>
    <row r="20" spans="1:3">
      <c r="A20" s="31">
        <v>8</v>
      </c>
      <c r="B20" s="27">
        <f>ROUND(745911,0)</f>
        <v>745911</v>
      </c>
      <c r="C20" s="32">
        <f>ROUND(4.2,1)</f>
        <v>4.2</v>
      </c>
    </row>
    <row r="21" spans="1:3">
      <c r="A21" s="31">
        <v>9</v>
      </c>
      <c r="B21" s="27">
        <f>ROUND(869421,0)</f>
        <v>869421</v>
      </c>
      <c r="C21" s="32">
        <f>ROUND(9.22031343236707,1)</f>
        <v>9.2</v>
      </c>
    </row>
    <row r="22" spans="1:3">
      <c r="A22" s="15">
        <v>10</v>
      </c>
      <c r="B22" s="40">
        <f>ROUND(1196191,0)</f>
        <v>1196191</v>
      </c>
      <c r="C22" s="17">
        <f>ROUND(36.8,1)</f>
        <v>36.8</v>
      </c>
    </row>
    <row r="23" spans="1:3">
      <c r="A23" s="15">
        <v>11</v>
      </c>
      <c r="B23" s="40">
        <f>ROUND(1260850,0)</f>
        <v>1260850</v>
      </c>
      <c r="C23" s="34">
        <f>ROUND(32.3884093336007,1)</f>
        <v>32.4</v>
      </c>
    </row>
    <row r="24" spans="1:3">
      <c r="A24" s="15">
        <v>12</v>
      </c>
      <c r="B24" s="40">
        <f>ROUND(1349958,0)</f>
        <v>1349958</v>
      </c>
      <c r="C24" s="34">
        <f>ROUND(21.0263352533788,1)</f>
        <v>21</v>
      </c>
    </row>
    <row r="25" spans="1:3">
      <c r="A25" s="15">
        <v>2018</v>
      </c>
      <c r="B25" s="16"/>
      <c r="C25" s="17"/>
    </row>
    <row r="26" spans="1:3">
      <c r="A26" s="15">
        <v>1</v>
      </c>
      <c r="B26" s="16">
        <f>ROUND(131471,0)</f>
        <v>131471</v>
      </c>
      <c r="C26" s="34">
        <f>ROUND(33.4500644558807,1)</f>
        <v>33.5</v>
      </c>
    </row>
    <row r="27" spans="1:3">
      <c r="A27" s="15">
        <v>2</v>
      </c>
      <c r="B27" s="16">
        <f>ROUND(222479,0)</f>
        <v>222479</v>
      </c>
      <c r="C27" s="34">
        <f>ROUND(31.7496224794955,1)</f>
        <v>31.7</v>
      </c>
    </row>
    <row r="28" spans="1:3">
      <c r="A28" s="15">
        <v>3</v>
      </c>
      <c r="B28" s="16">
        <f>ROUND(302572,0)</f>
        <v>302572</v>
      </c>
      <c r="C28" s="34">
        <f>ROUND(21.9350210766416,1)</f>
        <v>21.9</v>
      </c>
    </row>
    <row r="29" spans="1:3">
      <c r="A29" s="15">
        <v>4</v>
      </c>
      <c r="B29" s="41">
        <f>ROUND(403634,0)</f>
        <v>403634</v>
      </c>
      <c r="C29" s="21">
        <f>ROUND(23.9,1)</f>
        <v>23.9</v>
      </c>
    </row>
    <row r="30" spans="1:3">
      <c r="A30" s="15">
        <v>5</v>
      </c>
      <c r="B30" s="41">
        <v>499011</v>
      </c>
      <c r="C30" s="21">
        <v>24.2448989754379</v>
      </c>
    </row>
    <row r="31" spans="1:3">
      <c r="A31" s="22">
        <v>6</v>
      </c>
      <c r="B31" s="42">
        <v>647923</v>
      </c>
      <c r="C31" s="24">
        <v>11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0"/>
  <sheetViews>
    <sheetView workbookViewId="0">
      <selection activeCell="X19" sqref="X19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spans="1:1">
      <c r="A1" t="s">
        <v>492</v>
      </c>
    </row>
    <row r="2" ht="24.75" spans="1:3">
      <c r="A2" s="25"/>
      <c r="B2" s="25"/>
      <c r="C2" s="26" t="s">
        <v>493</v>
      </c>
    </row>
    <row r="3" ht="32.1" customHeight="1" spans="1:2">
      <c r="A3" t="s">
        <v>482</v>
      </c>
      <c r="B3" t="s">
        <v>494</v>
      </c>
    </row>
    <row r="4" ht="32.1" customHeight="1" spans="2:3">
      <c r="B4" s="7" t="s">
        <v>483</v>
      </c>
      <c r="C4" s="8" t="s">
        <v>484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8">
        <f>ROUND(38.78,2)</f>
        <v>38.78</v>
      </c>
      <c r="C6" s="11">
        <f>ROUND(31.4,1)</f>
        <v>31.4</v>
      </c>
    </row>
    <row r="7" spans="1:3">
      <c r="A7" s="9">
        <v>7</v>
      </c>
      <c r="B7" s="28">
        <f>ROUND(49.38,2)</f>
        <v>49.38</v>
      </c>
      <c r="C7" s="11">
        <f>ROUND(44.3,1)</f>
        <v>44.3</v>
      </c>
    </row>
    <row r="8" spans="1:3">
      <c r="A8" s="9">
        <v>8</v>
      </c>
      <c r="B8" s="28">
        <f>ROUND(56,2)</f>
        <v>56</v>
      </c>
      <c r="C8" s="11">
        <f>ROUND(41.9,1)</f>
        <v>41.9</v>
      </c>
    </row>
    <row r="9" spans="1:3">
      <c r="A9" s="9">
        <v>9</v>
      </c>
      <c r="B9" s="28">
        <f>ROUND(64.1,2)</f>
        <v>64.1</v>
      </c>
      <c r="C9" s="29">
        <f>ROUND(44.1,1)</f>
        <v>44.1</v>
      </c>
    </row>
    <row r="10" spans="1:3">
      <c r="A10" s="9">
        <v>10</v>
      </c>
      <c r="B10" s="28">
        <f>ROUND(72.32,2)</f>
        <v>72.32</v>
      </c>
      <c r="C10" s="29">
        <f>ROUND(47.3,1)</f>
        <v>47.3</v>
      </c>
    </row>
    <row r="11" spans="1:3">
      <c r="A11" s="9">
        <v>11</v>
      </c>
      <c r="B11" s="28">
        <f>ROUND(80.75,2)</f>
        <v>80.75</v>
      </c>
      <c r="C11" s="30">
        <f>ROUND(52,1)</f>
        <v>52</v>
      </c>
    </row>
    <row r="12" spans="1:3">
      <c r="A12" s="9">
        <v>12</v>
      </c>
      <c r="B12" s="28">
        <f>ROUND(89.4,2)</f>
        <v>89.4</v>
      </c>
      <c r="C12" s="30">
        <f>ROUND(52.9,1)</f>
        <v>52.9</v>
      </c>
    </row>
    <row r="13" spans="1:3">
      <c r="A13" s="9">
        <v>2017</v>
      </c>
      <c r="B13" s="28"/>
      <c r="C13" s="30"/>
    </row>
    <row r="14" spans="1:3">
      <c r="A14" s="9">
        <v>2</v>
      </c>
      <c r="B14" s="28">
        <f>ROUND(19.95,2)</f>
        <v>19.95</v>
      </c>
      <c r="C14" s="30">
        <f>ROUND(49.7,1)</f>
        <v>49.7</v>
      </c>
    </row>
    <row r="15" spans="1:3">
      <c r="A15" s="9">
        <v>3</v>
      </c>
      <c r="B15" s="28">
        <f>ROUND(25.02,2)</f>
        <v>25.02</v>
      </c>
      <c r="C15" s="30">
        <f>ROUND(66.7,1)</f>
        <v>66.7</v>
      </c>
    </row>
    <row r="16" spans="1:3">
      <c r="A16" s="9">
        <v>4</v>
      </c>
      <c r="B16" s="28">
        <f>ROUND(34.86,2)</f>
        <v>34.86</v>
      </c>
      <c r="C16" s="30">
        <f>ROUND(55.8,1)</f>
        <v>55.8</v>
      </c>
    </row>
    <row r="17" spans="1:3">
      <c r="A17" s="9">
        <v>5</v>
      </c>
      <c r="B17" s="28">
        <f>ROUND(44.18,2)</f>
        <v>44.18</v>
      </c>
      <c r="C17" s="30">
        <f>ROUND(47.1,1)</f>
        <v>47.1</v>
      </c>
    </row>
    <row r="18" spans="1:3">
      <c r="A18" s="9">
        <v>6</v>
      </c>
      <c r="B18" s="28">
        <f>ROUND(54.94,2)</f>
        <v>54.94</v>
      </c>
      <c r="C18" s="30">
        <f>ROUND(41.7,1)</f>
        <v>41.7</v>
      </c>
    </row>
    <row r="19" spans="1:3">
      <c r="A19" s="9">
        <v>7</v>
      </c>
      <c r="B19" s="28">
        <f>ROUND(64.67,2)</f>
        <v>64.67</v>
      </c>
      <c r="C19" s="30">
        <f>ROUND(35.8,1)</f>
        <v>35.8</v>
      </c>
    </row>
    <row r="20" spans="1:3">
      <c r="A20" s="31">
        <v>8</v>
      </c>
      <c r="B20" s="28">
        <f>ROUND(75.46,2)</f>
        <v>75.46</v>
      </c>
      <c r="C20" s="32">
        <f>ROUND(34.8,1)</f>
        <v>34.8</v>
      </c>
    </row>
    <row r="21" spans="1:3">
      <c r="A21" s="31">
        <v>9</v>
      </c>
      <c r="B21" s="28">
        <f>ROUND(85.67,2)</f>
        <v>85.67</v>
      </c>
      <c r="C21" s="32">
        <f>ROUND(33.7,1)</f>
        <v>33.7</v>
      </c>
    </row>
    <row r="22" spans="1:3">
      <c r="A22" s="15">
        <v>10</v>
      </c>
      <c r="B22" s="33">
        <f>ROUND(93.88,2)</f>
        <v>93.88</v>
      </c>
      <c r="C22" s="17">
        <f>ROUND(29.8,1)</f>
        <v>29.8</v>
      </c>
    </row>
    <row r="23" spans="1:3">
      <c r="A23" s="15">
        <v>11</v>
      </c>
      <c r="B23" s="33">
        <f>ROUND(102.83,2)</f>
        <v>102.83</v>
      </c>
      <c r="C23" s="34">
        <f>ROUND(27.4,1)</f>
        <v>27.4</v>
      </c>
    </row>
    <row r="24" spans="1:3">
      <c r="A24" s="15">
        <v>12</v>
      </c>
      <c r="B24" s="33">
        <f>ROUND(112.45,2)</f>
        <v>112.45</v>
      </c>
      <c r="C24" s="34">
        <f>ROUND(25.8,1)</f>
        <v>25.8</v>
      </c>
    </row>
    <row r="25" spans="1:3">
      <c r="A25" s="15">
        <v>2018</v>
      </c>
      <c r="B25" s="35"/>
      <c r="C25" s="17"/>
    </row>
    <row r="26" spans="1:3">
      <c r="A26" s="15">
        <v>2</v>
      </c>
      <c r="B26" s="35">
        <f>ROUND(17.26707351,2)</f>
        <v>17.27</v>
      </c>
      <c r="C26" s="34">
        <f>ROUND(6.31,1)</f>
        <v>6.3</v>
      </c>
    </row>
    <row r="27" spans="1:3">
      <c r="A27" s="15">
        <v>3</v>
      </c>
      <c r="B27" s="35">
        <f>ROUND(26.96,2)</f>
        <v>26.96</v>
      </c>
      <c r="C27" s="34">
        <f>ROUND(6.1,1)</f>
        <v>6.1</v>
      </c>
    </row>
    <row r="28" spans="1:3">
      <c r="A28" s="15">
        <v>4</v>
      </c>
      <c r="B28" s="28">
        <f>ROUND(374489.7976/10000,2)</f>
        <v>37.45</v>
      </c>
      <c r="C28" s="36">
        <f>ROUND(5.86,1)</f>
        <v>5.9</v>
      </c>
    </row>
    <row r="29" spans="1:3">
      <c r="A29" s="15">
        <v>5</v>
      </c>
      <c r="B29" s="28">
        <v>48.08</v>
      </c>
      <c r="C29" s="36">
        <v>9.1</v>
      </c>
    </row>
    <row r="30" spans="1:3">
      <c r="A30" s="22">
        <v>6</v>
      </c>
      <c r="B30" s="37">
        <v>58.99</v>
      </c>
      <c r="C30" s="38">
        <v>8.9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10" workbookViewId="0">
      <selection activeCell="X19" sqref="X19"/>
    </sheetView>
  </sheetViews>
  <sheetFormatPr defaultColWidth="9" defaultRowHeight="12.75"/>
  <cols>
    <col min="1" max="1" width="14.125" style="2" customWidth="1"/>
    <col min="2" max="2" width="21.375" style="2" customWidth="1"/>
    <col min="3" max="3" width="17.375" style="2" customWidth="1"/>
    <col min="4" max="16384" width="9" style="2"/>
  </cols>
  <sheetData>
    <row r="1" ht="24" customHeight="1" spans="1:3">
      <c r="A1" s="3" t="s">
        <v>399</v>
      </c>
      <c r="B1" s="3"/>
      <c r="C1" s="3"/>
    </row>
    <row r="2" ht="24" customHeight="1" spans="1:3">
      <c r="A2" s="4"/>
      <c r="B2" s="5"/>
      <c r="C2" s="6" t="s">
        <v>495</v>
      </c>
    </row>
    <row r="3" s="1" customFormat="1" ht="32.25" customHeight="1" spans="1:3">
      <c r="A3" t="s">
        <v>482</v>
      </c>
      <c r="B3" t="s">
        <v>399</v>
      </c>
      <c r="C3"/>
    </row>
    <row r="4" s="1" customFormat="1" ht="32.25" customHeight="1" spans="1:3">
      <c r="A4">
        <v>2009</v>
      </c>
      <c r="B4" s="7" t="s">
        <v>496</v>
      </c>
      <c r="C4" s="8" t="s">
        <v>497</v>
      </c>
    </row>
    <row r="5" s="1" customFormat="1" ht="20.1" customHeight="1" spans="1:3">
      <c r="A5" s="9">
        <v>2016</v>
      </c>
      <c r="B5" s="10"/>
      <c r="C5" s="11"/>
    </row>
    <row r="6" s="1" customFormat="1" ht="20.1" customHeight="1" spans="1:3">
      <c r="A6" s="9">
        <v>6</v>
      </c>
      <c r="B6" s="10">
        <f>ROUND(102.3,1)</f>
        <v>102.3</v>
      </c>
      <c r="C6" s="11">
        <f>ROUND(102.7,1)</f>
        <v>102.7</v>
      </c>
    </row>
    <row r="7" s="1" customFormat="1" ht="20.1" customHeight="1" spans="1:3">
      <c r="A7" s="9">
        <v>7</v>
      </c>
      <c r="B7" s="10">
        <f>ROUND(102.1,1)</f>
        <v>102.1</v>
      </c>
      <c r="C7" s="11">
        <f>ROUND(102.6,1)</f>
        <v>102.6</v>
      </c>
    </row>
    <row r="8" s="1" customFormat="1" ht="20.1" customHeight="1" spans="1:3">
      <c r="A8" s="9">
        <v>8</v>
      </c>
      <c r="B8" s="10">
        <f>ROUND(101.4,1)</f>
        <v>101.4</v>
      </c>
      <c r="C8" s="11">
        <f>ROUND(102.5,1)</f>
        <v>102.5</v>
      </c>
    </row>
    <row r="9" s="1" customFormat="1" ht="14.45" customHeight="1" spans="1:3">
      <c r="A9" s="9">
        <v>9</v>
      </c>
      <c r="B9" s="10">
        <f>ROUND(101.82067344,1)</f>
        <v>101.8</v>
      </c>
      <c r="C9" s="11">
        <f>ROUND(102.40761463,1)</f>
        <v>102.4</v>
      </c>
    </row>
    <row r="10" s="1" customFormat="1" ht="14.45" customHeight="1" spans="1:3">
      <c r="A10" s="9">
        <v>10</v>
      </c>
      <c r="B10" s="10">
        <f>ROUND(101.32746357,1)</f>
        <v>101.3</v>
      </c>
      <c r="C10" s="11">
        <f>ROUND(102.29864677,1)</f>
        <v>102.3</v>
      </c>
    </row>
    <row r="11" s="1" customFormat="1" ht="14.45" customHeight="1" spans="1:3">
      <c r="A11" s="9">
        <v>11</v>
      </c>
      <c r="B11" s="10">
        <f>ROUND(102.2,1)</f>
        <v>102.2</v>
      </c>
      <c r="C11" s="11">
        <f>ROUND(102.29864677,1)</f>
        <v>102.3</v>
      </c>
    </row>
    <row r="12" ht="14.25" spans="1:3">
      <c r="A12" s="12">
        <v>12</v>
      </c>
      <c r="B12" s="10">
        <f>ROUND(101.4,1)</f>
        <v>101.4</v>
      </c>
      <c r="C12" s="11">
        <f>ROUND(102.2,1)</f>
        <v>102.2</v>
      </c>
    </row>
    <row r="13" ht="14.25" spans="1:256">
      <c r="A13" s="12">
        <v>2017</v>
      </c>
      <c r="B13" s="10"/>
      <c r="C13" s="11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ht="14.25" spans="1:256">
      <c r="A14" s="12">
        <v>2</v>
      </c>
      <c r="B14" s="10">
        <f>ROUND(99.8,1)</f>
        <v>99.8</v>
      </c>
      <c r="C14" s="11">
        <f>ROUND(101.1,1)</f>
        <v>101.1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14.25" spans="1:256">
      <c r="A15" s="12">
        <v>3</v>
      </c>
      <c r="B15" s="10">
        <f>ROUND(100.57911031,1)</f>
        <v>100.6</v>
      </c>
      <c r="C15" s="11">
        <f>ROUND(100.95612843,1)</f>
        <v>101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14.25" spans="1:256">
      <c r="A16" s="12">
        <v>4</v>
      </c>
      <c r="B16" s="10">
        <f>ROUND(101,1)</f>
        <v>101</v>
      </c>
      <c r="C16" s="11">
        <f>ROUND(100.95612843,1)</f>
        <v>101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14.25" spans="1:256">
      <c r="A17" s="12">
        <v>5</v>
      </c>
      <c r="B17" s="10">
        <f>ROUND(101.5,1)</f>
        <v>101.5</v>
      </c>
      <c r="C17" s="11">
        <f>ROUND(101.1,1)</f>
        <v>101.1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ht="14.25" spans="1:256">
      <c r="A18" s="12">
        <v>6</v>
      </c>
      <c r="B18" s="10">
        <f>ROUND(101.1,1)</f>
        <v>101.1</v>
      </c>
      <c r="C18" s="11">
        <f>ROUND(101.1,1)</f>
        <v>101.1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ht="14.25" spans="1:256">
      <c r="A19" s="12">
        <v>7</v>
      </c>
      <c r="B19" s="10">
        <f>ROUND(101.62395255,1)</f>
        <v>101.6</v>
      </c>
      <c r="C19" s="11">
        <f>ROUND(101.16440126,1)</f>
        <v>101.2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ht="14.25" spans="1:256">
      <c r="A20" s="13">
        <v>8</v>
      </c>
      <c r="B20" s="10">
        <f>ROUND(101.91687646,1)</f>
        <v>101.9</v>
      </c>
      <c r="C20" s="14">
        <f>ROUND(101.25801138,1)</f>
        <v>101.3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ht="14.25" spans="1:3">
      <c r="A21" s="12">
        <v>9</v>
      </c>
      <c r="B21" s="10">
        <f>ROUND(101.03765598,1)</f>
        <v>101</v>
      </c>
      <c r="C21" s="14">
        <f>ROUND(101.23346012,1)</f>
        <v>101.2</v>
      </c>
    </row>
    <row r="22" ht="14.25" spans="1:3">
      <c r="A22" s="12">
        <v>10</v>
      </c>
      <c r="B22" s="10">
        <f>ROUND(101.8,1)</f>
        <v>101.8</v>
      </c>
      <c r="C22" s="14">
        <f>ROUND(101.3,1)</f>
        <v>101.3</v>
      </c>
    </row>
    <row r="23" ht="14.25" spans="1:3">
      <c r="A23" s="12">
        <v>11</v>
      </c>
      <c r="B23" s="10">
        <f>ROUND(101.32934401,1)</f>
        <v>101.3</v>
      </c>
      <c r="C23" s="14">
        <f>ROUND(101.29138171,1)</f>
        <v>101.3</v>
      </c>
    </row>
    <row r="24" ht="14.25" spans="1:3">
      <c r="A24" s="12">
        <v>12</v>
      </c>
      <c r="B24" s="10">
        <f>ROUND(101.93633331,1)</f>
        <v>101.9</v>
      </c>
      <c r="C24" s="14">
        <f>ROUND(101.34501843,1)</f>
        <v>101.3</v>
      </c>
    </row>
    <row r="25" ht="14.25" spans="1:3">
      <c r="A25" s="15">
        <v>2018</v>
      </c>
      <c r="B25" s="16"/>
      <c r="C25" s="17"/>
    </row>
    <row r="26" ht="14.25" spans="1:3">
      <c r="A26" s="15">
        <v>1</v>
      </c>
      <c r="B26" s="10">
        <f>ROUND(100.4833835,1)</f>
        <v>100.5</v>
      </c>
      <c r="C26" s="14">
        <f>ROUND(100.4833835,1)</f>
        <v>100.5</v>
      </c>
    </row>
    <row r="27" ht="14.25" spans="1:3">
      <c r="A27" s="15">
        <v>2</v>
      </c>
      <c r="B27" s="18">
        <f>ROUND(102.58323309,1)</f>
        <v>102.6</v>
      </c>
      <c r="C27" s="19">
        <f>ROUND(101.53370061,1)</f>
        <v>101.5</v>
      </c>
    </row>
    <row r="28" ht="14.25" spans="1:3">
      <c r="A28" s="15">
        <v>3</v>
      </c>
      <c r="B28" s="10">
        <f>ROUND(101.8,1)</f>
        <v>101.8</v>
      </c>
      <c r="C28" s="19">
        <f>ROUND(101.6,1)</f>
        <v>101.6</v>
      </c>
    </row>
    <row r="29" ht="14.25" spans="1:3">
      <c r="A29" s="15">
        <v>4</v>
      </c>
      <c r="B29" s="20">
        <f>ROUND(101,1)</f>
        <v>101</v>
      </c>
      <c r="C29" s="21">
        <f>ROUND(101.45789835,1)</f>
        <v>101.5</v>
      </c>
    </row>
    <row r="30" customFormat="1" ht="14.25" spans="1:3">
      <c r="A30" s="15">
        <v>5</v>
      </c>
      <c r="B30" s="20">
        <v>100.63043043</v>
      </c>
      <c r="C30" s="21">
        <v>101.29245659</v>
      </c>
    </row>
    <row r="31" ht="14.25" spans="1:3">
      <c r="A31" s="22">
        <v>6</v>
      </c>
      <c r="B31" s="23">
        <v>101.2</v>
      </c>
      <c r="C31" s="24">
        <v>101.27416779</v>
      </c>
    </row>
  </sheetData>
  <mergeCells count="3">
    <mergeCell ref="A1:C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X19" sqref="X19"/>
    </sheetView>
  </sheetViews>
  <sheetFormatPr defaultColWidth="9" defaultRowHeight="14.2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zoomScale="90" zoomScaleNormal="90" workbookViewId="0">
      <selection activeCell="A17" sqref="A17:K17"/>
    </sheetView>
  </sheetViews>
  <sheetFormatPr defaultColWidth="9" defaultRowHeight="14.25"/>
  <cols>
    <col min="1" max="1" width="12.1416666666667" style="299" customWidth="1"/>
    <col min="2" max="2" width="11.25" style="299" customWidth="1"/>
    <col min="3" max="3" width="9.5" style="299" customWidth="1"/>
    <col min="4" max="4" width="11.25" style="299" customWidth="1"/>
    <col min="5" max="5" width="9.5" style="299" customWidth="1"/>
    <col min="6" max="6" width="11.25" style="299" customWidth="1"/>
    <col min="7" max="7" width="9.5" style="299" customWidth="1"/>
    <col min="8" max="8" width="11.25" style="299" customWidth="1"/>
    <col min="9" max="9" width="9.5" style="299" customWidth="1"/>
    <col min="10" max="10" width="11.25" style="299" customWidth="1"/>
    <col min="11" max="11" width="9.5" style="299" customWidth="1"/>
    <col min="12" max="16384" width="9" style="299"/>
  </cols>
  <sheetData>
    <row r="1" s="299" customFormat="1" ht="21" customHeight="1" spans="1:11">
      <c r="A1" s="300" t="s">
        <v>72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</row>
    <row r="2" s="299" customFormat="1" ht="23.1" customHeight="1" spans="1:11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</row>
    <row r="3" s="299" customFormat="1" customHeight="1" spans="1:11">
      <c r="A3" s="302"/>
      <c r="B3" s="303" t="s">
        <v>73</v>
      </c>
      <c r="C3" s="303"/>
      <c r="D3" s="304" t="s">
        <v>74</v>
      </c>
      <c r="E3" s="302"/>
      <c r="F3" s="303" t="s">
        <v>75</v>
      </c>
      <c r="G3" s="303"/>
      <c r="H3" s="304" t="s">
        <v>76</v>
      </c>
      <c r="I3" s="303"/>
      <c r="J3" s="304" t="s">
        <v>77</v>
      </c>
      <c r="K3" s="303"/>
    </row>
    <row r="4" s="299" customFormat="1" ht="21" customHeight="1" spans="1:11">
      <c r="A4" s="305"/>
      <c r="B4" s="306"/>
      <c r="C4" s="306"/>
      <c r="D4" s="307"/>
      <c r="E4" s="308"/>
      <c r="F4" s="309"/>
      <c r="G4" s="309"/>
      <c r="H4" s="307"/>
      <c r="I4" s="309"/>
      <c r="J4" s="307"/>
      <c r="K4" s="309"/>
    </row>
    <row r="5" s="299" customFormat="1" ht="30" customHeight="1" spans="1:11">
      <c r="A5" s="308"/>
      <c r="B5" s="310" t="s">
        <v>78</v>
      </c>
      <c r="C5" s="310" t="s">
        <v>79</v>
      </c>
      <c r="D5" s="310" t="s">
        <v>78</v>
      </c>
      <c r="E5" s="310" t="s">
        <v>79</v>
      </c>
      <c r="F5" s="310" t="s">
        <v>78</v>
      </c>
      <c r="G5" s="310" t="s">
        <v>79</v>
      </c>
      <c r="H5" s="310" t="s">
        <v>78</v>
      </c>
      <c r="I5" s="310" t="s">
        <v>79</v>
      </c>
      <c r="J5" s="310" t="s">
        <v>78</v>
      </c>
      <c r="K5" s="321" t="s">
        <v>79</v>
      </c>
    </row>
    <row r="6" s="299" customFormat="1" ht="25.5" customHeight="1" spans="1:12">
      <c r="A6" s="311" t="s">
        <v>80</v>
      </c>
      <c r="B6" s="312">
        <v>858.304540565101</v>
      </c>
      <c r="C6" s="313">
        <v>3.04322047865311</v>
      </c>
      <c r="D6" s="312"/>
      <c r="E6" s="313">
        <v>4.8</v>
      </c>
      <c r="F6" s="312"/>
      <c r="G6" s="313">
        <v>4.67883866873623</v>
      </c>
      <c r="H6" s="312">
        <v>504.339</v>
      </c>
      <c r="I6" s="313">
        <v>1.84</v>
      </c>
      <c r="J6" s="312">
        <v>61.5541</v>
      </c>
      <c r="K6" s="322">
        <v>4.65981449837197</v>
      </c>
      <c r="L6" s="323"/>
    </row>
    <row r="7" s="299" customFormat="1" ht="27.95" customHeight="1" spans="1:11">
      <c r="A7" s="311" t="s">
        <v>81</v>
      </c>
      <c r="B7" s="312">
        <v>88.6888955161776</v>
      </c>
      <c r="C7" s="313">
        <v>3.06537897759706</v>
      </c>
      <c r="D7" s="312"/>
      <c r="E7" s="313">
        <v>-1.8</v>
      </c>
      <c r="F7" s="312"/>
      <c r="G7" s="313">
        <v>-23.8506655945213</v>
      </c>
      <c r="H7" s="312">
        <v>81.4502</v>
      </c>
      <c r="I7" s="313">
        <v>-0.07</v>
      </c>
      <c r="J7" s="312">
        <v>1.3224</v>
      </c>
      <c r="K7" s="322">
        <v>-7.87878787878788</v>
      </c>
    </row>
    <row r="8" s="299" customFormat="1" ht="27.95" customHeight="1" spans="1:11">
      <c r="A8" s="311" t="s">
        <v>82</v>
      </c>
      <c r="B8" s="312">
        <v>107.300177536198</v>
      </c>
      <c r="C8" s="313">
        <v>4.01833288110947</v>
      </c>
      <c r="D8" s="312"/>
      <c r="E8" s="313">
        <v>-7.3</v>
      </c>
      <c r="F8" s="312"/>
      <c r="G8" s="313">
        <v>49.9374138752135</v>
      </c>
      <c r="H8" s="312">
        <v>82.72958</v>
      </c>
      <c r="I8" s="313">
        <v>1.2</v>
      </c>
      <c r="J8" s="312">
        <v>2.1756</v>
      </c>
      <c r="K8" s="322">
        <v>5.1573299821161</v>
      </c>
    </row>
    <row r="9" s="299" customFormat="1" ht="27.95" customHeight="1" spans="1:11">
      <c r="A9" s="311" t="s">
        <v>83</v>
      </c>
      <c r="B9" s="312">
        <v>102.301258249168</v>
      </c>
      <c r="C9" s="313">
        <v>0.237420161658804</v>
      </c>
      <c r="D9" s="312"/>
      <c r="E9" s="313">
        <v>-1.2</v>
      </c>
      <c r="F9" s="312"/>
      <c r="G9" s="313">
        <v>6.7422790281984</v>
      </c>
      <c r="H9" s="312">
        <v>14.44</v>
      </c>
      <c r="I9" s="313">
        <v>1.3</v>
      </c>
      <c r="J9" s="312">
        <v>1.8878</v>
      </c>
      <c r="K9" s="322">
        <v>10.037304733038</v>
      </c>
    </row>
    <row r="10" s="299" customFormat="1" ht="27.95" customHeight="1" spans="1:11">
      <c r="A10" s="311" t="s">
        <v>84</v>
      </c>
      <c r="B10" s="312">
        <v>47.9053059467947</v>
      </c>
      <c r="C10" s="313">
        <v>1.04704104898019</v>
      </c>
      <c r="D10" s="312"/>
      <c r="E10" s="313">
        <v>-59.1</v>
      </c>
      <c r="F10" s="312"/>
      <c r="G10" s="313">
        <v>7.35426908800483</v>
      </c>
      <c r="H10" s="312">
        <v>62.50953</v>
      </c>
      <c r="I10" s="313">
        <v>1.06</v>
      </c>
      <c r="J10" s="312">
        <v>2.1515</v>
      </c>
      <c r="K10" s="322">
        <v>10.8849147039118</v>
      </c>
    </row>
    <row r="11" s="299" customFormat="1" ht="27.95" customHeight="1" spans="1:11">
      <c r="A11" s="311" t="s">
        <v>85</v>
      </c>
      <c r="B11" s="312">
        <v>65.8254678300496</v>
      </c>
      <c r="C11" s="313">
        <v>1.13513511803878</v>
      </c>
      <c r="D11" s="312"/>
      <c r="E11" s="313">
        <v>3.6</v>
      </c>
      <c r="F11" s="312"/>
      <c r="G11" s="313">
        <v>0.60437751111786</v>
      </c>
      <c r="H11" s="312">
        <v>53.28821</v>
      </c>
      <c r="I11" s="313">
        <v>2.01</v>
      </c>
      <c r="J11" s="312">
        <v>3.4105</v>
      </c>
      <c r="K11" s="322">
        <v>-4.10515956699002</v>
      </c>
    </row>
    <row r="12" s="299" customFormat="1" ht="27.95" customHeight="1" spans="1:11">
      <c r="A12" s="311" t="s">
        <v>86</v>
      </c>
      <c r="B12" s="312">
        <v>61.1344068013402</v>
      </c>
      <c r="C12" s="313">
        <v>3.03138856377114</v>
      </c>
      <c r="D12" s="312"/>
      <c r="E12" s="313">
        <v>-8.2</v>
      </c>
      <c r="F12" s="312"/>
      <c r="G12" s="313">
        <v>6.96480671943714</v>
      </c>
      <c r="H12" s="312">
        <v>34.36023</v>
      </c>
      <c r="I12" s="313">
        <v>1.56</v>
      </c>
      <c r="J12" s="312">
        <v>2.5513</v>
      </c>
      <c r="K12" s="322">
        <v>10.278798357467</v>
      </c>
    </row>
    <row r="13" s="299" customFormat="1" ht="27.95" customHeight="1" spans="1:11">
      <c r="A13" s="311" t="s">
        <v>87</v>
      </c>
      <c r="B13" s="312">
        <v>87.4683683523361</v>
      </c>
      <c r="C13" s="313">
        <v>5.83228237894286</v>
      </c>
      <c r="D13" s="312"/>
      <c r="E13" s="313">
        <v>130.3</v>
      </c>
      <c r="F13" s="312"/>
      <c r="G13" s="313">
        <v>-15.8294681156626</v>
      </c>
      <c r="H13" s="312">
        <v>57.0917</v>
      </c>
      <c r="I13" s="313">
        <v>0.81</v>
      </c>
      <c r="J13" s="312">
        <v>3.4013</v>
      </c>
      <c r="K13" s="322">
        <v>35.3320335813472</v>
      </c>
    </row>
    <row r="14" s="299" customFormat="1" ht="27.95" customHeight="1" spans="1:11">
      <c r="A14" s="314" t="s">
        <v>88</v>
      </c>
      <c r="B14" s="312">
        <v>81.6913361660355</v>
      </c>
      <c r="C14" s="315">
        <v>3.08157082905205</v>
      </c>
      <c r="D14" s="312"/>
      <c r="E14" s="315">
        <v>11.5</v>
      </c>
      <c r="F14" s="312"/>
      <c r="G14" s="315">
        <v>-4.02623456916287</v>
      </c>
      <c r="H14" s="312">
        <v>47.75062</v>
      </c>
      <c r="I14" s="315">
        <v>1.44</v>
      </c>
      <c r="J14" s="312">
        <v>5.8756</v>
      </c>
      <c r="K14" s="324">
        <v>115.042272078469</v>
      </c>
    </row>
    <row r="15" s="299" customFormat="1" ht="27.95" customHeight="1" spans="1:11">
      <c r="A15" s="314" t="s">
        <v>89</v>
      </c>
      <c r="B15" s="312">
        <v>111.029304511143</v>
      </c>
      <c r="C15" s="315">
        <v>3.19173318175802</v>
      </c>
      <c r="D15" s="312"/>
      <c r="E15" s="315">
        <v>-2.6</v>
      </c>
      <c r="F15" s="312"/>
      <c r="G15" s="315">
        <v>39.3597187421144</v>
      </c>
      <c r="H15" s="312">
        <v>70.71895</v>
      </c>
      <c r="I15" s="315">
        <v>1.55</v>
      </c>
      <c r="J15" s="312">
        <v>4.9757</v>
      </c>
      <c r="K15" s="324">
        <v>-12.2110871943258</v>
      </c>
    </row>
    <row r="16" s="299" customFormat="1" ht="27.95" customHeight="1" spans="1:11">
      <c r="A16" s="316" t="s">
        <v>90</v>
      </c>
      <c r="B16" s="317">
        <v>178.864675890782</v>
      </c>
      <c r="C16" s="318">
        <v>4.02960798833479</v>
      </c>
      <c r="D16" s="319"/>
      <c r="E16" s="318">
        <v>15.3</v>
      </c>
      <c r="F16" s="319"/>
      <c r="G16" s="318">
        <v>-7.54033387877149</v>
      </c>
      <c r="H16" s="319">
        <v>44.56394</v>
      </c>
      <c r="I16" s="318">
        <v>5.15</v>
      </c>
      <c r="J16" s="319">
        <v>8.7689</v>
      </c>
      <c r="K16" s="325">
        <v>22.0309499290267</v>
      </c>
    </row>
    <row r="17" s="299" customFormat="1" ht="23" customHeight="1" spans="1:11">
      <c r="A17" s="320" t="s">
        <v>91</v>
      </c>
      <c r="B17" s="320"/>
      <c r="C17" s="320"/>
      <c r="D17" s="320"/>
      <c r="E17" s="320"/>
      <c r="F17" s="320"/>
      <c r="G17" s="320"/>
      <c r="H17" s="320"/>
      <c r="I17" s="320"/>
      <c r="J17" s="320"/>
      <c r="K17" s="320"/>
    </row>
  </sheetData>
  <mergeCells count="8">
    <mergeCell ref="A17:K17"/>
    <mergeCell ref="A3:A5"/>
    <mergeCell ref="B3:C4"/>
    <mergeCell ref="D3:E4"/>
    <mergeCell ref="F3:G4"/>
    <mergeCell ref="H3:I4"/>
    <mergeCell ref="J3:K4"/>
    <mergeCell ref="A1:K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F26"/>
  <sheetViews>
    <sheetView zoomScale="90" zoomScaleNormal="90" workbookViewId="0">
      <pane xSplit="2" ySplit="3" topLeftCell="C4" activePane="bottomRight" state="frozen"/>
      <selection/>
      <selection pane="topRight"/>
      <selection pane="bottomLeft"/>
      <selection pane="bottomRight" activeCell="L19" sqref="L19"/>
    </sheetView>
  </sheetViews>
  <sheetFormatPr defaultColWidth="9" defaultRowHeight="14.25" outlineLevelCol="5"/>
  <cols>
    <col min="1" max="1" width="33.125" style="257" customWidth="1"/>
    <col min="2" max="4" width="9.625" style="257" customWidth="1"/>
    <col min="5" max="6" width="10.375" style="257"/>
    <col min="7" max="16384" width="9" style="257"/>
  </cols>
  <sheetData>
    <row r="1" ht="24.95" customHeight="1" spans="1:6">
      <c r="A1" s="136" t="s">
        <v>92</v>
      </c>
      <c r="B1" s="136"/>
      <c r="C1" s="136"/>
      <c r="D1" s="136"/>
      <c r="E1" s="136"/>
      <c r="F1" s="136"/>
    </row>
    <row r="2" s="286" customFormat="1" ht="21" customHeight="1" spans="1:6">
      <c r="A2" s="288" t="s">
        <v>1</v>
      </c>
      <c r="B2" s="289" t="s">
        <v>93</v>
      </c>
      <c r="C2" s="138" t="s">
        <v>3</v>
      </c>
      <c r="D2" s="139"/>
      <c r="E2" s="138" t="s">
        <v>5</v>
      </c>
      <c r="F2" s="139"/>
    </row>
    <row r="3" s="286" customFormat="1" ht="21" customHeight="1" spans="1:6">
      <c r="A3" s="290"/>
      <c r="B3" s="291"/>
      <c r="C3" s="141" t="s">
        <v>7</v>
      </c>
      <c r="D3" s="142" t="s">
        <v>8</v>
      </c>
      <c r="E3" s="141" t="s">
        <v>7</v>
      </c>
      <c r="F3" s="142" t="s">
        <v>8</v>
      </c>
    </row>
    <row r="4" s="287" customFormat="1" ht="24.95" customHeight="1" spans="1:6">
      <c r="A4" s="237" t="s">
        <v>94</v>
      </c>
      <c r="B4" s="238" t="s">
        <v>10</v>
      </c>
      <c r="C4" s="292">
        <v>1170.181648</v>
      </c>
      <c r="D4" s="293">
        <v>2.7</v>
      </c>
      <c r="E4" s="292">
        <v>244.15</v>
      </c>
      <c r="F4" s="293">
        <v>3</v>
      </c>
    </row>
    <row r="5" s="287" customFormat="1" ht="24.95" customHeight="1" spans="1:6">
      <c r="A5" s="237" t="s">
        <v>95</v>
      </c>
      <c r="B5" s="238" t="s">
        <v>10</v>
      </c>
      <c r="C5" s="292">
        <v>625.673625</v>
      </c>
      <c r="D5" s="293">
        <v>2</v>
      </c>
      <c r="E5" s="292">
        <v>113.94</v>
      </c>
      <c r="F5" s="293">
        <v>2.7</v>
      </c>
    </row>
    <row r="6" s="287" customFormat="1" ht="24.95" customHeight="1" spans="1:6">
      <c r="A6" s="237" t="s">
        <v>96</v>
      </c>
      <c r="B6" s="238" t="s">
        <v>10</v>
      </c>
      <c r="C6" s="292">
        <v>21.058501</v>
      </c>
      <c r="D6" s="293">
        <v>11.7</v>
      </c>
      <c r="E6" s="292">
        <v>3.93</v>
      </c>
      <c r="F6" s="293">
        <v>8.6</v>
      </c>
    </row>
    <row r="7" s="287" customFormat="1" ht="24.95" customHeight="1" spans="1:6">
      <c r="A7" s="237" t="s">
        <v>97</v>
      </c>
      <c r="B7" s="238" t="s">
        <v>10</v>
      </c>
      <c r="C7" s="292">
        <v>170.790752</v>
      </c>
      <c r="D7" s="293">
        <v>0.799999999999997</v>
      </c>
      <c r="E7" s="292">
        <v>48.61</v>
      </c>
      <c r="F7" s="293">
        <v>1</v>
      </c>
    </row>
    <row r="8" s="287" customFormat="1" ht="24.95" customHeight="1" spans="1:6">
      <c r="A8" s="237" t="s">
        <v>98</v>
      </c>
      <c r="B8" s="238" t="s">
        <v>10</v>
      </c>
      <c r="C8" s="292">
        <v>294.036169</v>
      </c>
      <c r="D8" s="293">
        <v>4</v>
      </c>
      <c r="E8" s="292">
        <v>65.9</v>
      </c>
      <c r="F8" s="293">
        <v>3.5</v>
      </c>
    </row>
    <row r="9" s="287" customFormat="1" ht="24.95" customHeight="1" spans="1:6">
      <c r="A9" s="237" t="s">
        <v>99</v>
      </c>
      <c r="B9" s="238" t="s">
        <v>10</v>
      </c>
      <c r="C9" s="292">
        <v>58.6226</v>
      </c>
      <c r="D9" s="293">
        <v>9.2</v>
      </c>
      <c r="E9" s="292">
        <v>11.76</v>
      </c>
      <c r="F9" s="293">
        <v>10.9</v>
      </c>
    </row>
    <row r="10" s="287" customFormat="1" ht="24.95" customHeight="1" spans="1:6">
      <c r="A10" s="268" t="s">
        <v>100</v>
      </c>
      <c r="B10" s="238" t="s">
        <v>10</v>
      </c>
      <c r="C10" s="292">
        <v>759.07</v>
      </c>
      <c r="D10" s="293">
        <v>3.8</v>
      </c>
      <c r="E10" s="292">
        <v>116.94</v>
      </c>
      <c r="F10" s="293">
        <v>3.3</v>
      </c>
    </row>
    <row r="11" s="287" customFormat="1" ht="24.95" customHeight="1" spans="1:6">
      <c r="A11" s="237" t="s">
        <v>95</v>
      </c>
      <c r="B11" s="238" t="s">
        <v>10</v>
      </c>
      <c r="C11" s="292">
        <v>438.317893917844</v>
      </c>
      <c r="D11" s="293">
        <v>3.1</v>
      </c>
      <c r="E11" s="292">
        <v>57.79</v>
      </c>
      <c r="F11" s="293">
        <v>3</v>
      </c>
    </row>
    <row r="12" s="287" customFormat="1" ht="24.95" customHeight="1" spans="1:6">
      <c r="A12" s="237" t="s">
        <v>96</v>
      </c>
      <c r="B12" s="238" t="s">
        <v>10</v>
      </c>
      <c r="C12" s="292">
        <v>15.9291441099415</v>
      </c>
      <c r="D12" s="293">
        <v>12.8</v>
      </c>
      <c r="E12" s="292">
        <v>2.32</v>
      </c>
      <c r="F12" s="293">
        <v>8.9</v>
      </c>
    </row>
    <row r="13" s="287" customFormat="1" ht="24.95" customHeight="1" spans="1:6">
      <c r="A13" s="237" t="s">
        <v>97</v>
      </c>
      <c r="B13" s="238" t="s">
        <v>10</v>
      </c>
      <c r="C13" s="292">
        <v>84.5797050178065</v>
      </c>
      <c r="D13" s="293">
        <v>1.9</v>
      </c>
      <c r="E13" s="292">
        <v>18.8</v>
      </c>
      <c r="F13" s="293">
        <v>1.3</v>
      </c>
    </row>
    <row r="14" s="287" customFormat="1" ht="24.95" customHeight="1" spans="1:6">
      <c r="A14" s="237" t="s">
        <v>98</v>
      </c>
      <c r="B14" s="238" t="s">
        <v>10</v>
      </c>
      <c r="C14" s="292">
        <v>195.046182954408</v>
      </c>
      <c r="D14" s="293">
        <v>5.1</v>
      </c>
      <c r="E14" s="292">
        <v>34.15</v>
      </c>
      <c r="F14" s="293">
        <v>3.8</v>
      </c>
    </row>
    <row r="15" s="287" customFormat="1" ht="24.95" customHeight="1" spans="1:6">
      <c r="A15" s="237" t="s">
        <v>99</v>
      </c>
      <c r="B15" s="238" t="s">
        <v>10</v>
      </c>
      <c r="C15" s="292">
        <v>25.197074</v>
      </c>
      <c r="D15" s="293">
        <v>10.3</v>
      </c>
      <c r="E15" s="292">
        <v>3.88</v>
      </c>
      <c r="F15" s="293">
        <v>12.4</v>
      </c>
    </row>
    <row r="16" s="287" customFormat="1" ht="24.95" customHeight="1" spans="1:6">
      <c r="A16" s="237" t="s">
        <v>101</v>
      </c>
      <c r="B16" s="238"/>
      <c r="C16" s="292"/>
      <c r="D16" s="293"/>
      <c r="E16" s="292"/>
      <c r="F16" s="293"/>
    </row>
    <row r="17" s="287" customFormat="1" ht="24.95" customHeight="1" spans="1:6">
      <c r="A17" s="237" t="s">
        <v>102</v>
      </c>
      <c r="B17" s="238" t="s">
        <v>103</v>
      </c>
      <c r="C17" s="292">
        <v>159.58</v>
      </c>
      <c r="D17" s="293">
        <v>5.1</v>
      </c>
      <c r="E17" s="294" t="s">
        <v>11</v>
      </c>
      <c r="F17" s="295" t="s">
        <v>11</v>
      </c>
    </row>
    <row r="18" s="287" customFormat="1" ht="24.95" customHeight="1" spans="1:6">
      <c r="A18" s="237" t="s">
        <v>104</v>
      </c>
      <c r="B18" s="238" t="s">
        <v>103</v>
      </c>
      <c r="C18" s="292">
        <v>129.73</v>
      </c>
      <c r="D18" s="293">
        <v>5.6</v>
      </c>
      <c r="E18" s="294" t="s">
        <v>11</v>
      </c>
      <c r="F18" s="295" t="s">
        <v>11</v>
      </c>
    </row>
    <row r="19" s="287" customFormat="1" ht="24.95" customHeight="1" spans="1:6">
      <c r="A19" s="237" t="s">
        <v>105</v>
      </c>
      <c r="B19" s="238" t="s">
        <v>103</v>
      </c>
      <c r="C19" s="292">
        <v>485.372</v>
      </c>
      <c r="D19" s="293">
        <v>3.5</v>
      </c>
      <c r="E19" s="292">
        <v>180.1</v>
      </c>
      <c r="F19" s="293">
        <v>3.3</v>
      </c>
    </row>
    <row r="20" s="287" customFormat="1" ht="24.95" customHeight="1" spans="1:6">
      <c r="A20" s="237" t="s">
        <v>106</v>
      </c>
      <c r="B20" s="238" t="s">
        <v>103</v>
      </c>
      <c r="C20" s="292">
        <v>345.5597</v>
      </c>
      <c r="D20" s="293">
        <v>1.4</v>
      </c>
      <c r="E20" s="292">
        <v>68.05</v>
      </c>
      <c r="F20" s="293">
        <v>2</v>
      </c>
    </row>
    <row r="21" s="287" customFormat="1" ht="24.95" customHeight="1" spans="1:6">
      <c r="A21" s="262" t="s">
        <v>107</v>
      </c>
      <c r="B21" s="263" t="s">
        <v>103</v>
      </c>
      <c r="C21" s="292">
        <v>118.1428</v>
      </c>
      <c r="D21" s="293">
        <v>-2.2</v>
      </c>
      <c r="E21" s="292">
        <v>18.64</v>
      </c>
      <c r="F21" s="293">
        <v>-6.6</v>
      </c>
    </row>
    <row r="22" s="287" customFormat="1" ht="24.95" customHeight="1" spans="1:6">
      <c r="A22" s="262" t="s">
        <v>108</v>
      </c>
      <c r="B22" s="263" t="s">
        <v>103</v>
      </c>
      <c r="C22" s="292">
        <v>120.2528</v>
      </c>
      <c r="D22" s="293">
        <v>2.4</v>
      </c>
      <c r="E22" s="292">
        <v>35.68</v>
      </c>
      <c r="F22" s="293">
        <v>4.3</v>
      </c>
    </row>
    <row r="23" s="287" customFormat="1" ht="24.95" customHeight="1" spans="1:6">
      <c r="A23" s="262" t="s">
        <v>109</v>
      </c>
      <c r="B23" s="263" t="s">
        <v>110</v>
      </c>
      <c r="C23" s="292">
        <v>474.5</v>
      </c>
      <c r="D23" s="293">
        <v>5.5</v>
      </c>
      <c r="E23" s="292">
        <v>126.35</v>
      </c>
      <c r="F23" s="293">
        <v>3</v>
      </c>
    </row>
    <row r="24" s="287" customFormat="1" ht="24.95" customHeight="1" spans="1:6">
      <c r="A24" s="262" t="s">
        <v>111</v>
      </c>
      <c r="B24" s="263" t="s">
        <v>112</v>
      </c>
      <c r="C24" s="292">
        <v>8572.4354</v>
      </c>
      <c r="D24" s="293">
        <v>-9.1</v>
      </c>
      <c r="E24" s="292">
        <v>2362.12</v>
      </c>
      <c r="F24" s="293">
        <v>-4.5</v>
      </c>
    </row>
    <row r="25" s="287" customFormat="1" ht="24.95" customHeight="1" spans="1:6">
      <c r="A25" s="264" t="s">
        <v>113</v>
      </c>
      <c r="B25" s="265" t="s">
        <v>103</v>
      </c>
      <c r="C25" s="296">
        <v>132.25</v>
      </c>
      <c r="D25" s="297">
        <v>2.9</v>
      </c>
      <c r="E25" s="296">
        <v>29.64</v>
      </c>
      <c r="F25" s="297">
        <v>3.7</v>
      </c>
    </row>
    <row r="26" ht="54" customHeight="1" spans="1:6">
      <c r="A26" s="298" t="s">
        <v>114</v>
      </c>
      <c r="B26" s="298"/>
      <c r="C26" s="298"/>
      <c r="D26" s="298"/>
      <c r="E26" s="298"/>
      <c r="F26" s="298"/>
    </row>
  </sheetData>
  <mergeCells count="6">
    <mergeCell ref="A1:F1"/>
    <mergeCell ref="C2:D2"/>
    <mergeCell ref="E2:F2"/>
    <mergeCell ref="A26:F26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1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O11" sqref="O11"/>
    </sheetView>
  </sheetViews>
  <sheetFormatPr defaultColWidth="9" defaultRowHeight="14.25"/>
  <cols>
    <col min="1" max="1" width="26.75" style="134" customWidth="1"/>
    <col min="2" max="9" width="10.375" style="134"/>
    <col min="10" max="159" width="9" style="134"/>
    <col min="160" max="16384" width="9" style="135"/>
  </cols>
  <sheetData>
    <row r="1" ht="28.5" customHeight="1" spans="1:9">
      <c r="A1" s="136" t="s">
        <v>74</v>
      </c>
      <c r="B1" s="136"/>
      <c r="C1" s="136"/>
      <c r="D1" s="136"/>
      <c r="E1" s="136"/>
      <c r="F1" s="136"/>
      <c r="G1" s="136"/>
      <c r="H1" s="136"/>
      <c r="I1" s="136"/>
    </row>
    <row r="2" ht="21" customHeight="1" spans="1:9">
      <c r="A2" s="266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</row>
    <row r="3" ht="21" customHeight="1" spans="1:9">
      <c r="A3" s="267"/>
      <c r="B3" s="141" t="s">
        <v>7</v>
      </c>
      <c r="C3" s="142" t="s">
        <v>8</v>
      </c>
      <c r="D3" s="141" t="s">
        <v>7</v>
      </c>
      <c r="E3" s="142" t="s">
        <v>8</v>
      </c>
      <c r="F3" s="141" t="s">
        <v>7</v>
      </c>
      <c r="G3" s="142" t="s">
        <v>8</v>
      </c>
      <c r="H3" s="141" t="s">
        <v>7</v>
      </c>
      <c r="I3" s="142" t="s">
        <v>8</v>
      </c>
    </row>
    <row r="4" ht="41.25" customHeight="1" spans="1:9">
      <c r="A4" s="197" t="s">
        <v>115</v>
      </c>
      <c r="B4" s="212"/>
      <c r="C4" s="190">
        <v>-2.7</v>
      </c>
      <c r="D4" s="212"/>
      <c r="E4" s="190">
        <v>-1.5</v>
      </c>
      <c r="F4" s="212"/>
      <c r="G4" s="190">
        <v>-0.5</v>
      </c>
      <c r="H4" s="212"/>
      <c r="I4" s="190">
        <v>4.8</v>
      </c>
    </row>
    <row r="5" ht="41.25" customHeight="1" spans="1:9">
      <c r="A5" s="149" t="s">
        <v>116</v>
      </c>
      <c r="B5" s="147"/>
      <c r="C5" s="148">
        <v>1.3</v>
      </c>
      <c r="D5" s="147"/>
      <c r="E5" s="148">
        <v>2.3</v>
      </c>
      <c r="F5" s="147"/>
      <c r="G5" s="148">
        <v>-5.7</v>
      </c>
      <c r="H5" s="147"/>
      <c r="I5" s="148">
        <v>-10.7</v>
      </c>
    </row>
    <row r="6" ht="41.25" customHeight="1" spans="1:9">
      <c r="A6" s="149" t="s">
        <v>117</v>
      </c>
      <c r="B6" s="147"/>
      <c r="C6" s="148">
        <v>-3.5</v>
      </c>
      <c r="D6" s="147"/>
      <c r="E6" s="148">
        <v>-2.2</v>
      </c>
      <c r="F6" s="147"/>
      <c r="G6" s="148">
        <v>0.5</v>
      </c>
      <c r="H6" s="147"/>
      <c r="I6" s="148">
        <v>7.7</v>
      </c>
    </row>
    <row r="7" ht="41.25" customHeight="1" spans="1:9">
      <c r="A7" s="149" t="s">
        <v>118</v>
      </c>
      <c r="B7" s="147"/>
      <c r="C7" s="148">
        <v>-0.4</v>
      </c>
      <c r="D7" s="147"/>
      <c r="E7" s="148">
        <v>9.5</v>
      </c>
      <c r="F7" s="147"/>
      <c r="G7" s="148">
        <v>12.4</v>
      </c>
      <c r="H7" s="147"/>
      <c r="I7" s="148">
        <v>11.2</v>
      </c>
    </row>
    <row r="8" ht="41.25" customHeight="1" spans="1:9">
      <c r="A8" s="149" t="s">
        <v>119</v>
      </c>
      <c r="B8" s="147"/>
      <c r="C8" s="148">
        <v>-2.4</v>
      </c>
      <c r="D8" s="147"/>
      <c r="E8" s="148">
        <v>-15.4</v>
      </c>
      <c r="F8" s="147"/>
      <c r="G8" s="148">
        <v>0</v>
      </c>
      <c r="H8" s="147"/>
      <c r="I8" s="148">
        <v>0</v>
      </c>
    </row>
    <row r="9" ht="41.25" customHeight="1" spans="1:9">
      <c r="A9" s="149" t="s">
        <v>120</v>
      </c>
      <c r="B9" s="147"/>
      <c r="C9" s="148">
        <v>-0.8</v>
      </c>
      <c r="D9" s="147"/>
      <c r="E9" s="148">
        <v>2.6</v>
      </c>
      <c r="F9" s="147"/>
      <c r="G9" s="148">
        <v>-1.8</v>
      </c>
      <c r="H9" s="147"/>
      <c r="I9" s="148">
        <v>-3.8</v>
      </c>
    </row>
    <row r="10" ht="41.25" customHeight="1" spans="1:9">
      <c r="A10" s="149" t="s">
        <v>121</v>
      </c>
      <c r="B10" s="147"/>
      <c r="C10" s="148">
        <v>-4</v>
      </c>
      <c r="D10" s="147"/>
      <c r="E10" s="148">
        <v>-4.4</v>
      </c>
      <c r="F10" s="147"/>
      <c r="G10" s="148">
        <v>0.5</v>
      </c>
      <c r="H10" s="147"/>
      <c r="I10" s="148">
        <v>11.5</v>
      </c>
    </row>
    <row r="11" ht="41.25" customHeight="1" spans="1:9">
      <c r="A11" s="149" t="s">
        <v>122</v>
      </c>
      <c r="B11" s="147"/>
      <c r="C11" s="148">
        <v>-17.3</v>
      </c>
      <c r="D11" s="147"/>
      <c r="E11" s="148">
        <v>-22.2</v>
      </c>
      <c r="F11" s="147"/>
      <c r="G11" s="148">
        <v>-3.8</v>
      </c>
      <c r="H11" s="147"/>
      <c r="I11" s="148">
        <v>-19.9</v>
      </c>
    </row>
    <row r="12" ht="41.25" customHeight="1" spans="1:9">
      <c r="A12" s="149" t="s">
        <v>123</v>
      </c>
      <c r="B12" s="147"/>
      <c r="C12" s="148">
        <v>-0.3</v>
      </c>
      <c r="D12" s="147"/>
      <c r="E12" s="148">
        <v>6.8</v>
      </c>
      <c r="F12" s="147"/>
      <c r="G12" s="148">
        <v>6.2</v>
      </c>
      <c r="H12" s="147"/>
      <c r="I12" s="148">
        <v>14.3</v>
      </c>
    </row>
    <row r="13" ht="41.25" customHeight="1" spans="1:9">
      <c r="A13" s="149" t="s">
        <v>124</v>
      </c>
      <c r="B13" s="147"/>
      <c r="C13" s="148">
        <v>-3.78436891637124</v>
      </c>
      <c r="D13" s="147"/>
      <c r="E13" s="148">
        <v>-4.92208814518072</v>
      </c>
      <c r="F13" s="147"/>
      <c r="G13" s="148">
        <v>-2.9653158802533</v>
      </c>
      <c r="H13" s="147"/>
      <c r="I13" s="148">
        <v>4.1</v>
      </c>
    </row>
    <row r="14" ht="41.25" customHeight="1" spans="1:9">
      <c r="A14" s="149" t="s">
        <v>125</v>
      </c>
      <c r="B14" s="147"/>
      <c r="C14" s="148">
        <v>2.23527738864702</v>
      </c>
      <c r="D14" s="147"/>
      <c r="E14" s="148">
        <v>5.01244150619267</v>
      </c>
      <c r="F14" s="147"/>
      <c r="G14" s="148">
        <v>1.06679354765326</v>
      </c>
      <c r="H14" s="147"/>
      <c r="I14" s="148">
        <v>-0.9</v>
      </c>
    </row>
    <row r="15" ht="41.25" customHeight="1" spans="1:9">
      <c r="A15" s="149" t="s">
        <v>126</v>
      </c>
      <c r="B15" s="147"/>
      <c r="C15" s="148">
        <v>1.00069662293659</v>
      </c>
      <c r="D15" s="147"/>
      <c r="E15" s="148">
        <v>18.8620441213833</v>
      </c>
      <c r="F15" s="147"/>
      <c r="G15" s="148">
        <v>16.8678845326533</v>
      </c>
      <c r="H15" s="147"/>
      <c r="I15" s="148">
        <v>14.7</v>
      </c>
    </row>
    <row r="16" ht="41.25" customHeight="1" spans="1:9">
      <c r="A16" s="153" t="s">
        <v>127</v>
      </c>
      <c r="B16" s="154"/>
      <c r="C16" s="155">
        <v>9.09845406402722</v>
      </c>
      <c r="D16" s="154"/>
      <c r="E16" s="155">
        <v>11.9732070111686</v>
      </c>
      <c r="F16" s="154"/>
      <c r="G16" s="155">
        <v>7.8420898847678</v>
      </c>
      <c r="H16" s="154"/>
      <c r="I16" s="155">
        <v>5.7</v>
      </c>
    </row>
    <row r="17" ht="41" customHeight="1" spans="1:1">
      <c r="A17" s="285" t="s">
        <v>128</v>
      </c>
    </row>
    <row r="18" spans="1:1">
      <c r="A18" s="285"/>
    </row>
  </sheetData>
  <mergeCells count="6">
    <mergeCell ref="A1:I1"/>
    <mergeCell ref="B2:C2"/>
    <mergeCell ref="D2:E2"/>
    <mergeCell ref="F2:G2"/>
    <mergeCell ref="H2:I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W3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L10" sqref="L10"/>
    </sheetView>
  </sheetViews>
  <sheetFormatPr defaultColWidth="9" defaultRowHeight="14.25"/>
  <cols>
    <col min="1" max="1" width="33.5916666666667" style="134" customWidth="1"/>
    <col min="2" max="9" width="10.375" style="134"/>
    <col min="10" max="153" width="9" style="134"/>
    <col min="154" max="16384" width="9" style="135"/>
  </cols>
  <sheetData>
    <row r="1" ht="28.5" customHeight="1" spans="1:9">
      <c r="A1" s="136" t="s">
        <v>129</v>
      </c>
      <c r="B1" s="136"/>
      <c r="C1" s="136"/>
      <c r="D1" s="136"/>
      <c r="E1" s="136"/>
      <c r="F1" s="136"/>
      <c r="G1" s="136"/>
      <c r="H1" s="136"/>
      <c r="I1" s="136"/>
    </row>
    <row r="2" ht="21" customHeight="1" spans="1:9">
      <c r="A2" s="266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</row>
    <row r="3" ht="21" customHeight="1" spans="1:9">
      <c r="A3" s="267"/>
      <c r="B3" s="141" t="s">
        <v>7</v>
      </c>
      <c r="C3" s="142" t="s">
        <v>8</v>
      </c>
      <c r="D3" s="141" t="s">
        <v>7</v>
      </c>
      <c r="E3" s="142" t="s">
        <v>8</v>
      </c>
      <c r="F3" s="141" t="s">
        <v>7</v>
      </c>
      <c r="G3" s="142" t="s">
        <v>8</v>
      </c>
      <c r="H3" s="141" t="s">
        <v>7</v>
      </c>
      <c r="I3" s="142" t="s">
        <v>8</v>
      </c>
    </row>
    <row r="4" ht="24.75" customHeight="1" spans="1:9">
      <c r="A4" s="197" t="s">
        <v>130</v>
      </c>
      <c r="B4" s="212"/>
      <c r="C4" s="190">
        <v>-2.7</v>
      </c>
      <c r="D4" s="212"/>
      <c r="E4" s="190">
        <v>-1.5</v>
      </c>
      <c r="F4" s="212"/>
      <c r="G4" s="190">
        <v>-0.5</v>
      </c>
      <c r="H4" s="212"/>
      <c r="I4" s="190">
        <v>4.8</v>
      </c>
    </row>
    <row r="5" ht="23.25" customHeight="1" spans="1:9">
      <c r="A5" s="150" t="s">
        <v>131</v>
      </c>
      <c r="B5" s="212"/>
      <c r="C5" s="190">
        <v>-7.06063382158675</v>
      </c>
      <c r="D5" s="212"/>
      <c r="E5" s="190">
        <v>-5.93681414006547</v>
      </c>
      <c r="F5" s="212"/>
      <c r="G5" s="190">
        <v>1.55286707252185</v>
      </c>
      <c r="H5" s="212"/>
      <c r="I5" s="190">
        <v>6.2</v>
      </c>
    </row>
    <row r="6" ht="21.75" customHeight="1" spans="1:9">
      <c r="A6" s="150" t="s">
        <v>132</v>
      </c>
      <c r="B6" s="212"/>
      <c r="C6" s="190">
        <v>-1.34205535645299</v>
      </c>
      <c r="D6" s="212"/>
      <c r="E6" s="190">
        <v>1.95066614577762</v>
      </c>
      <c r="F6" s="212"/>
      <c r="G6" s="190">
        <v>0.460266794179631</v>
      </c>
      <c r="H6" s="212"/>
      <c r="I6" s="190">
        <v>7.5</v>
      </c>
    </row>
    <row r="7" ht="18" customHeight="1" spans="1:9">
      <c r="A7" s="149" t="s">
        <v>133</v>
      </c>
      <c r="B7" s="147"/>
      <c r="C7" s="148">
        <v>2.5</v>
      </c>
      <c r="D7" s="147"/>
      <c r="E7" s="148">
        <v>19.8</v>
      </c>
      <c r="F7" s="147"/>
      <c r="G7" s="148">
        <v>14.4</v>
      </c>
      <c r="H7" s="147"/>
      <c r="I7" s="148">
        <v>11.7</v>
      </c>
    </row>
    <row r="8" ht="18" customHeight="1" spans="1:9">
      <c r="A8" s="149" t="s">
        <v>134</v>
      </c>
      <c r="B8" s="147"/>
      <c r="C8" s="148">
        <v>-10.7</v>
      </c>
      <c r="D8" s="147"/>
      <c r="E8" s="148">
        <v>-14.9</v>
      </c>
      <c r="F8" s="147"/>
      <c r="G8" s="148">
        <v>-8.7</v>
      </c>
      <c r="H8" s="147"/>
      <c r="I8" s="148">
        <v>-5.2</v>
      </c>
    </row>
    <row r="9" ht="18" customHeight="1" spans="1:9">
      <c r="A9" s="149" t="s">
        <v>135</v>
      </c>
      <c r="B9" s="147"/>
      <c r="C9" s="148">
        <v>2.7</v>
      </c>
      <c r="D9" s="147"/>
      <c r="E9" s="148">
        <v>5.5</v>
      </c>
      <c r="F9" s="147"/>
      <c r="G9" s="148">
        <v>4.8</v>
      </c>
      <c r="H9" s="147"/>
      <c r="I9" s="148">
        <v>2.9</v>
      </c>
    </row>
    <row r="10" ht="18" customHeight="1" spans="1:9">
      <c r="A10" s="149" t="s">
        <v>136</v>
      </c>
      <c r="B10" s="147"/>
      <c r="C10" s="148">
        <v>3.4</v>
      </c>
      <c r="D10" s="147"/>
      <c r="E10" s="148">
        <v>21.2</v>
      </c>
      <c r="F10" s="147"/>
      <c r="G10" s="148">
        <v>3.6</v>
      </c>
      <c r="H10" s="147"/>
      <c r="I10" s="148">
        <v>-3.3</v>
      </c>
    </row>
    <row r="11" ht="18" customHeight="1" spans="1:9">
      <c r="A11" s="149" t="s">
        <v>137</v>
      </c>
      <c r="B11" s="147"/>
      <c r="C11" s="148">
        <v>-11.2</v>
      </c>
      <c r="D11" s="147"/>
      <c r="E11" s="148">
        <v>14.8</v>
      </c>
      <c r="F11" s="147"/>
      <c r="G11" s="148">
        <v>12.4</v>
      </c>
      <c r="H11" s="147"/>
      <c r="I11" s="148">
        <v>12.3</v>
      </c>
    </row>
    <row r="12" ht="18" customHeight="1" spans="1:9">
      <c r="A12" s="149" t="s">
        <v>138</v>
      </c>
      <c r="B12" s="147"/>
      <c r="C12" s="148">
        <v>69.3</v>
      </c>
      <c r="D12" s="147"/>
      <c r="E12" s="148">
        <v>66.9</v>
      </c>
      <c r="F12" s="147"/>
      <c r="G12" s="148">
        <v>11.9</v>
      </c>
      <c r="H12" s="147"/>
      <c r="I12" s="148">
        <v>13.8</v>
      </c>
    </row>
    <row r="13" ht="18" customHeight="1" spans="1:9">
      <c r="A13" s="149" t="s">
        <v>139</v>
      </c>
      <c r="B13" s="147"/>
      <c r="C13" s="148">
        <v>0.1</v>
      </c>
      <c r="D13" s="147"/>
      <c r="E13" s="148">
        <v>-2.3</v>
      </c>
      <c r="F13" s="147"/>
      <c r="G13" s="148">
        <v>10.4</v>
      </c>
      <c r="H13" s="147"/>
      <c r="I13" s="148">
        <v>2.7</v>
      </c>
    </row>
    <row r="14" ht="18" customHeight="1" spans="1:9">
      <c r="A14" s="149" t="s">
        <v>140</v>
      </c>
      <c r="B14" s="147"/>
      <c r="C14" s="148">
        <v>-39.5</v>
      </c>
      <c r="D14" s="147"/>
      <c r="E14" s="148">
        <v>-55.2</v>
      </c>
      <c r="F14" s="147"/>
      <c r="G14" s="148">
        <v>-51.9</v>
      </c>
      <c r="H14" s="147"/>
      <c r="I14" s="148">
        <v>-50.1</v>
      </c>
    </row>
    <row r="15" ht="18" customHeight="1" spans="1:9">
      <c r="A15" s="149" t="s">
        <v>141</v>
      </c>
      <c r="B15" s="147"/>
      <c r="C15" s="148">
        <v>-35.5</v>
      </c>
      <c r="D15" s="147"/>
      <c r="E15" s="148">
        <v>-74.3</v>
      </c>
      <c r="F15" s="147"/>
      <c r="G15" s="148">
        <v>-71.7</v>
      </c>
      <c r="H15" s="147"/>
      <c r="I15" s="148">
        <v>-71.6</v>
      </c>
    </row>
    <row r="16" ht="18" customHeight="1" spans="1:9">
      <c r="A16" s="149" t="s">
        <v>142</v>
      </c>
      <c r="B16" s="151"/>
      <c r="C16" s="152">
        <v>-5.2</v>
      </c>
      <c r="D16" s="151"/>
      <c r="E16" s="152">
        <v>-67.9</v>
      </c>
      <c r="F16" s="151"/>
      <c r="G16" s="152">
        <v>-69.5</v>
      </c>
      <c r="H16" s="151"/>
      <c r="I16" s="152">
        <v>-69.7</v>
      </c>
    </row>
    <row r="17" ht="18" customHeight="1" spans="1:9">
      <c r="A17" s="149" t="s">
        <v>143</v>
      </c>
      <c r="B17" s="147"/>
      <c r="C17" s="148">
        <v>-9.8</v>
      </c>
      <c r="D17" s="147"/>
      <c r="E17" s="148">
        <v>40.9</v>
      </c>
      <c r="F17" s="147"/>
      <c r="G17" s="148">
        <v>41.5</v>
      </c>
      <c r="H17" s="147"/>
      <c r="I17" s="148">
        <v>45.3</v>
      </c>
    </row>
    <row r="18" ht="18" customHeight="1" spans="1:9">
      <c r="A18" s="149" t="s">
        <v>144</v>
      </c>
      <c r="B18" s="147"/>
      <c r="C18" s="148">
        <v>5.2</v>
      </c>
      <c r="D18" s="147"/>
      <c r="E18" s="148">
        <v>-12.7</v>
      </c>
      <c r="F18" s="147"/>
      <c r="G18" s="148">
        <v>-8.1</v>
      </c>
      <c r="H18" s="147"/>
      <c r="I18" s="148">
        <v>-12</v>
      </c>
    </row>
    <row r="19" ht="18" customHeight="1" spans="1:9">
      <c r="A19" s="149" t="s">
        <v>145</v>
      </c>
      <c r="B19" s="147"/>
      <c r="C19" s="148">
        <v>0.1</v>
      </c>
      <c r="D19" s="147"/>
      <c r="E19" s="148">
        <v>2.6</v>
      </c>
      <c r="F19" s="147"/>
      <c r="G19" s="148">
        <v>4.6</v>
      </c>
      <c r="H19" s="147"/>
      <c r="I19" s="148">
        <v>23.5</v>
      </c>
    </row>
    <row r="20" ht="18" customHeight="1" spans="1:9">
      <c r="A20" s="149" t="s">
        <v>146</v>
      </c>
      <c r="B20" s="147"/>
      <c r="C20" s="148">
        <v>-4.4</v>
      </c>
      <c r="D20" s="147"/>
      <c r="E20" s="148">
        <v>4.1</v>
      </c>
      <c r="F20" s="147"/>
      <c r="G20" s="148">
        <v>10.3</v>
      </c>
      <c r="H20" s="147"/>
      <c r="I20" s="148">
        <v>29.5</v>
      </c>
    </row>
    <row r="21" ht="18" customHeight="1" spans="1:9">
      <c r="A21" s="149" t="s">
        <v>147</v>
      </c>
      <c r="B21" s="147"/>
      <c r="C21" s="148">
        <v>12.4</v>
      </c>
      <c r="D21" s="147"/>
      <c r="E21" s="148">
        <v>-1.4</v>
      </c>
      <c r="F21" s="147"/>
      <c r="G21" s="148">
        <v>-4.8</v>
      </c>
      <c r="H21" s="147"/>
      <c r="I21" s="148">
        <v>-10.1</v>
      </c>
    </row>
    <row r="22" ht="18" customHeight="1" spans="1:9">
      <c r="A22" s="149" t="s">
        <v>148</v>
      </c>
      <c r="B22" s="147"/>
      <c r="C22" s="148">
        <v>11.5</v>
      </c>
      <c r="D22" s="147"/>
      <c r="E22" s="148">
        <v>19</v>
      </c>
      <c r="F22" s="147"/>
      <c r="G22" s="148">
        <v>16.7</v>
      </c>
      <c r="H22" s="147"/>
      <c r="I22" s="148">
        <v>9.5</v>
      </c>
    </row>
    <row r="23" ht="18" customHeight="1" spans="1:9">
      <c r="A23" s="149" t="s">
        <v>149</v>
      </c>
      <c r="B23" s="147"/>
      <c r="C23" s="148">
        <v>-4.9</v>
      </c>
      <c r="D23" s="147"/>
      <c r="E23" s="148">
        <v>1.3</v>
      </c>
      <c r="F23" s="147"/>
      <c r="G23" s="148">
        <v>3.7</v>
      </c>
      <c r="H23" s="147"/>
      <c r="I23" s="148">
        <v>6.5</v>
      </c>
    </row>
    <row r="24" ht="18" customHeight="1" spans="1:9">
      <c r="A24" s="149" t="s">
        <v>150</v>
      </c>
      <c r="B24" s="147"/>
      <c r="C24" s="148">
        <v>-4.8</v>
      </c>
      <c r="D24" s="147"/>
      <c r="E24" s="148">
        <v>1.1</v>
      </c>
      <c r="F24" s="147"/>
      <c r="G24" s="148">
        <v>-1</v>
      </c>
      <c r="H24" s="147"/>
      <c r="I24" s="148">
        <v>-1</v>
      </c>
    </row>
    <row r="25" ht="18" customHeight="1" spans="1:9">
      <c r="A25" s="149" t="s">
        <v>151</v>
      </c>
      <c r="B25" s="147"/>
      <c r="C25" s="148">
        <v>55.7</v>
      </c>
      <c r="D25" s="147"/>
      <c r="E25" s="148">
        <v>34.3</v>
      </c>
      <c r="F25" s="147"/>
      <c r="G25" s="148">
        <v>15.4</v>
      </c>
      <c r="H25" s="147"/>
      <c r="I25" s="148">
        <v>-2</v>
      </c>
    </row>
    <row r="26" ht="18" customHeight="1" spans="1:9">
      <c r="A26" s="149" t="s">
        <v>152</v>
      </c>
      <c r="B26" s="147"/>
      <c r="C26" s="148">
        <v>-1.4</v>
      </c>
      <c r="D26" s="147"/>
      <c r="E26" s="148">
        <v>-23.4</v>
      </c>
      <c r="F26" s="147"/>
      <c r="G26" s="148">
        <v>-22.4</v>
      </c>
      <c r="H26" s="147"/>
      <c r="I26" s="148">
        <v>-51.5</v>
      </c>
    </row>
    <row r="27" ht="18" customHeight="1" spans="1:9">
      <c r="A27" s="149" t="s">
        <v>153</v>
      </c>
      <c r="B27" s="147"/>
      <c r="C27" s="148">
        <v>9.5</v>
      </c>
      <c r="D27" s="147"/>
      <c r="E27" s="148">
        <v>-12.1</v>
      </c>
      <c r="F27" s="147"/>
      <c r="G27" s="148">
        <v>-13</v>
      </c>
      <c r="H27" s="147"/>
      <c r="I27" s="148">
        <v>-9.5</v>
      </c>
    </row>
    <row r="28" ht="18" customHeight="1" spans="1:9">
      <c r="A28" s="149" t="s">
        <v>154</v>
      </c>
      <c r="B28" s="147"/>
      <c r="C28" s="148">
        <v>-5.1</v>
      </c>
      <c r="D28" s="147"/>
      <c r="E28" s="148">
        <v>5.5</v>
      </c>
      <c r="F28" s="147"/>
      <c r="G28" s="148">
        <v>7.3</v>
      </c>
      <c r="H28" s="147"/>
      <c r="I28" s="148">
        <v>15.5</v>
      </c>
    </row>
    <row r="29" ht="18" customHeight="1" spans="1:9">
      <c r="A29" s="149" t="s">
        <v>155</v>
      </c>
      <c r="B29" s="147"/>
      <c r="C29" s="148">
        <v>-22.6</v>
      </c>
      <c r="D29" s="147"/>
      <c r="E29" s="148">
        <v>18.5</v>
      </c>
      <c r="F29" s="147"/>
      <c r="G29" s="148">
        <v>19.9</v>
      </c>
      <c r="H29" s="147"/>
      <c r="I29" s="148">
        <v>19.5</v>
      </c>
    </row>
    <row r="30" ht="18" customHeight="1" spans="1:9">
      <c r="A30" s="149" t="s">
        <v>156</v>
      </c>
      <c r="B30" s="147"/>
      <c r="C30" s="148">
        <v>34.4</v>
      </c>
      <c r="D30" s="147"/>
      <c r="E30" s="148">
        <v>43.9</v>
      </c>
      <c r="F30" s="147"/>
      <c r="G30" s="148">
        <v>36.6</v>
      </c>
      <c r="H30" s="147"/>
      <c r="I30" s="148">
        <v>31</v>
      </c>
    </row>
    <row r="31" ht="18" customHeight="1" spans="1:9">
      <c r="A31" s="149" t="s">
        <v>157</v>
      </c>
      <c r="B31" s="147"/>
      <c r="C31" s="148">
        <v>10.5</v>
      </c>
      <c r="D31" s="147"/>
      <c r="E31" s="148">
        <v>-3.7</v>
      </c>
      <c r="F31" s="147"/>
      <c r="G31" s="148">
        <v>-3</v>
      </c>
      <c r="H31" s="147"/>
      <c r="I31" s="148">
        <v>-15.2</v>
      </c>
    </row>
    <row r="32" ht="18" customHeight="1" spans="1:9">
      <c r="A32" s="149" t="s">
        <v>158</v>
      </c>
      <c r="B32" s="147"/>
      <c r="C32" s="148">
        <v>51.9</v>
      </c>
      <c r="D32" s="147"/>
      <c r="E32" s="148">
        <v>89.3</v>
      </c>
      <c r="F32" s="147"/>
      <c r="G32" s="148">
        <v>67.3</v>
      </c>
      <c r="H32" s="147"/>
      <c r="I32" s="148">
        <v>63.1</v>
      </c>
    </row>
    <row r="33" ht="21.75" customHeight="1" spans="1:9">
      <c r="A33" s="150" t="s">
        <v>159</v>
      </c>
      <c r="B33" s="212"/>
      <c r="C33" s="190">
        <v>1.27407575718273</v>
      </c>
      <c r="D33" s="212"/>
      <c r="E33" s="190">
        <v>-9.09820486118313</v>
      </c>
      <c r="F33" s="212"/>
      <c r="G33" s="190">
        <v>-10.0703628400838</v>
      </c>
      <c r="H33" s="212"/>
      <c r="I33" s="190">
        <v>-11</v>
      </c>
    </row>
    <row r="34" ht="18" customHeight="1" spans="1:9">
      <c r="A34" s="149" t="s">
        <v>160</v>
      </c>
      <c r="B34" s="147"/>
      <c r="C34" s="148">
        <v>0.8</v>
      </c>
      <c r="D34" s="147"/>
      <c r="E34" s="148">
        <v>-10</v>
      </c>
      <c r="F34" s="147"/>
      <c r="G34" s="148">
        <v>-10.4</v>
      </c>
      <c r="H34" s="147"/>
      <c r="I34" s="148">
        <v>-11.5</v>
      </c>
    </row>
    <row r="35" ht="18" customHeight="1" spans="1:9">
      <c r="A35" s="149" t="s">
        <v>161</v>
      </c>
      <c r="B35" s="147"/>
      <c r="C35" s="148">
        <v>25.9</v>
      </c>
      <c r="D35" s="147"/>
      <c r="E35" s="148">
        <v>1.9</v>
      </c>
      <c r="F35" s="147"/>
      <c r="G35" s="148">
        <v>9.7</v>
      </c>
      <c r="H35" s="147"/>
      <c r="I35" s="148">
        <v>6.9</v>
      </c>
    </row>
    <row r="36" ht="18" customHeight="1" spans="1:9">
      <c r="A36" s="153" t="s">
        <v>162</v>
      </c>
      <c r="B36" s="154"/>
      <c r="C36" s="155">
        <v>4.7</v>
      </c>
      <c r="D36" s="154"/>
      <c r="E36" s="155">
        <v>0.8</v>
      </c>
      <c r="F36" s="154"/>
      <c r="G36" s="155">
        <v>-9.6</v>
      </c>
      <c r="H36" s="154"/>
      <c r="I36" s="155">
        <v>-7.4</v>
      </c>
    </row>
    <row r="37" s="135" customFormat="1" ht="44" customHeight="1" spans="1:153">
      <c r="A37" s="156" t="s">
        <v>128</v>
      </c>
      <c r="B37" s="156"/>
      <c r="C37" s="156"/>
      <c r="D37" s="156"/>
      <c r="E37" s="156"/>
      <c r="F37" s="156"/>
      <c r="G37" s="156"/>
      <c r="H37" s="156"/>
      <c r="I37" s="156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4"/>
      <c r="CC37" s="134"/>
      <c r="CD37" s="134"/>
      <c r="CE37" s="134"/>
      <c r="CF37" s="134"/>
      <c r="CG37" s="134"/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4"/>
      <c r="CT37" s="134"/>
      <c r="CU37" s="134"/>
      <c r="CV37" s="134"/>
      <c r="CW37" s="134"/>
      <c r="CX37" s="134"/>
      <c r="CY37" s="134"/>
      <c r="CZ37" s="134"/>
      <c r="DA37" s="134"/>
      <c r="DB37" s="134"/>
      <c r="DC37" s="134"/>
      <c r="DD37" s="134"/>
      <c r="DE37" s="134"/>
      <c r="DF37" s="134"/>
      <c r="DG37" s="134"/>
      <c r="DH37" s="134"/>
      <c r="DI37" s="134"/>
      <c r="DJ37" s="134"/>
      <c r="DK37" s="134"/>
      <c r="DL37" s="134"/>
      <c r="DM37" s="134"/>
      <c r="DN37" s="134"/>
      <c r="DO37" s="134"/>
      <c r="DP37" s="134"/>
      <c r="DQ37" s="134"/>
      <c r="DR37" s="134"/>
      <c r="DS37" s="134"/>
      <c r="DT37" s="134"/>
      <c r="DU37" s="134"/>
      <c r="DV37" s="134"/>
      <c r="DW37" s="134"/>
      <c r="DX37" s="134"/>
      <c r="DY37" s="134"/>
      <c r="DZ37" s="134"/>
      <c r="EA37" s="134"/>
      <c r="EB37" s="134"/>
      <c r="EC37" s="134"/>
      <c r="ED37" s="134"/>
      <c r="EE37" s="134"/>
      <c r="EF37" s="134"/>
      <c r="EG37" s="134"/>
      <c r="EH37" s="134"/>
      <c r="EI37" s="134"/>
      <c r="EJ37" s="134"/>
      <c r="EK37" s="134"/>
      <c r="EL37" s="134"/>
      <c r="EM37" s="134"/>
      <c r="EN37" s="134"/>
      <c r="EO37" s="134"/>
      <c r="EP37" s="134"/>
      <c r="EQ37" s="134"/>
      <c r="ER37" s="134"/>
      <c r="ES37" s="134"/>
      <c r="ET37" s="134"/>
      <c r="EU37" s="134"/>
      <c r="EV37" s="134"/>
      <c r="EW37" s="134"/>
    </row>
    <row r="38" ht="41" customHeight="1"/>
  </sheetData>
  <mergeCells count="7">
    <mergeCell ref="A1:I1"/>
    <mergeCell ref="B2:C2"/>
    <mergeCell ref="D2:E2"/>
    <mergeCell ref="F2:G2"/>
    <mergeCell ref="H2:I2"/>
    <mergeCell ref="A37:I37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21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D8" sqref="D8"/>
    </sheetView>
  </sheetViews>
  <sheetFormatPr defaultColWidth="9" defaultRowHeight="14.25" outlineLevelCol="7"/>
  <cols>
    <col min="1" max="1" width="17.025" style="134" customWidth="1"/>
    <col min="2" max="2" width="7.625" style="134" customWidth="1"/>
    <col min="3" max="3" width="11.4" style="134" customWidth="1"/>
    <col min="4" max="6" width="10.775" style="134" customWidth="1"/>
    <col min="7" max="7" width="10.375" style="134"/>
    <col min="8" max="8" width="9.375" style="134"/>
    <col min="9" max="16384" width="9" style="134"/>
  </cols>
  <sheetData>
    <row r="1" ht="28.5" customHeight="1" spans="1:8">
      <c r="A1" s="136" t="s">
        <v>163</v>
      </c>
      <c r="B1" s="136"/>
      <c r="C1" s="136"/>
      <c r="D1" s="136"/>
      <c r="E1" s="136"/>
      <c r="F1" s="136"/>
      <c r="G1" s="136"/>
      <c r="H1" s="136"/>
    </row>
    <row r="2" ht="21" customHeight="1" spans="1:8">
      <c r="A2" s="275" t="s">
        <v>164</v>
      </c>
      <c r="B2" s="276" t="s">
        <v>2</v>
      </c>
      <c r="C2" s="138" t="s">
        <v>3</v>
      </c>
      <c r="D2" s="139"/>
      <c r="E2" s="138" t="s">
        <v>4</v>
      </c>
      <c r="F2" s="139"/>
      <c r="G2" s="138" t="s">
        <v>5</v>
      </c>
      <c r="H2" s="139"/>
    </row>
    <row r="3" ht="21" customHeight="1" spans="1:8">
      <c r="A3" s="283"/>
      <c r="B3" s="284"/>
      <c r="C3" s="141" t="s">
        <v>7</v>
      </c>
      <c r="D3" s="142" t="s">
        <v>8</v>
      </c>
      <c r="E3" s="141" t="s">
        <v>7</v>
      </c>
      <c r="F3" s="142" t="s">
        <v>8</v>
      </c>
      <c r="G3" s="141" t="s">
        <v>7</v>
      </c>
      <c r="H3" s="142" t="s">
        <v>8</v>
      </c>
    </row>
    <row r="4" ht="34" customHeight="1" spans="1:8">
      <c r="A4" s="277" t="s">
        <v>165</v>
      </c>
      <c r="B4" s="278" t="s">
        <v>166</v>
      </c>
      <c r="C4" s="242">
        <v>826</v>
      </c>
      <c r="D4" s="148">
        <v>1.1</v>
      </c>
      <c r="E4" s="242">
        <v>792</v>
      </c>
      <c r="F4" s="148">
        <v>-3.4</v>
      </c>
      <c r="G4" s="242">
        <v>792</v>
      </c>
      <c r="H4" s="148">
        <v>-3.2967032967033</v>
      </c>
    </row>
    <row r="5" ht="34" customHeight="1" spans="1:8">
      <c r="A5" s="149" t="s">
        <v>167</v>
      </c>
      <c r="B5" s="280" t="s">
        <v>166</v>
      </c>
      <c r="C5" s="242">
        <v>267</v>
      </c>
      <c r="D5" s="148">
        <v>15.6</v>
      </c>
      <c r="E5" s="242">
        <v>295</v>
      </c>
      <c r="F5" s="148">
        <v>1.4</v>
      </c>
      <c r="G5" s="242">
        <v>323</v>
      </c>
      <c r="H5" s="148">
        <v>-3.3</v>
      </c>
    </row>
    <row r="6" ht="34" customHeight="1" spans="1:8">
      <c r="A6" s="149" t="s">
        <v>168</v>
      </c>
      <c r="B6" s="280" t="s">
        <v>10</v>
      </c>
      <c r="C6" s="147">
        <v>50.86</v>
      </c>
      <c r="D6" s="148">
        <v>16.9</v>
      </c>
      <c r="E6" s="147">
        <v>10.93</v>
      </c>
      <c r="F6" s="148">
        <v>39.4</v>
      </c>
      <c r="G6" s="147">
        <v>16.07</v>
      </c>
      <c r="H6" s="148">
        <v>43.3</v>
      </c>
    </row>
    <row r="7" ht="34" customHeight="1" spans="1:8">
      <c r="A7" s="149" t="s">
        <v>169</v>
      </c>
      <c r="B7" s="280" t="s">
        <v>10</v>
      </c>
      <c r="C7" s="147">
        <v>1328.1</v>
      </c>
      <c r="D7" s="148">
        <v>-3.6</v>
      </c>
      <c r="E7" s="147">
        <v>1321.59</v>
      </c>
      <c r="F7" s="148">
        <v>-5.7</v>
      </c>
      <c r="G7" s="147">
        <v>1345.69</v>
      </c>
      <c r="H7" s="148">
        <v>-3.4</v>
      </c>
    </row>
    <row r="8" ht="34" customHeight="1" spans="1:8">
      <c r="A8" s="149" t="s">
        <v>170</v>
      </c>
      <c r="B8" s="280" t="s">
        <v>10</v>
      </c>
      <c r="C8" s="147">
        <v>320.51</v>
      </c>
      <c r="D8" s="148">
        <v>-1.7</v>
      </c>
      <c r="E8" s="147">
        <v>328.29</v>
      </c>
      <c r="F8" s="148">
        <v>0.6</v>
      </c>
      <c r="G8" s="147">
        <v>343.21</v>
      </c>
      <c r="H8" s="148">
        <v>10</v>
      </c>
    </row>
    <row r="9" ht="34" customHeight="1" spans="1:8">
      <c r="A9" s="149" t="s">
        <v>171</v>
      </c>
      <c r="B9" s="280" t="s">
        <v>10</v>
      </c>
      <c r="C9" s="147">
        <v>98.78</v>
      </c>
      <c r="D9" s="148">
        <v>6.1</v>
      </c>
      <c r="E9" s="147">
        <v>101.47</v>
      </c>
      <c r="F9" s="148">
        <v>0.3</v>
      </c>
      <c r="G9" s="147">
        <v>99.73</v>
      </c>
      <c r="H9" s="148">
        <v>-7</v>
      </c>
    </row>
    <row r="10" ht="34" customHeight="1" spans="1:8">
      <c r="A10" s="149" t="s">
        <v>172</v>
      </c>
      <c r="B10" s="280" t="s">
        <v>10</v>
      </c>
      <c r="C10" s="147">
        <v>4460.16</v>
      </c>
      <c r="D10" s="148">
        <v>4</v>
      </c>
      <c r="E10" s="147">
        <v>4529.29</v>
      </c>
      <c r="F10" s="148">
        <v>3</v>
      </c>
      <c r="G10" s="147">
        <v>4545.31</v>
      </c>
      <c r="H10" s="148">
        <v>3.5</v>
      </c>
    </row>
    <row r="11" ht="34" customHeight="1" spans="1:8">
      <c r="A11" s="149" t="s">
        <v>173</v>
      </c>
      <c r="B11" s="280" t="s">
        <v>10</v>
      </c>
      <c r="C11" s="147">
        <v>2923.8</v>
      </c>
      <c r="D11" s="148">
        <v>6</v>
      </c>
      <c r="E11" s="147">
        <v>2953.7</v>
      </c>
      <c r="F11" s="148">
        <v>5.1</v>
      </c>
      <c r="G11" s="147">
        <v>2966.14</v>
      </c>
      <c r="H11" s="148">
        <v>6</v>
      </c>
    </row>
    <row r="12" ht="34" customHeight="1" spans="1:8">
      <c r="A12" s="149" t="s">
        <v>174</v>
      </c>
      <c r="B12" s="280" t="s">
        <v>10</v>
      </c>
      <c r="C12" s="147">
        <v>3252.69</v>
      </c>
      <c r="D12" s="148">
        <v>-5</v>
      </c>
      <c r="E12" s="147">
        <v>502.99</v>
      </c>
      <c r="F12" s="148">
        <v>-10</v>
      </c>
      <c r="G12" s="147">
        <v>762.14</v>
      </c>
      <c r="H12" s="148">
        <v>-8.2</v>
      </c>
    </row>
    <row r="13" ht="34" customHeight="1" spans="1:8">
      <c r="A13" s="149" t="s">
        <v>175</v>
      </c>
      <c r="B13" s="280" t="s">
        <v>10</v>
      </c>
      <c r="C13" s="147">
        <v>2744.01</v>
      </c>
      <c r="D13" s="148">
        <v>-5.5</v>
      </c>
      <c r="E13" s="147">
        <v>409.01</v>
      </c>
      <c r="F13" s="148">
        <v>-11.6</v>
      </c>
      <c r="G13" s="147">
        <v>625.3</v>
      </c>
      <c r="H13" s="148">
        <v>-9.3</v>
      </c>
    </row>
    <row r="14" ht="34" customHeight="1" spans="1:8">
      <c r="A14" s="149" t="s">
        <v>176</v>
      </c>
      <c r="B14" s="280" t="s">
        <v>10</v>
      </c>
      <c r="C14" s="147">
        <v>34.69</v>
      </c>
      <c r="D14" s="148">
        <v>1.8</v>
      </c>
      <c r="E14" s="147">
        <v>5.1</v>
      </c>
      <c r="F14" s="148">
        <v>-5.2</v>
      </c>
      <c r="G14" s="147">
        <v>7.52</v>
      </c>
      <c r="H14" s="148">
        <v>-7.4</v>
      </c>
    </row>
    <row r="15" ht="34" customHeight="1" spans="1:8">
      <c r="A15" s="149" t="s">
        <v>177</v>
      </c>
      <c r="B15" s="280" t="s">
        <v>10</v>
      </c>
      <c r="C15" s="147">
        <v>78</v>
      </c>
      <c r="D15" s="148">
        <v>2.3</v>
      </c>
      <c r="E15" s="147">
        <v>13.55</v>
      </c>
      <c r="F15" s="148">
        <v>14.2</v>
      </c>
      <c r="G15" s="147">
        <v>18.59</v>
      </c>
      <c r="H15" s="148">
        <v>2</v>
      </c>
    </row>
    <row r="16" ht="34" customHeight="1" spans="1:8">
      <c r="A16" s="149" t="s">
        <v>178</v>
      </c>
      <c r="B16" s="280" t="s">
        <v>10</v>
      </c>
      <c r="C16" s="147">
        <v>36.83</v>
      </c>
      <c r="D16" s="148">
        <v>-8.8</v>
      </c>
      <c r="E16" s="147">
        <v>4.65</v>
      </c>
      <c r="F16" s="148">
        <v>-26.5</v>
      </c>
      <c r="G16" s="147">
        <v>9.71</v>
      </c>
      <c r="H16" s="148">
        <v>1.5</v>
      </c>
    </row>
    <row r="17" ht="34" customHeight="1" spans="1:8">
      <c r="A17" s="149" t="s">
        <v>179</v>
      </c>
      <c r="B17" s="280" t="s">
        <v>10</v>
      </c>
      <c r="C17" s="147">
        <v>125.36</v>
      </c>
      <c r="D17" s="148">
        <v>-13</v>
      </c>
      <c r="E17" s="147">
        <v>27.2</v>
      </c>
      <c r="F17" s="148">
        <v>-10.9</v>
      </c>
      <c r="G17" s="147">
        <v>41.05</v>
      </c>
      <c r="H17" s="148">
        <v>-10.4</v>
      </c>
    </row>
    <row r="18" ht="34" customHeight="1" spans="1:8">
      <c r="A18" s="149" t="s">
        <v>180</v>
      </c>
      <c r="B18" s="280" t="s">
        <v>10</v>
      </c>
      <c r="C18" s="151">
        <v>217.42</v>
      </c>
      <c r="D18" s="152">
        <v>1</v>
      </c>
      <c r="E18" s="151">
        <v>41.64</v>
      </c>
      <c r="F18" s="152">
        <v>5.7</v>
      </c>
      <c r="G18" s="151">
        <v>59.06</v>
      </c>
      <c r="H18" s="152">
        <v>5.3</v>
      </c>
    </row>
    <row r="19" s="134" customFormat="1" ht="34" customHeight="1" spans="1:8">
      <c r="A19" s="149" t="s">
        <v>181</v>
      </c>
      <c r="B19" s="280" t="s">
        <v>10</v>
      </c>
      <c r="C19" s="147">
        <v>149.38</v>
      </c>
      <c r="D19" s="148">
        <v>122.8</v>
      </c>
      <c r="E19" s="147">
        <v>17.98</v>
      </c>
      <c r="F19" s="148">
        <v>-14.6</v>
      </c>
      <c r="G19" s="147">
        <v>26.03</v>
      </c>
      <c r="H19" s="148">
        <v>5.5</v>
      </c>
    </row>
    <row r="20" s="134" customFormat="1" ht="34" customHeight="1" spans="1:8">
      <c r="A20" s="153" t="s">
        <v>182</v>
      </c>
      <c r="B20" s="282" t="s">
        <v>183</v>
      </c>
      <c r="C20" s="154">
        <v>10.12</v>
      </c>
      <c r="D20" s="155">
        <v>-4</v>
      </c>
      <c r="E20" s="154">
        <v>10</v>
      </c>
      <c r="F20" s="155">
        <v>-2</v>
      </c>
      <c r="G20" s="154">
        <v>9.89</v>
      </c>
      <c r="H20" s="155">
        <v>-2.8</v>
      </c>
    </row>
    <row r="21" ht="36" customHeight="1" spans="1:8">
      <c r="A21" s="156" t="s">
        <v>184</v>
      </c>
      <c r="B21" s="156"/>
      <c r="C21" s="156"/>
      <c r="D21" s="156"/>
      <c r="E21" s="156"/>
      <c r="F21" s="156"/>
      <c r="G21" s="156"/>
      <c r="H21" s="156"/>
    </row>
  </sheetData>
  <mergeCells count="7">
    <mergeCell ref="A1:H1"/>
    <mergeCell ref="C2:D2"/>
    <mergeCell ref="E2:F2"/>
    <mergeCell ref="G2:H2"/>
    <mergeCell ref="A21:H21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16"/>
  <sheetViews>
    <sheetView zoomScale="80" zoomScaleNormal="80" workbookViewId="0">
      <pane xSplit="2" ySplit="2" topLeftCell="C3" activePane="bottomRight" state="frozen"/>
      <selection/>
      <selection pane="topRight"/>
      <selection pane="bottomLeft"/>
      <selection pane="bottomRight" activeCell="E3" sqref="E3:E16"/>
    </sheetView>
  </sheetViews>
  <sheetFormatPr defaultColWidth="9" defaultRowHeight="14.25" outlineLevelCol="4"/>
  <cols>
    <col min="1" max="1" width="25.0416666666667" style="134" customWidth="1"/>
    <col min="2" max="2" width="8.975" style="134" customWidth="1"/>
    <col min="3" max="4" width="13.7416666666667" style="134" customWidth="1"/>
    <col min="5" max="5" width="15" style="134" customWidth="1"/>
    <col min="6" max="16384" width="9" style="134"/>
  </cols>
  <sheetData>
    <row r="1" ht="42" customHeight="1" spans="1:5">
      <c r="A1" s="136" t="s">
        <v>185</v>
      </c>
      <c r="B1" s="136"/>
      <c r="C1" s="136"/>
      <c r="D1" s="136"/>
      <c r="E1" s="136"/>
    </row>
    <row r="2" ht="43.35" customHeight="1" spans="1:5">
      <c r="A2" s="275" t="s">
        <v>164</v>
      </c>
      <c r="B2" s="276" t="s">
        <v>2</v>
      </c>
      <c r="C2" s="139" t="s">
        <v>3</v>
      </c>
      <c r="D2" s="139" t="s">
        <v>4</v>
      </c>
      <c r="E2" s="139" t="s">
        <v>5</v>
      </c>
    </row>
    <row r="3" ht="35" customHeight="1" spans="1:5">
      <c r="A3" s="277" t="s">
        <v>186</v>
      </c>
      <c r="B3" s="278" t="s">
        <v>23</v>
      </c>
      <c r="C3" s="279">
        <v>2.89</v>
      </c>
      <c r="D3" s="279">
        <v>3.6</v>
      </c>
      <c r="E3" s="279">
        <v>3.62</v>
      </c>
    </row>
    <row r="4" ht="35" customHeight="1" spans="1:5">
      <c r="A4" s="149" t="s">
        <v>187</v>
      </c>
      <c r="B4" s="280" t="s">
        <v>188</v>
      </c>
      <c r="C4" s="148">
        <v>-0.55</v>
      </c>
      <c r="D4" s="148">
        <v>-0.57</v>
      </c>
      <c r="E4" s="148">
        <v>-0.55</v>
      </c>
    </row>
    <row r="5" ht="35" customHeight="1" spans="1:5">
      <c r="A5" s="149" t="s">
        <v>189</v>
      </c>
      <c r="B5" s="280" t="s">
        <v>23</v>
      </c>
      <c r="C5" s="281">
        <v>100.53</v>
      </c>
      <c r="D5" s="281">
        <v>99.32</v>
      </c>
      <c r="E5" s="281">
        <v>99.1</v>
      </c>
    </row>
    <row r="6" ht="35" customHeight="1" spans="1:5">
      <c r="A6" s="149" t="s">
        <v>187</v>
      </c>
      <c r="B6" s="280" t="s">
        <v>188</v>
      </c>
      <c r="C6" s="148">
        <v>-5.5</v>
      </c>
      <c r="D6" s="148">
        <v>-5.96</v>
      </c>
      <c r="E6" s="148">
        <v>-6.77</v>
      </c>
    </row>
    <row r="7" ht="35" customHeight="1" spans="1:5">
      <c r="A7" s="149" t="s">
        <v>190</v>
      </c>
      <c r="B7" s="280" t="s">
        <v>23</v>
      </c>
      <c r="C7" s="281">
        <v>65.55</v>
      </c>
      <c r="D7" s="281">
        <v>65.21</v>
      </c>
      <c r="E7" s="281">
        <v>65.26</v>
      </c>
    </row>
    <row r="8" ht="35" customHeight="1" spans="1:5">
      <c r="A8" s="149" t="s">
        <v>187</v>
      </c>
      <c r="B8" s="280" t="s">
        <v>188</v>
      </c>
      <c r="C8" s="148">
        <v>1.2</v>
      </c>
      <c r="D8" s="148">
        <v>1.29</v>
      </c>
      <c r="E8" s="148">
        <v>1.54</v>
      </c>
    </row>
    <row r="9" ht="35" customHeight="1" spans="1:5">
      <c r="A9" s="149" t="s">
        <v>191</v>
      </c>
      <c r="B9" s="280" t="s">
        <v>192</v>
      </c>
      <c r="C9" s="281">
        <v>2.4</v>
      </c>
      <c r="D9" s="281">
        <v>2.28</v>
      </c>
      <c r="E9" s="281">
        <v>2.29</v>
      </c>
    </row>
    <row r="10" ht="35" customHeight="1" spans="1:5">
      <c r="A10" s="149" t="s">
        <v>187</v>
      </c>
      <c r="B10" s="280" t="s">
        <v>188</v>
      </c>
      <c r="C10" s="148">
        <v>0</v>
      </c>
      <c r="D10" s="148">
        <v>-0.11</v>
      </c>
      <c r="E10" s="148">
        <v>-0.09</v>
      </c>
    </row>
    <row r="11" ht="35" customHeight="1" spans="1:5">
      <c r="A11" s="149" t="s">
        <v>193</v>
      </c>
      <c r="B11" s="280" t="s">
        <v>23</v>
      </c>
      <c r="C11" s="281">
        <v>4.29</v>
      </c>
      <c r="D11" s="281">
        <v>6.26</v>
      </c>
      <c r="E11" s="281">
        <v>6.17</v>
      </c>
    </row>
    <row r="12" ht="35" customHeight="1" spans="1:5">
      <c r="A12" s="149" t="s">
        <v>187</v>
      </c>
      <c r="B12" s="280" t="s">
        <v>188</v>
      </c>
      <c r="C12" s="148">
        <v>-0.4</v>
      </c>
      <c r="D12" s="148">
        <v>0.01</v>
      </c>
      <c r="E12" s="148">
        <v>-0.11</v>
      </c>
    </row>
    <row r="13" ht="35" customHeight="1" spans="1:5">
      <c r="A13" s="149" t="s">
        <v>194</v>
      </c>
      <c r="B13" s="280" t="s">
        <v>23</v>
      </c>
      <c r="C13" s="281">
        <v>99.44</v>
      </c>
      <c r="D13" s="281">
        <v>98.46</v>
      </c>
      <c r="E13" s="281">
        <v>98.22</v>
      </c>
    </row>
    <row r="14" ht="35" customHeight="1" spans="1:5">
      <c r="A14" s="149" t="s">
        <v>187</v>
      </c>
      <c r="B14" s="280" t="s">
        <v>188</v>
      </c>
      <c r="C14" s="148">
        <v>-1</v>
      </c>
      <c r="D14" s="148">
        <v>-1.65</v>
      </c>
      <c r="E14" s="148">
        <v>-0.71</v>
      </c>
    </row>
    <row r="15" ht="35" customHeight="1" spans="1:5">
      <c r="A15" s="149" t="s">
        <v>195</v>
      </c>
      <c r="B15" s="280" t="s">
        <v>196</v>
      </c>
      <c r="C15" s="281">
        <v>79.56618</v>
      </c>
      <c r="D15" s="281">
        <v>75.478263</v>
      </c>
      <c r="E15" s="281">
        <v>77.65</v>
      </c>
    </row>
    <row r="16" ht="35" customHeight="1" spans="1:5">
      <c r="A16" s="153" t="s">
        <v>187</v>
      </c>
      <c r="B16" s="282" t="s">
        <v>188</v>
      </c>
      <c r="C16" s="155">
        <v>-1.2</v>
      </c>
      <c r="D16" s="155">
        <v>-1.95</v>
      </c>
      <c r="E16" s="155">
        <v>-1.64</v>
      </c>
    </row>
  </sheetData>
  <mergeCells count="1">
    <mergeCell ref="A1:E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yz</Company>
  <Application>Microsoft Excel</Application>
  <HeadingPairs>
    <vt:vector size="2" baseType="variant">
      <vt:variant>
        <vt:lpstr>工作表</vt:lpstr>
      </vt:variant>
      <vt:variant>
        <vt:i4>35</vt:i4>
      </vt:variant>
    </vt:vector>
  </HeadingPairs>
  <TitlesOfParts>
    <vt:vector size="35" baseType="lpstr">
      <vt:lpstr>-------</vt:lpstr>
      <vt:lpstr>主要指标（一）</vt:lpstr>
      <vt:lpstr>主要指标（二）</vt:lpstr>
      <vt:lpstr>分县区</vt:lpstr>
      <vt:lpstr>农业</vt:lpstr>
      <vt:lpstr>工业增加值</vt:lpstr>
      <vt:lpstr>分行业工业增加值</vt:lpstr>
      <vt:lpstr>规上工业主要经济指标</vt:lpstr>
      <vt:lpstr>规上工业经济效益指标</vt:lpstr>
      <vt:lpstr>主要工业产品产量</vt:lpstr>
      <vt:lpstr>工业综合能源消费</vt:lpstr>
      <vt:lpstr>交通运输及邮政</vt:lpstr>
      <vt:lpstr>固定资产投资</vt:lpstr>
      <vt:lpstr>社会消费品零售总额</vt:lpstr>
      <vt:lpstr>财政收支</vt:lpstr>
      <vt:lpstr>金融</vt:lpstr>
      <vt:lpstr>进出口总额</vt:lpstr>
      <vt:lpstr>居民收入和消费价格</vt:lpstr>
      <vt:lpstr>分县地区生产总值及第一产业增加值</vt:lpstr>
      <vt:lpstr>分县第二产业增加值及第三产业增加值</vt:lpstr>
      <vt:lpstr>分县农业总产值及规上工业增加值</vt:lpstr>
      <vt:lpstr>分县规上工业利润总额和营业收入</vt:lpstr>
      <vt:lpstr>分县社零和投资</vt:lpstr>
      <vt:lpstr>分县工业投资和房地产投资</vt:lpstr>
      <vt:lpstr>分县工业技术改造和制造业投资</vt:lpstr>
      <vt:lpstr>分县财政收支</vt:lpstr>
      <vt:lpstr>分市5（旧）</vt:lpstr>
      <vt:lpstr>工业序列（原）</vt:lpstr>
      <vt:lpstr>投资序列(原)</vt:lpstr>
      <vt:lpstr>消费序列（原）</vt:lpstr>
      <vt:lpstr>出口序列（原）</vt:lpstr>
      <vt:lpstr>地方预算收入序列（原）</vt:lpstr>
      <vt:lpstr>工业用电量序列 （原）</vt:lpstr>
      <vt:lpstr>价格序列（原）</vt:lpstr>
      <vt:lpstr>Sheet16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丘春俏</cp:lastModifiedBy>
  <cp:revision>1</cp:revision>
  <dcterms:created xsi:type="dcterms:W3CDTF">2006-03-07T09:13:00Z</dcterms:created>
  <cp:lastPrinted>2020-03-23T13:18:00Z</cp:lastPrinted>
  <dcterms:modified xsi:type="dcterms:W3CDTF">2025-05-26T06:40:09Z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eadingLayout">
    <vt:bool>true</vt:bool>
  </property>
  <property fmtid="{D5CDD505-2E9C-101B-9397-08002B2CF9AE}" pid="4" name="ICV">
    <vt:lpwstr>16AEECA28A324BFCAE479E26886F50C9_13</vt:lpwstr>
  </property>
  <property fmtid="{D5CDD505-2E9C-101B-9397-08002B2CF9AE}" pid="5" name="commondata">
    <vt:lpwstr>eyJoZGlkIjoiOGExZmYwZDZlNzUzOTBiYzE1NWNjNTMxZDdiOWUzZmIifQ==</vt:lpwstr>
  </property>
</Properties>
</file>