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886" firstSheet="7" activeTab="16"/>
  </bookViews>
  <sheets>
    <sheet name="-------" sheetId="138" state="hidden" r:id="rId1"/>
    <sheet name="主要指标（一）" sheetId="312" r:id="rId2"/>
    <sheet name="主要指标（二）" sheetId="313" r:id="rId3"/>
    <sheet name="分县区" sheetId="399" r:id="rId4"/>
    <sheet name="农业" sheetId="145" r:id="rId5"/>
    <sheet name="工业增加值" sheetId="277" r:id="rId6"/>
    <sheet name="分行业工业增加值" sheetId="285" r:id="rId7"/>
    <sheet name="规上工业主要经济指标" sheetId="292" r:id="rId8"/>
    <sheet name="规上工业经济效益指标" sheetId="296" r:id="rId9"/>
    <sheet name="主要工业产品产量" sheetId="300" r:id="rId10"/>
    <sheet name="工业综合能源消费" sheetId="306" r:id="rId11"/>
    <sheet name="交通运输及邮政" sheetId="314" r:id="rId12"/>
    <sheet name="固定资产投资" sheetId="322" r:id="rId13"/>
    <sheet name="社会消费品零售总额" sheetId="327" r:id="rId14"/>
    <sheet name="财政收支" sheetId="331" r:id="rId15"/>
    <sheet name="金融" sheetId="335" r:id="rId16"/>
    <sheet name="进出口总额" sheetId="341" r:id="rId17"/>
    <sheet name="居民收入和消费价格" sheetId="345" r:id="rId18"/>
    <sheet name="分县地区生产总值及第一产业增加值" sheetId="349" r:id="rId19"/>
    <sheet name="分县第二产业增加值及第三产业增加值" sheetId="397" r:id="rId20"/>
    <sheet name="分县农业总产值及规上工业增加值" sheetId="398" r:id="rId21"/>
    <sheet name="分县规上工业利润总额和营业收入" sheetId="353" r:id="rId22"/>
    <sheet name="分县社零和投资" sheetId="354" r:id="rId23"/>
    <sheet name="分县工业投资和房地产投资" sheetId="396" r:id="rId24"/>
    <sheet name="分县工业技术改造和制造业投资" sheetId="400" r:id="rId25"/>
    <sheet name="分县财政收支" sheetId="356" r:id="rId26"/>
    <sheet name="分县税收和利用外资" sheetId="357" r:id="rId27"/>
    <sheet name="分市5（旧）" sheetId="194" state="hidden" r:id="rId28"/>
    <sheet name="工业序列（原）" sheetId="158" state="hidden" r:id="rId29"/>
    <sheet name="投资序列(原)" sheetId="157" state="hidden" r:id="rId30"/>
    <sheet name="消费序列（原）" sheetId="156" state="hidden" r:id="rId31"/>
    <sheet name="出口序列（原）" sheetId="155" state="hidden" r:id="rId32"/>
    <sheet name="地方预算收入序列（原）" sheetId="154" state="hidden" r:id="rId33"/>
    <sheet name="工业用电量序列 （原）" sheetId="198" state="hidden" r:id="rId34"/>
    <sheet name="价格序列（原）" sheetId="153" state="hidden" r:id="rId35"/>
    <sheet name="Sheet16" sheetId="252" r:id="rId36"/>
  </sheets>
  <externalReferences>
    <externalReference r:id="rId37"/>
    <externalReference r:id="rId38"/>
    <externalReference r:id="rId39"/>
    <externalReference r:id="rId40"/>
    <externalReference r:id="rId41"/>
  </externalReferences>
  <definedNames>
    <definedName name="_21114" localSheetId="33">#REF!</definedName>
    <definedName name="_Fill" localSheetId="33">[1]eqpmad2!#REF!</definedName>
    <definedName name="A" localSheetId="33">#REF!</definedName>
    <definedName name="aa" localSheetId="33">#REF!</definedName>
    <definedName name="data" localSheetId="33">#REF!</definedName>
    <definedName name="Database" localSheetId="33" hidden="1">#REF!</definedName>
    <definedName name="database2" localSheetId="33">#REF!</definedName>
    <definedName name="database3" localSheetId="33">#REF!</definedName>
    <definedName name="dss" localSheetId="33">#REF!</definedName>
    <definedName name="E206." localSheetId="33">#REF!</definedName>
    <definedName name="eee" localSheetId="33">#REF!</definedName>
    <definedName name="fff" localSheetId="33">#REF!</definedName>
    <definedName name="hhhh" localSheetId="33">#REF!</definedName>
    <definedName name="kkkk" localSheetId="33">#REF!</definedName>
    <definedName name="_xlnm.Print_Area" localSheetId="33">#REF!</definedName>
    <definedName name="Print_Area_MI" localSheetId="33">#REF!</definedName>
    <definedName name="rrrr" localSheetId="33">#REF!</definedName>
    <definedName name="s" localSheetId="33">#REF!</definedName>
    <definedName name="sfeggsafasfas" localSheetId="33">#REF!</definedName>
    <definedName name="Sheet1" localSheetId="33">#REF!</definedName>
    <definedName name="Sheet10" localSheetId="33">#REF!</definedName>
    <definedName name="Sheet11" localSheetId="33">#REF!</definedName>
    <definedName name="Sheet12" localSheetId="33">#REF!</definedName>
    <definedName name="Sheet3" localSheetId="33">#REF!</definedName>
    <definedName name="Sheet4" localSheetId="33">#REF!</definedName>
    <definedName name="Sheet5" localSheetId="33">#REF!</definedName>
    <definedName name="Sheet6" localSheetId="33">#REF!</definedName>
    <definedName name="Sheet7" localSheetId="33">#REF!</definedName>
    <definedName name="Sheet8" localSheetId="33">#REF!</definedName>
    <definedName name="Sheet9" localSheetId="33">#REF!</definedName>
    <definedName name="ss" localSheetId="33">#REF!</definedName>
    <definedName name="ttt" localSheetId="33">#REF!</definedName>
    <definedName name="tttt" localSheetId="33">#REF!</definedName>
    <definedName name="UFPrn20010712083924" localSheetId="33">#REF!</definedName>
    <definedName name="UFPrn20020224093130" localSheetId="33">#REF!</definedName>
    <definedName name="UFPrn20020224094757" localSheetId="33">#REF!</definedName>
    <definedName name="UFPrn20020224101302" localSheetId="33">#REF!</definedName>
    <definedName name="UFPrn20020224101600" localSheetId="33">#REF!</definedName>
    <definedName name="UFPrn20020228143318" localSheetId="33">#REF!</definedName>
    <definedName name="UFPrn20020303094007" localSheetId="33">#REF!</definedName>
    <definedName name="www" localSheetId="33">#REF!</definedName>
    <definedName name="yyyy" localSheetId="33">#REF!</definedName>
    <definedName name="备___注" localSheetId="33">#REF!</definedName>
    <definedName name="拨款汇总_合计" localSheetId="33">SUM([2]汇总!#REF!)</definedName>
    <definedName name="财力" localSheetId="33">#REF!</definedName>
    <definedName name="存货合计" localSheetId="33">#REF!</definedName>
    <definedName name="存货明细" localSheetId="33">#REF!</definedName>
    <definedName name="大幅度" localSheetId="33">#REF!</definedName>
    <definedName name="地区名称" localSheetId="33">[3]封面!#REF!</definedName>
    <definedName name="合___计" localSheetId="33">#REF!</definedName>
    <definedName name="汇率" localSheetId="33">#REF!</definedName>
    <definedName name="全额差额比例" localSheetId="33">'[4]C01-1'!#REF!</definedName>
    <definedName name="生产列1" localSheetId="33">#REF!</definedName>
    <definedName name="生产列11" localSheetId="33">#REF!</definedName>
    <definedName name="生产列15" localSheetId="33">#REF!</definedName>
    <definedName name="生产列16" localSheetId="33">#REF!</definedName>
    <definedName name="生产列17" localSheetId="33">#REF!</definedName>
    <definedName name="生产列19" localSheetId="33">#REF!</definedName>
    <definedName name="生产列2" localSheetId="33">#REF!</definedName>
    <definedName name="生产列20" localSheetId="33">#REF!</definedName>
    <definedName name="生产列3" localSheetId="33">#REF!</definedName>
    <definedName name="生产列4" localSheetId="33">#REF!</definedName>
    <definedName name="生产列5" localSheetId="33">#REF!</definedName>
    <definedName name="生产列6" localSheetId="33">#REF!</definedName>
    <definedName name="生产列7" localSheetId="33">#REF!</definedName>
    <definedName name="生产列8" localSheetId="33">#REF!</definedName>
    <definedName name="生产列9" localSheetId="33">#REF!</definedName>
    <definedName name="生产期" localSheetId="33">#REF!</definedName>
    <definedName name="生产期1" localSheetId="33">#REF!</definedName>
    <definedName name="生产期11" localSheetId="33">#REF!</definedName>
    <definedName name="生产期123" localSheetId="33">#REF!</definedName>
    <definedName name="生产期15" localSheetId="33">#REF!</definedName>
    <definedName name="生产期16" localSheetId="33">#REF!</definedName>
    <definedName name="生产期17" localSheetId="33">#REF!</definedName>
    <definedName name="生产期19" localSheetId="33">#REF!</definedName>
    <definedName name="生产期2" localSheetId="33">#REF!</definedName>
    <definedName name="生产期20" localSheetId="33">#REF!</definedName>
    <definedName name="生产期3" localSheetId="33">#REF!</definedName>
    <definedName name="生产期4" localSheetId="33">#REF!</definedName>
    <definedName name="生产期5" localSheetId="33">#REF!</definedName>
    <definedName name="生产期6" localSheetId="33">#REF!</definedName>
    <definedName name="生产期7" localSheetId="33">#REF!</definedName>
    <definedName name="生产期8" localSheetId="33">#REF!</definedName>
    <definedName name="生产期9" localSheetId="33">#REF!</definedName>
    <definedName name="是" localSheetId="33">#REF!</definedName>
    <definedName name="索引号" localSheetId="33">#REF!</definedName>
    <definedName name="未审合计" localSheetId="33">#REF!</definedName>
    <definedName name="未审数" localSheetId="33">#REF!</definedName>
    <definedName name="位次d" localSheetId="33">[5]四月份月报!#REF!</definedName>
    <definedName name="中国" localSheetId="33">#REF!</definedName>
    <definedName name="전" localSheetId="33">#REF!</definedName>
    <definedName name="주택사업본부" localSheetId="33">#REF!</definedName>
    <definedName name="철구사업본부" localSheetId="33">#REF!</definedName>
    <definedName name="_xlnm._FilterDatabase" localSheetId="33">#REF!</definedName>
  </definedNames>
  <calcPr calcId="144525"/>
</workbook>
</file>

<file path=xl/sharedStrings.xml><?xml version="1.0" encoding="utf-8"?>
<sst xmlns="http://schemas.openxmlformats.org/spreadsheetml/2006/main" count="1522" uniqueCount="501">
  <si>
    <t>主要经济指标完成情况（一）</t>
  </si>
  <si>
    <t>指   标</t>
  </si>
  <si>
    <t>单位</t>
  </si>
  <si>
    <t>2022年</t>
  </si>
  <si>
    <t>2023年1-2月</t>
  </si>
  <si>
    <t>2023年1-3月</t>
  </si>
  <si>
    <t>2023年1-4月</t>
  </si>
  <si>
    <t>2023年1-5月</t>
  </si>
  <si>
    <t>绝对值</t>
  </si>
  <si>
    <t>增速(%)</t>
  </si>
  <si>
    <t>一、地区生产总值</t>
  </si>
  <si>
    <t>亿元</t>
  </si>
  <si>
    <t>-</t>
  </si>
  <si>
    <t xml:space="preserve">    其中：第一产业</t>
  </si>
  <si>
    <t xml:space="preserve">          第二产业</t>
  </si>
  <si>
    <t xml:space="preserve">            其中：建筑业</t>
  </si>
  <si>
    <t xml:space="preserve">          第三产业</t>
  </si>
  <si>
    <t xml:space="preserve">            其中：交运仓储邮政业</t>
  </si>
  <si>
    <t xml:space="preserve">                  批发和零售业</t>
  </si>
  <si>
    <t xml:space="preserve">                  住宿和餐饮业</t>
  </si>
  <si>
    <t xml:space="preserve">                  金融业</t>
  </si>
  <si>
    <t xml:space="preserve">                  房地产业</t>
  </si>
  <si>
    <t xml:space="preserve">                  其他服务业</t>
  </si>
  <si>
    <t xml:space="preserve">   三次产业结构</t>
  </si>
  <si>
    <t>%</t>
  </si>
  <si>
    <t>18.4:39.3:42.3</t>
  </si>
  <si>
    <t>15.3:39.8:44.9</t>
  </si>
  <si>
    <t>二、规模以上工业增加值</t>
  </si>
  <si>
    <t xml:space="preserve"> 其中：轻工业</t>
  </si>
  <si>
    <t xml:space="preserve">       重工业</t>
  </si>
  <si>
    <t xml:space="preserve"> 其中：外商及港澳台投资企业</t>
  </si>
  <si>
    <t xml:space="preserve"> 其中：国有及国有控股企业</t>
  </si>
  <si>
    <t xml:space="preserve"> 其中：石油和天然气开采业</t>
  </si>
  <si>
    <t xml:space="preserve">       石油、煤炭及其燃料加工业</t>
  </si>
  <si>
    <t xml:space="preserve">       黑色金属冶炼和压延加工业</t>
  </si>
  <si>
    <t xml:space="preserve">       造纸和纸制品业      </t>
  </si>
  <si>
    <t>三、规模以上工业出口交货值</t>
  </si>
  <si>
    <t>四、固定资产投资</t>
  </si>
  <si>
    <t xml:space="preserve">    其中：项目投资</t>
  </si>
  <si>
    <t xml:space="preserve">          房地产开发投资</t>
  </si>
  <si>
    <t>注：1.按市商务局统一口径，实际利用外资改为人民币计价；2.第一产业增加值不包含“ 农林牧渔专业及辅助性活动”，第二产业增加值中的工业增加值不包含“开采辅助活动”和“金属制品、机械和设备修理业”。“农林牧渔服务业”“开采辅助活动”和“金属制品、机械和设备修理业”增加值计入第三产业；3.金融机构存、贷款余额为月末数。</t>
  </si>
  <si>
    <t>主要经济指标完成情况（二）</t>
  </si>
  <si>
    <t>五、商品房销售面积</t>
  </si>
  <si>
    <t>万平方米</t>
  </si>
  <si>
    <t>六、商品房销售额</t>
  </si>
  <si>
    <t>七、社会消费品零售总额</t>
  </si>
  <si>
    <t xml:space="preserve">    其中：城镇</t>
  </si>
  <si>
    <t xml:space="preserve">          乡村</t>
  </si>
  <si>
    <t xml:space="preserve">    其中：商品零售</t>
  </si>
  <si>
    <t xml:space="preserve">          餐饮收入</t>
  </si>
  <si>
    <t>八、进出口总额</t>
  </si>
  <si>
    <t xml:space="preserve">    其中：出口总额</t>
  </si>
  <si>
    <t xml:space="preserve">          进口总额</t>
  </si>
  <si>
    <t>九、实际利用外资</t>
  </si>
  <si>
    <t>十、地方一般公共预算收入</t>
  </si>
  <si>
    <t xml:space="preserve">    其中：税收收入</t>
  </si>
  <si>
    <t>十一、地方一般公共预算支出</t>
  </si>
  <si>
    <t>十二、金融机构本外币存款余额</t>
  </si>
  <si>
    <t xml:space="preserve">    其中：住户存款余额</t>
  </si>
  <si>
    <t>十三、金融机构本外币贷款余额</t>
  </si>
  <si>
    <t>十四、居民消费价格指数</t>
  </si>
  <si>
    <t>十五、工业生产者出厂价格指数</t>
  </si>
  <si>
    <t>十六、全社会用电量</t>
  </si>
  <si>
    <t>亿千瓦时</t>
  </si>
  <si>
    <t xml:space="preserve">    其中：工业用电量</t>
  </si>
  <si>
    <t xml:space="preserve">          #制造业用电量</t>
  </si>
  <si>
    <t>十七、公路运输总周转量</t>
  </si>
  <si>
    <t>亿吨公里</t>
  </si>
  <si>
    <t>十八、水路运输总周转量</t>
  </si>
  <si>
    <t>十九、全市港口货物吞吐量</t>
  </si>
  <si>
    <t>亿吨</t>
  </si>
  <si>
    <t>二十、全市港口集装箱吞吐量</t>
  </si>
  <si>
    <t>万TEU</t>
  </si>
  <si>
    <t>注：1.按市商务局统一口径，实际利用外资改为人民币计价；
2.第一产业增加值不包含“ 农林牧渔专业及辅助性活动”，第二产业增加值中的工业增加值不包含“开采辅助活动”和“金属制品、机械和设备修理业”。“农林牧渔服务业”“开采辅助活动”和“金属制品、机械和设备修理业”增加值计入第三产业；
3.金融机构存、贷款余额为月末数。
4、地方一般公共预算收入、税收收入增速为自然口径。</t>
  </si>
  <si>
    <t>2023年前5月全市各县（市、区）主要经济指标完成情况</t>
  </si>
  <si>
    <t>地区生产总值
（前3月）</t>
  </si>
  <si>
    <t>规模以上工业增加值</t>
  </si>
  <si>
    <t>固定资产投资</t>
  </si>
  <si>
    <t>社会消费品零售总额</t>
  </si>
  <si>
    <t>地方一般公共预算收入</t>
  </si>
  <si>
    <t>绝对值
（亿元)</t>
  </si>
  <si>
    <t>增长
(%)</t>
  </si>
  <si>
    <t xml:space="preserve">  全  市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</si>
  <si>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</si>
  <si>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</si>
  <si>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</si>
  <si>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</si>
  <si>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</si>
  <si>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</si>
  <si>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</si>
  <si>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</si>
  <si>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</si>
  <si>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 xml:space="preserve">     经开区</t>
  </si>
  <si>
    <t>农业生产情况</t>
  </si>
  <si>
    <t>单 位</t>
  </si>
  <si>
    <t>一、农林牧渔业总产值</t>
  </si>
  <si>
    <t xml:space="preserve">        农  业</t>
  </si>
  <si>
    <t xml:space="preserve">        林  业</t>
  </si>
  <si>
    <t xml:space="preserve">        畜牧业</t>
  </si>
  <si>
    <t xml:space="preserve">        渔  业</t>
  </si>
  <si>
    <t xml:space="preserve">        农林牧渔专业及辅助性活动</t>
  </si>
  <si>
    <t>二、农林牧渔业增加值</t>
  </si>
  <si>
    <t>三、主要农产品产量</t>
  </si>
  <si>
    <t xml:space="preserve">        粮  食 </t>
  </si>
  <si>
    <t>万吨</t>
  </si>
  <si>
    <t xml:space="preserve">          其中：稻谷</t>
  </si>
  <si>
    <t xml:space="preserve">        蔬  菜 </t>
  </si>
  <si>
    <t xml:space="preserve">        园林水果 </t>
  </si>
  <si>
    <t xml:space="preserve">          其中：香蕉</t>
  </si>
  <si>
    <t xml:space="preserve">                菠萝</t>
  </si>
  <si>
    <t xml:space="preserve">        生  猪（出栏量） </t>
  </si>
  <si>
    <t>万头</t>
  </si>
  <si>
    <t xml:space="preserve">        家  禽（出栏量）      </t>
  </si>
  <si>
    <t>万只</t>
  </si>
  <si>
    <t xml:space="preserve">        水产品 </t>
  </si>
  <si>
    <t xml:space="preserve">          其中：海水</t>
  </si>
  <si>
    <t xml:space="preserve">                淡水</t>
  </si>
  <si>
    <t>注：1、农业总产值和增加值按季度核算，增长速度按可比价格计算。
2、水产品产量相关数据根据2022年年报数据进行调整。</t>
  </si>
  <si>
    <t>一、工业增加值（亿元）</t>
  </si>
  <si>
    <t xml:space="preserve">   其中：轻工业</t>
  </si>
  <si>
    <t xml:space="preserve">         重工业</t>
  </si>
  <si>
    <t xml:space="preserve">   其中：国有企业</t>
  </si>
  <si>
    <t xml:space="preserve">         集体企业</t>
  </si>
  <si>
    <t xml:space="preserve">         股份制企业</t>
  </si>
  <si>
    <t xml:space="preserve">         外商及港澳台企业</t>
  </si>
  <si>
    <t xml:space="preserve">         其他经济类型企业</t>
  </si>
  <si>
    <t xml:space="preserve">   其中：国有及国有控股企业</t>
  </si>
  <si>
    <t xml:space="preserve">   其中：大型企业</t>
  </si>
  <si>
    <t xml:space="preserve">         中型企业</t>
  </si>
  <si>
    <t xml:space="preserve">         小型企业</t>
  </si>
  <si>
    <t xml:space="preserve">         微型企业</t>
  </si>
  <si>
    <t>规模以上工业主要行业增加值</t>
  </si>
  <si>
    <t>规模以上工业合计（亿元）</t>
  </si>
  <si>
    <t>采矿业</t>
  </si>
  <si>
    <t>制造业</t>
  </si>
  <si>
    <t xml:space="preserve">  农副食品加工业     </t>
  </si>
  <si>
    <t xml:space="preserve">  食品制造业         </t>
  </si>
  <si>
    <t xml:space="preserve">  酒、饮料和精制茶制造业 </t>
  </si>
  <si>
    <t xml:space="preserve">  烟草制品业         </t>
  </si>
  <si>
    <t xml:space="preserve">  纺织业             </t>
  </si>
  <si>
    <t xml:space="preserve">  纺织服装、服饰业</t>
  </si>
  <si>
    <t xml:space="preserve">  皮革毛皮羽毛制品业 </t>
  </si>
  <si>
    <t xml:space="preserve">  木材.竹.藤.棕.草制品业 </t>
  </si>
  <si>
    <t xml:space="preserve">  家具制造业         </t>
  </si>
  <si>
    <t xml:space="preserve">  造纸及纸制品业     </t>
  </si>
  <si>
    <t xml:space="preserve">  印刷、记录媒介复制 </t>
  </si>
  <si>
    <t xml:space="preserve">  文教体育娱乐用品制造业</t>
  </si>
  <si>
    <t xml:space="preserve">  石油、煤炭及其燃料加工业</t>
  </si>
  <si>
    <t xml:space="preserve">  化学原料及化学制造业</t>
  </si>
  <si>
    <t xml:space="preserve">  医药制造业</t>
  </si>
  <si>
    <t xml:space="preserve">  橡胶和塑料制品业</t>
  </si>
  <si>
    <t xml:space="preserve">  非金属矿制品业</t>
  </si>
  <si>
    <t xml:space="preserve">  黑色金属冶炼压延加工业</t>
  </si>
  <si>
    <t xml:space="preserve">  有色金属冶炼压延加工业</t>
  </si>
  <si>
    <t xml:space="preserve">  金属制品业</t>
  </si>
  <si>
    <t xml:space="preserve">  通用机械制造业</t>
  </si>
  <si>
    <t xml:space="preserve">  专用设备制造业</t>
  </si>
  <si>
    <t xml:space="preserve">  汽车制造业</t>
  </si>
  <si>
    <t xml:space="preserve">  铁路船舶和其他运输设备制造业</t>
  </si>
  <si>
    <t xml:space="preserve">  电气机械及器材制造业</t>
  </si>
  <si>
    <t xml:space="preserve">  通信设备.计算机制造业</t>
  </si>
  <si>
    <t>电力、热力、燃气及水生产和供应业</t>
  </si>
  <si>
    <t xml:space="preserve">  电力.热力生产和供应业</t>
  </si>
  <si>
    <t xml:space="preserve">  燃气生产和供应业</t>
  </si>
  <si>
    <t xml:space="preserve">  自来水的生产和供应业</t>
  </si>
  <si>
    <t>规模以上工业企业主要经济指标</t>
  </si>
  <si>
    <t>指  标</t>
  </si>
  <si>
    <t>企业单位数</t>
  </si>
  <si>
    <t>个</t>
  </si>
  <si>
    <t xml:space="preserve">  其中：亏损企业</t>
  </si>
  <si>
    <t>亏损企业亏损额</t>
  </si>
  <si>
    <t>流动资产合计</t>
  </si>
  <si>
    <t>资产合计</t>
  </si>
  <si>
    <t>负债合计</t>
  </si>
  <si>
    <t>营业收入</t>
  </si>
  <si>
    <t>营业成本</t>
  </si>
  <si>
    <t>销售费用</t>
  </si>
  <si>
    <t>管理费用</t>
  </si>
  <si>
    <t>财务费用</t>
  </si>
  <si>
    <t>利润总额</t>
  </si>
  <si>
    <t>税金及附加</t>
  </si>
  <si>
    <t>应交增值税</t>
  </si>
  <si>
    <t>产成品</t>
  </si>
  <si>
    <t>全部从业人员平均人数</t>
  </si>
  <si>
    <t>万人</t>
  </si>
  <si>
    <t>规模以上工业经济效益指标</t>
  </si>
  <si>
    <t>资产利润率</t>
  </si>
  <si>
    <t xml:space="preserve">  比上年同期增（减）</t>
  </si>
  <si>
    <t>百分点</t>
  </si>
  <si>
    <t>资本保值增值率</t>
  </si>
  <si>
    <t>资产负债率</t>
  </si>
  <si>
    <t>流动资产周转率</t>
  </si>
  <si>
    <t>次</t>
  </si>
  <si>
    <t>成本费用利润率</t>
  </si>
  <si>
    <t>产品销售率</t>
  </si>
  <si>
    <t>全员劳动生产率</t>
  </si>
  <si>
    <t>万元/人</t>
  </si>
  <si>
    <t>主要工业产品产量</t>
  </si>
  <si>
    <t xml:space="preserve">饲料    </t>
  </si>
  <si>
    <t xml:space="preserve">食用植物油    </t>
  </si>
  <si>
    <t xml:space="preserve">成品糖        </t>
  </si>
  <si>
    <t xml:space="preserve">发酵酒精      </t>
  </si>
  <si>
    <t xml:space="preserve">千升  </t>
  </si>
  <si>
    <t xml:space="preserve">饮料酒         </t>
  </si>
  <si>
    <t xml:space="preserve">  其中:白酒   </t>
  </si>
  <si>
    <t xml:space="preserve">       啤酒   </t>
  </si>
  <si>
    <t>饮料</t>
  </si>
  <si>
    <t xml:space="preserve">冷冻水产品    </t>
  </si>
  <si>
    <t xml:space="preserve">卷烟        </t>
  </si>
  <si>
    <t>亿支</t>
  </si>
  <si>
    <t>鞋</t>
  </si>
  <si>
    <t>万双</t>
  </si>
  <si>
    <t>服装</t>
  </si>
  <si>
    <t>万件</t>
  </si>
  <si>
    <t>纸浆</t>
  </si>
  <si>
    <t xml:space="preserve">人造板        </t>
  </si>
  <si>
    <t xml:space="preserve">万立方米 </t>
  </si>
  <si>
    <t xml:space="preserve">家具          </t>
  </si>
  <si>
    <t xml:space="preserve">机制纸及纸板  </t>
  </si>
  <si>
    <t xml:space="preserve">纸制品        </t>
  </si>
  <si>
    <t xml:space="preserve">原油加工量    </t>
  </si>
  <si>
    <t>汽油</t>
  </si>
  <si>
    <t>柴油</t>
  </si>
  <si>
    <t>燃料油</t>
  </si>
  <si>
    <t>石油沥青</t>
  </si>
  <si>
    <t>液化石油气</t>
  </si>
  <si>
    <t xml:space="preserve">水泥         </t>
  </si>
  <si>
    <t xml:space="preserve">商品混凝土   </t>
  </si>
  <si>
    <t>万立方米</t>
  </si>
  <si>
    <t>生铁</t>
  </si>
  <si>
    <t>粗钢</t>
  </si>
  <si>
    <t>钢材</t>
  </si>
  <si>
    <t xml:space="preserve">电饭锅       </t>
  </si>
  <si>
    <t>万个</t>
  </si>
  <si>
    <t xml:space="preserve">灯具照明装置 </t>
  </si>
  <si>
    <t>万台(套)</t>
  </si>
  <si>
    <t xml:space="preserve">发电量       </t>
  </si>
  <si>
    <t>工业综合能源消费量及六大高耗能行业用电量</t>
  </si>
  <si>
    <t>综合能源消费量（万吨标准煤）</t>
  </si>
  <si>
    <t xml:space="preserve">  采矿业</t>
  </si>
  <si>
    <t xml:space="preserve">  制造业</t>
  </si>
  <si>
    <t xml:space="preserve">  电力、热力、燃气及水生产和供应业</t>
  </si>
  <si>
    <t>六大高耗能行业综合能源消费量（万吨标准煤）</t>
  </si>
  <si>
    <t xml:space="preserve">  化学原料和化学制品制造业</t>
  </si>
  <si>
    <t xml:space="preserve">  非金属矿物制品业</t>
  </si>
  <si>
    <t xml:space="preserve">  黑色金属冶炼和压延加工业</t>
  </si>
  <si>
    <t xml:space="preserve">  有色金属冶炼和压延加工业 </t>
  </si>
  <si>
    <t xml:space="preserve">  电力、热力生产和供应业</t>
  </si>
  <si>
    <t>六大高耗能行业用电量（万千瓦时）</t>
  </si>
  <si>
    <t>六大高耗能行业增加值（亿元）</t>
  </si>
  <si>
    <t>注：本表统计口径为规模以上工业，工业综合能源消费量(按当量值计算)为企业在工业生产活动中实际消费的各种能源的总和净值，用电量数据为联网直报企业填报数。</t>
  </si>
  <si>
    <t>交通运输及邮政</t>
  </si>
  <si>
    <t>港  口</t>
  </si>
  <si>
    <t xml:space="preserve">  全市港口货物吞吐量</t>
  </si>
  <si>
    <t xml:space="preserve">    其中：湛江港(集团)股份有限公司</t>
  </si>
  <si>
    <t xml:space="preserve">  全市港口集装箱吞吐量</t>
  </si>
  <si>
    <t>公 路</t>
  </si>
  <si>
    <t xml:space="preserve"> </t>
  </si>
  <si>
    <t xml:space="preserve">  货运量</t>
  </si>
  <si>
    <t xml:space="preserve">  货物周转量</t>
  </si>
  <si>
    <t xml:space="preserve">  客运量</t>
  </si>
  <si>
    <t xml:space="preserve">  旅客周转量</t>
  </si>
  <si>
    <t>亿人公里</t>
  </si>
  <si>
    <t>水 路</t>
  </si>
  <si>
    <t>邮  政</t>
  </si>
  <si>
    <t xml:space="preserve">  邮政行业业务收入</t>
  </si>
  <si>
    <t xml:space="preserve">    其中：邮政寄递服务</t>
  </si>
  <si>
    <t xml:space="preserve">          快递业务</t>
  </si>
  <si>
    <t xml:space="preserve">  邮政行业业务总量</t>
  </si>
  <si>
    <t xml:space="preserve">  邮政寄递服务业务量</t>
  </si>
  <si>
    <t xml:space="preserve">  快递业务量</t>
  </si>
  <si>
    <t xml:space="preserve">    其中：同城</t>
  </si>
  <si>
    <t xml:space="preserve">          异地</t>
  </si>
  <si>
    <t xml:space="preserve">           #国际、港澳台</t>
  </si>
  <si>
    <t xml:space="preserve">  项目投资</t>
  </si>
  <si>
    <t xml:space="preserve">    基础设施 </t>
  </si>
  <si>
    <t xml:space="preserve">      #城市建设</t>
  </si>
  <si>
    <t xml:space="preserve">      交通运输基础设施投资</t>
  </si>
  <si>
    <t xml:space="preserve">    工业</t>
  </si>
  <si>
    <t xml:space="preserve">      #制造业</t>
  </si>
  <si>
    <t xml:space="preserve">      工业技术改造</t>
  </si>
  <si>
    <t xml:space="preserve">  房地产开发</t>
  </si>
  <si>
    <t xml:space="preserve">  按产业分：第一产业</t>
  </si>
  <si>
    <t xml:space="preserve">            第二产业</t>
  </si>
  <si>
    <t xml:space="preserve">            第三产业</t>
  </si>
  <si>
    <t>投资项目施工个数</t>
  </si>
  <si>
    <t xml:space="preserve">  亿元以上项目个数</t>
  </si>
  <si>
    <t xml:space="preserve">  工业投资项目个数</t>
  </si>
  <si>
    <t xml:space="preserve">  基础设施投资项目个数</t>
  </si>
  <si>
    <t xml:space="preserve">   #交通运输基础设施投资项目个数</t>
  </si>
  <si>
    <t>房地产开发投资项目个数</t>
  </si>
  <si>
    <t>房地产开发投资房屋施工面积</t>
  </si>
  <si>
    <t xml:space="preserve">  #住宅</t>
  </si>
  <si>
    <t>商品房销售面积</t>
  </si>
  <si>
    <t>商品房销售额</t>
  </si>
  <si>
    <t>社会消费品零售总额（亿元）</t>
  </si>
  <si>
    <t>按经营地分</t>
  </si>
  <si>
    <t xml:space="preserve">  城镇</t>
  </si>
  <si>
    <t xml:space="preserve">  乡村</t>
  </si>
  <si>
    <t>按消费类型分</t>
  </si>
  <si>
    <t xml:space="preserve">  商品零售</t>
  </si>
  <si>
    <t xml:space="preserve">  餐饮收入</t>
  </si>
  <si>
    <t>限额以上单位商品零售</t>
  </si>
  <si>
    <t xml:space="preserve">  粮油、食品类</t>
  </si>
  <si>
    <t xml:space="preserve">  饮料类</t>
  </si>
  <si>
    <t xml:space="preserve">  烟酒类</t>
  </si>
  <si>
    <t xml:space="preserve">  服装鞋帽针纺织品类</t>
  </si>
  <si>
    <t xml:space="preserve">  化妆品类</t>
  </si>
  <si>
    <t xml:space="preserve">  金银珠宝类</t>
  </si>
  <si>
    <t xml:space="preserve">  日用品类</t>
  </si>
  <si>
    <t xml:space="preserve">  五金电料类</t>
  </si>
  <si>
    <t xml:space="preserve">  体育娱乐用品类</t>
  </si>
  <si>
    <t xml:space="preserve">  书报杂志类</t>
  </si>
  <si>
    <t xml:space="preserve">  家用电器和音像器材类</t>
  </si>
  <si>
    <t xml:space="preserve">  中西药品类</t>
  </si>
  <si>
    <t xml:space="preserve">  文化办公用品类</t>
  </si>
  <si>
    <t xml:space="preserve">  家具类</t>
  </si>
  <si>
    <t xml:space="preserve">  通讯器材类</t>
  </si>
  <si>
    <t xml:space="preserve">  石油及制品类</t>
  </si>
  <si>
    <t xml:space="preserve">  建筑及装潢材料类</t>
  </si>
  <si>
    <t xml:space="preserve">  机电产品及设备类</t>
  </si>
  <si>
    <t xml:space="preserve">  汽车类</t>
  </si>
  <si>
    <t>财政收支情况</t>
  </si>
  <si>
    <t>地方一般公共预算收入（亿元）</t>
  </si>
  <si>
    <t xml:space="preserve">  税收收入</t>
  </si>
  <si>
    <t xml:space="preserve">     ＃增值税</t>
  </si>
  <si>
    <t xml:space="preserve">       企业所得税</t>
  </si>
  <si>
    <t xml:space="preserve">       个人所得税</t>
  </si>
  <si>
    <t xml:space="preserve">       城市维护建设税</t>
  </si>
  <si>
    <t xml:space="preserve">       房产税</t>
  </si>
  <si>
    <t xml:space="preserve">       土地增值税</t>
  </si>
  <si>
    <t xml:space="preserve">       契税</t>
  </si>
  <si>
    <t xml:space="preserve">  非税收入</t>
  </si>
  <si>
    <t>地方一般公共预算支出（亿元）</t>
  </si>
  <si>
    <t xml:space="preserve">  ＃一般公共服务</t>
  </si>
  <si>
    <t xml:space="preserve">    科学技术</t>
  </si>
  <si>
    <t xml:space="preserve">    民生支出合计</t>
  </si>
  <si>
    <t xml:space="preserve">      ＃教育</t>
  </si>
  <si>
    <t xml:space="preserve">        文化旅游体育与传媒</t>
  </si>
  <si>
    <t xml:space="preserve">        社会保障和就业</t>
  </si>
  <si>
    <t xml:space="preserve">        卫生健康</t>
  </si>
  <si>
    <t xml:space="preserve">        节能环保</t>
  </si>
  <si>
    <t xml:space="preserve">        城乡社区事务</t>
  </si>
  <si>
    <t xml:space="preserve">        农林水事务</t>
  </si>
  <si>
    <t xml:space="preserve">        交通运输</t>
  </si>
  <si>
    <t xml:space="preserve">        住房保障支出</t>
  </si>
  <si>
    <t xml:space="preserve">        粮油物资储备事务</t>
  </si>
  <si>
    <t>注：1、本表数据来源市财政局。
2、地方一般公共预算收入相关数据增速为自然口径。
3、部分数据由于小数位取舍不同而产生的计算误差，均未作机械调整。</t>
  </si>
  <si>
    <t>金   融</t>
  </si>
  <si>
    <t>一、金融机构本外币各项存款余额</t>
  </si>
  <si>
    <t>（一）境内存款</t>
  </si>
  <si>
    <t xml:space="preserve">   1.住户存款</t>
  </si>
  <si>
    <t xml:space="preserve">   2.非金融企业存款</t>
  </si>
  <si>
    <t xml:space="preserve">   3.广义政府存款</t>
  </si>
  <si>
    <t xml:space="preserve">   4.非银行业金融机构存款</t>
  </si>
  <si>
    <t>（二）境外存款</t>
  </si>
  <si>
    <t>二、金融机构本外币各项贷款余额</t>
  </si>
  <si>
    <t>（一）境内贷款</t>
  </si>
  <si>
    <t xml:space="preserve">   1.住户贷款</t>
  </si>
  <si>
    <t xml:space="preserve">   2.非金融企业及机关团体贷款</t>
  </si>
  <si>
    <t xml:space="preserve">   3.非银行业金融机构贷款</t>
  </si>
  <si>
    <t>（二）境外贷款</t>
  </si>
  <si>
    <t>三、金融机构人民币各项存款余额</t>
  </si>
  <si>
    <t xml:space="preserve">     其中：活期存款</t>
  </si>
  <si>
    <t xml:space="preserve">     其中：机关团体存款</t>
  </si>
  <si>
    <t>四、金融机构人民币各项贷款余额</t>
  </si>
  <si>
    <t xml:space="preserve">     其中：中长期贷款</t>
  </si>
  <si>
    <t xml:space="preserve">     其中：短期贷款</t>
  </si>
  <si>
    <t xml:space="preserve">          中长期贷款</t>
  </si>
  <si>
    <t>注：本表数据来源中国人民银行湛江市中心支行。</t>
  </si>
  <si>
    <t>外贸进出口总额和利用外资</t>
  </si>
  <si>
    <t>一、外贸进出口总额（亿元）</t>
  </si>
  <si>
    <t xml:space="preserve">   (一)出口总额</t>
  </si>
  <si>
    <t xml:space="preserve">   1.按主要贸易方式分</t>
  </si>
  <si>
    <t xml:space="preserve">       一般贸易</t>
  </si>
  <si>
    <t xml:space="preserve">       加工贸易</t>
  </si>
  <si>
    <t xml:space="preserve">       保税物流</t>
  </si>
  <si>
    <t xml:space="preserve">   2.按主要经济类型分</t>
  </si>
  <si>
    <t xml:space="preserve">       国有企业</t>
  </si>
  <si>
    <t xml:space="preserve">       民营企业</t>
  </si>
  <si>
    <t xml:space="preserve">       外商投资企业</t>
  </si>
  <si>
    <t xml:space="preserve">   3.按主要国家（地区）分</t>
  </si>
  <si>
    <t xml:space="preserve">      中 国 香 港</t>
  </si>
  <si>
    <t xml:space="preserve">       日     本</t>
  </si>
  <si>
    <t xml:space="preserve">       美     国</t>
  </si>
  <si>
    <t xml:space="preserve">       欧     盟(27国）</t>
  </si>
  <si>
    <t xml:space="preserve">  (二)进口总额</t>
  </si>
  <si>
    <t xml:space="preserve">  按主要贸易方式分</t>
  </si>
  <si>
    <t xml:space="preserve">    一般贸易</t>
  </si>
  <si>
    <t xml:space="preserve">    加工贸易</t>
  </si>
  <si>
    <t xml:space="preserve">    保税物流</t>
  </si>
  <si>
    <t>二、利用外资</t>
  </si>
  <si>
    <t xml:space="preserve">    外商直接投资项目（个）</t>
  </si>
  <si>
    <t xml:space="preserve">    合同利用外商直接投资（亿元）</t>
  </si>
  <si>
    <t xml:space="preserve">    实际利用外商直接投资（亿元）</t>
  </si>
  <si>
    <t>注：1、本表数据来源湛江海关和市商务局。</t>
  </si>
  <si>
    <t>居民人均可支配收入</t>
  </si>
  <si>
    <t>居民人均可支配收入（元）</t>
  </si>
  <si>
    <t xml:space="preserve">  其中：城镇居民人均可支配收入</t>
  </si>
  <si>
    <t xml:space="preserve">       农村居民人均可支配收入</t>
  </si>
  <si>
    <t>居民消费价格指数</t>
  </si>
  <si>
    <t>上年同月=100</t>
  </si>
  <si>
    <t>上年同期=100</t>
  </si>
  <si>
    <t>一、居民消费价格总指数（%）</t>
  </si>
  <si>
    <t>（一）食品烟酒</t>
  </si>
  <si>
    <t xml:space="preserve">       #粮食</t>
  </si>
  <si>
    <t xml:space="preserve">        鲜菜</t>
  </si>
  <si>
    <t xml:space="preserve">        畜肉类</t>
  </si>
  <si>
    <t xml:space="preserve">        水产品</t>
  </si>
  <si>
    <t xml:space="preserve">        蛋类</t>
  </si>
  <si>
    <t xml:space="preserve">        在外餐饮</t>
  </si>
  <si>
    <t>（二）衣着</t>
  </si>
  <si>
    <t>（三）居住</t>
  </si>
  <si>
    <t xml:space="preserve">（四）生活用品及服务 </t>
  </si>
  <si>
    <t>（五）交通和通信</t>
  </si>
  <si>
    <t>（六）教育文化和娱乐</t>
  </si>
  <si>
    <t xml:space="preserve">      #教育</t>
  </si>
  <si>
    <t>（七）医疗保健</t>
  </si>
  <si>
    <t>（八）其他用品和服务</t>
  </si>
  <si>
    <t>二、服务项目价格指数（%）</t>
  </si>
  <si>
    <t>注:本表数据来源国家统计局湛江调查队。</t>
  </si>
  <si>
    <t>各县（市、区）地区生产总值和第一产业增加值</t>
  </si>
  <si>
    <t>地区生产总值（亿元）</t>
  </si>
  <si>
    <t xml:space="preserve">   全  市</t>
  </si>
  <si>
    <t xml:space="preserve">   全市总计中：经开区</t>
  </si>
  <si>
    <t>第一产业增加值（亿元）</t>
  </si>
  <si>
    <t>注：经开区为全市的其中数，与赤坎区、霞山区数据存在部分重复。经开区数据分为乐山大道以北、乐山大道以南和东海岛三片，乐山大道以北片数据计入赤坎区，乐山大道以南片数据计入霞山区，东海岛片单独由经开区统计。</t>
  </si>
  <si>
    <t>各县（市、区）第二产业增加值和第三产业增加值</t>
  </si>
  <si>
    <t>第二产业增加值（亿元）</t>
  </si>
  <si>
    <t>第三产业增加值（亿元）</t>
  </si>
  <si>
    <t>各县（市、区）农林牧渔业总产值和规上工业增加值</t>
  </si>
  <si>
    <t>农林牧渔业总产值（亿元）</t>
  </si>
  <si>
    <t>规模以上工业增加值（亿元）</t>
  </si>
  <si>
    <t xml:space="preserve">注：经开区为全市的其中数，与赤坎区、霞山区数据存在部分重复。经开区数据分为乐山大道以北、乐山大道以南和东海岛三片，乐山大道以北片数据计入赤坎区，乐山大道以南片数据计入霞山区，东海岛片单独由经开区统计。
</t>
  </si>
  <si>
    <t>各县（市、区）规上工业企业利润总额和营业收入</t>
  </si>
  <si>
    <t>规模以上工业企业利润总额（亿元）</t>
  </si>
  <si>
    <t>规模以上工业企业营业收入（亿元）</t>
  </si>
  <si>
    <t>各县（市、区）社会消费品零售总额和固定资产投资</t>
  </si>
  <si>
    <t>固定资产投资（亿元）</t>
  </si>
  <si>
    <r>
      <rPr>
        <sz val="11"/>
        <rFont val="宋体"/>
        <charset val="134"/>
        <scheme val="minor"/>
      </rPr>
      <t xml:space="preserve">   </t>
    </r>
    <r>
      <rPr>
        <sz val="11"/>
        <rFont val="宋体"/>
        <charset val="134"/>
      </rPr>
      <t xml:space="preserve">  经开区</t>
    </r>
  </si>
  <si>
    <t>各县（市、区）工业投资和房地产开发投资</t>
  </si>
  <si>
    <t>工业投资（亿元）</t>
  </si>
  <si>
    <t>房地产开发投资（亿元）</t>
  </si>
  <si>
    <t>各县（市、区）工业技术改造投资和制造业投资</t>
  </si>
  <si>
    <t>工业技术改造投资（亿元）</t>
  </si>
  <si>
    <t>制造业投资（亿元）</t>
  </si>
  <si>
    <t>各县（市、区）财政收支</t>
  </si>
  <si>
    <t>注：地方一般公共预算收入增速为自然口径。</t>
  </si>
  <si>
    <t>各县（市、区）税收收入和实际利用外资</t>
  </si>
  <si>
    <t>税收收入（亿元）</t>
  </si>
  <si>
    <t>实际利用外资（亿元）</t>
  </si>
  <si>
    <t>注：税收收入增速为自然口径。</t>
  </si>
  <si>
    <t>全国及全省各市主要经济指标完成情况（五）</t>
  </si>
  <si>
    <t>单位：亿元</t>
  </si>
  <si>
    <t xml:space="preserve"> 市    别 </t>
  </si>
  <si>
    <t>地税收入</t>
  </si>
  <si>
    <t>国税收入</t>
  </si>
  <si>
    <t>1-5月</t>
  </si>
  <si>
    <t>增长（%）</t>
  </si>
  <si>
    <t>增速排位</t>
  </si>
  <si>
    <t>全  国</t>
  </si>
  <si>
    <t>全  省</t>
  </si>
  <si>
    <t>广州市</t>
  </si>
  <si>
    <t>深圳市</t>
  </si>
  <si>
    <t>珠海市</t>
  </si>
  <si>
    <t>汕头市</t>
  </si>
  <si>
    <t>佛山市</t>
  </si>
  <si>
    <t>韶关市</t>
  </si>
  <si>
    <t>河源市</t>
  </si>
  <si>
    <t>梅州市</t>
  </si>
  <si>
    <t>惠州市</t>
  </si>
  <si>
    <t>汕尾市</t>
  </si>
  <si>
    <t>东莞市</t>
  </si>
  <si>
    <t>中山市</t>
  </si>
  <si>
    <t>江门市</t>
  </si>
  <si>
    <t>阳江市</t>
  </si>
  <si>
    <t>湛江市</t>
  </si>
  <si>
    <t>茂名市</t>
  </si>
  <si>
    <t>肇庆市</t>
  </si>
  <si>
    <t>清远市</t>
  </si>
  <si>
    <t>潮州市</t>
  </si>
  <si>
    <t>揭阳市</t>
  </si>
  <si>
    <t>云浮市</t>
  </si>
  <si>
    <t>规模以上工业增加值序列</t>
  </si>
  <si>
    <t xml:space="preserve">  单位：万元</t>
  </si>
  <si>
    <t>时间</t>
  </si>
  <si>
    <t xml:space="preserve">  累计</t>
  </si>
  <si>
    <t>累计增长%</t>
  </si>
  <si>
    <t>固定资产投资序列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</si>
  <si>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单位：万元</t>
    </r>
  </si>
  <si>
    <t>社会消费品零售总额序列</t>
  </si>
  <si>
    <t>出口序列</t>
  </si>
  <si>
    <t xml:space="preserve">    单位：万元</t>
  </si>
  <si>
    <t>外贸出口总额</t>
  </si>
  <si>
    <t>地方一般公共预算收入序列</t>
  </si>
  <si>
    <t>工业用电量序列</t>
  </si>
  <si>
    <t xml:space="preserve">  单位：亿千瓦时</t>
  </si>
  <si>
    <t>工业用电量</t>
  </si>
  <si>
    <t>（上年同期＝100）单位：%</t>
  </si>
  <si>
    <t>当月</t>
  </si>
  <si>
    <t>累计</t>
  </si>
</sst>
</file>

<file path=xl/styles.xml><?xml version="1.0" encoding="utf-8"?>
<styleSheet xmlns="http://schemas.openxmlformats.org/spreadsheetml/2006/main" xmlns:xr9="http://schemas.microsoft.com/office/spreadsheetml/2016/revision9">
  <numFmts count="35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  <numFmt numFmtId="178" formatCode="0_);\(0\)"/>
    <numFmt numFmtId="179" formatCode="_-&quot;$&quot;\ * #,##0.00_-;_-&quot;$&quot;\ * #,##0.00\-;_-&quot;$&quot;\ * &quot;-&quot;??_-;_-@_-"/>
    <numFmt numFmtId="180" formatCode="\$#,##0.00;\(\$#,##0.00\)"/>
    <numFmt numFmtId="181" formatCode="_-* #,##0.00_$_-;\-* #,##0.00_$_-;_-* &quot;-&quot;??_$_-;_-@_-"/>
    <numFmt numFmtId="182" formatCode="&quot;$&quot;#,##0.00_);[Red]\(&quot;$&quot;#,##0.00\)"/>
    <numFmt numFmtId="183" formatCode="0.0"/>
    <numFmt numFmtId="184" formatCode="_-&quot;$&quot;\ * #,##0_-;_-&quot;$&quot;\ * #,##0\-;_-&quot;$&quot;\ * &quot;-&quot;_-;_-@_-"/>
    <numFmt numFmtId="185" formatCode="_-* #,##0.00_-;\-* #,##0.00_-;_-* &quot;-&quot;??_-;_-@_-"/>
    <numFmt numFmtId="186" formatCode="_-* #,##0&quot;$&quot;_-;\-* #,##0&quot;$&quot;_-;_-* &quot;-&quot;&quot;$&quot;_-;_-@_-"/>
    <numFmt numFmtId="187" formatCode="_-* #,##0_$_-;\-* #,##0_$_-;_-* &quot;-&quot;_$_-;_-@_-"/>
    <numFmt numFmtId="188" formatCode="_(&quot;$&quot;* #,##0.00_);_(&quot;$&quot;* \(#,##0.00\);_(&quot;$&quot;* &quot;-&quot;??_);_(@_)"/>
    <numFmt numFmtId="189" formatCode="_-&quot;$&quot;* #,##0_-;\-&quot;$&quot;* #,##0_-;_-&quot;$&quot;* &quot;-&quot;_-;_-@_-"/>
    <numFmt numFmtId="190" formatCode="\$#,##0;\(\$#,##0\)"/>
    <numFmt numFmtId="191" formatCode="#,##0.0_);\(#,##0.0\)"/>
    <numFmt numFmtId="192" formatCode="&quot;$&quot;\ #,##0_-;[Red]&quot;$&quot;\ #,##0\-"/>
    <numFmt numFmtId="193" formatCode="&quot;$&quot;\ #,##0.00_-;[Red]&quot;$&quot;\ #,##0.00\-"/>
    <numFmt numFmtId="194" formatCode="#,##0;\-#,##0;&quot;-&quot;"/>
    <numFmt numFmtId="195" formatCode="&quot;$&quot;#,##0_);[Red]\(&quot;$&quot;#,##0\)"/>
    <numFmt numFmtId="196" formatCode="_-* #,##0.00&quot;$&quot;_-;\-* #,##0.00&quot;$&quot;_-;_-* &quot;-&quot;??&quot;$&quot;_-;_-@_-"/>
    <numFmt numFmtId="197" formatCode="0.00_)"/>
    <numFmt numFmtId="198" formatCode="#,##0;\(#,##0\)"/>
    <numFmt numFmtId="199" formatCode="yy\.mm\.dd"/>
    <numFmt numFmtId="200" formatCode="_(&quot;$&quot;* #,##0_);_(&quot;$&quot;* \(#,##0\);_(&quot;$&quot;* &quot;-&quot;_);_(@_)"/>
    <numFmt numFmtId="201" formatCode="#\ ??/??"/>
    <numFmt numFmtId="202" formatCode="0.0_);[Red]\(0.0\)"/>
    <numFmt numFmtId="203" formatCode="0.0_ "/>
    <numFmt numFmtId="204" formatCode="0_);[Red]\(0\)"/>
    <numFmt numFmtId="205" formatCode="0.00_ "/>
    <numFmt numFmtId="206" formatCode="0;_؄"/>
    <numFmt numFmtId="207" formatCode="0_ "/>
    <numFmt numFmtId="208" formatCode="0.00_);[Red]\(0.00\)"/>
  </numFmts>
  <fonts count="99">
    <font>
      <sz val="12"/>
      <name val="宋体"/>
      <charset val="134"/>
    </font>
    <font>
      <sz val="8"/>
      <name val="宋体"/>
      <charset val="134"/>
    </font>
    <font>
      <sz val="10"/>
      <name val="Arial"/>
      <charset val="0"/>
    </font>
    <font>
      <b/>
      <sz val="18"/>
      <name val="方正小标宋简体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2"/>
      <color indexed="10"/>
      <name val="黑体"/>
      <charset val="134"/>
    </font>
    <font>
      <b/>
      <sz val="12"/>
      <name val="宋体"/>
      <charset val="134"/>
    </font>
    <font>
      <b/>
      <sz val="9"/>
      <name val="Times New Roman"/>
      <charset val="0"/>
    </font>
    <font>
      <sz val="9"/>
      <name val="Times New Roman"/>
      <charset val="0"/>
    </font>
    <font>
      <sz val="10.5"/>
      <name val="Times New Roman"/>
      <charset val="0"/>
    </font>
    <font>
      <sz val="14"/>
      <name val="仿宋_GB2312"/>
      <charset val="134"/>
    </font>
    <font>
      <sz val="16"/>
      <name val="黑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u/>
      <sz val="11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.5"/>
      <color indexed="20"/>
      <name val="宋体"/>
      <charset val="134"/>
    </font>
    <font>
      <sz val="12"/>
      <color indexed="9"/>
      <name val="宋体"/>
      <charset val="134"/>
    </font>
    <font>
      <sz val="8"/>
      <name val="Times New Roman"/>
      <charset val="0"/>
    </font>
    <font>
      <sz val="10"/>
      <color indexed="17"/>
      <name val="宋体"/>
      <charset val="134"/>
    </font>
    <font>
      <sz val="12"/>
      <color indexed="17"/>
      <name val="宋体"/>
      <charset val="134"/>
    </font>
    <font>
      <sz val="12"/>
      <color indexed="8"/>
      <name val="宋体"/>
      <charset val="134"/>
    </font>
    <font>
      <b/>
      <sz val="12"/>
      <color indexed="52"/>
      <name val="楷体_GB2312"/>
      <charset val="134"/>
    </font>
    <font>
      <sz val="12"/>
      <color indexed="20"/>
      <name val="宋体"/>
      <charset val="134"/>
    </font>
    <font>
      <sz val="12"/>
      <color indexed="20"/>
      <name val="楷体_GB2312"/>
      <charset val="134"/>
    </font>
    <font>
      <sz val="12"/>
      <color indexed="16"/>
      <name val="宋体"/>
      <charset val="134"/>
    </font>
    <font>
      <b/>
      <sz val="18"/>
      <color indexed="62"/>
      <name val="宋体"/>
      <charset val="134"/>
    </font>
    <font>
      <sz val="12"/>
      <name val="Times New Roman"/>
      <charset val="0"/>
    </font>
    <font>
      <sz val="10"/>
      <name val="Helv"/>
      <charset val="134"/>
    </font>
    <font>
      <sz val="10.5"/>
      <color indexed="17"/>
      <name val="宋体"/>
      <charset val="134"/>
    </font>
    <font>
      <sz val="12"/>
      <color indexed="9"/>
      <name val="楷体_GB2312"/>
      <charset val="134"/>
    </font>
    <font>
      <sz val="12"/>
      <color indexed="17"/>
      <name val="楷体_GB2312"/>
      <charset val="134"/>
    </font>
    <font>
      <sz val="10"/>
      <color indexed="8"/>
      <name val="Arial"/>
      <charset val="0"/>
    </font>
    <font>
      <sz val="12"/>
      <color indexed="8"/>
      <name val="楷体_GB2312"/>
      <charset val="134"/>
    </font>
    <font>
      <sz val="10"/>
      <name val="楷体"/>
      <charset val="134"/>
    </font>
    <font>
      <b/>
      <sz val="12"/>
      <color indexed="8"/>
      <name val="宋体"/>
      <charset val="134"/>
    </font>
    <font>
      <b/>
      <sz val="11"/>
      <color indexed="56"/>
      <name val="楷体_GB2312"/>
      <charset val="134"/>
    </font>
    <font>
      <sz val="12"/>
      <name val="????"/>
      <charset val="0"/>
    </font>
    <font>
      <b/>
      <sz val="9"/>
      <name val="Arial"/>
      <charset val="0"/>
    </font>
    <font>
      <sz val="10"/>
      <color indexed="20"/>
      <name val="宋体"/>
      <charset val="134"/>
    </font>
    <font>
      <sz val="12"/>
      <name val="Courier"/>
      <charset val="0"/>
    </font>
    <font>
      <sz val="8"/>
      <name val="Arial"/>
      <charset val="0"/>
    </font>
    <font>
      <b/>
      <sz val="10"/>
      <name val="Arial"/>
      <charset val="0"/>
    </font>
    <font>
      <sz val="10"/>
      <name val="Times New Roman"/>
      <charset val="0"/>
    </font>
    <font>
      <sz val="10"/>
      <name val="Geneva"/>
      <charset val="0"/>
    </font>
    <font>
      <b/>
      <sz val="14"/>
      <name val="楷体"/>
      <charset val="134"/>
    </font>
    <font>
      <sz val="12"/>
      <color indexed="60"/>
      <name val="楷体_GB2312"/>
      <charset val="134"/>
    </font>
    <font>
      <b/>
      <sz val="12"/>
      <name val="Arial"/>
      <charset val="0"/>
    </font>
    <font>
      <b/>
      <sz val="18"/>
      <name val="Arial"/>
      <charset val="0"/>
    </font>
    <font>
      <sz val="12"/>
      <name val="官帕眉"/>
      <charset val="134"/>
    </font>
    <font>
      <b/>
      <sz val="10"/>
      <name val="Tms Rmn"/>
      <charset val="0"/>
    </font>
    <font>
      <sz val="12"/>
      <color indexed="52"/>
      <name val="楷体_GB2312"/>
      <charset val="134"/>
    </font>
    <font>
      <sz val="12"/>
      <name val="Arial"/>
      <charset val="0"/>
    </font>
    <font>
      <sz val="12"/>
      <name val="Helv"/>
      <charset val="134"/>
    </font>
    <font>
      <sz val="7"/>
      <name val="Small Fonts"/>
      <charset val="0"/>
    </font>
    <font>
      <sz val="10"/>
      <name val="MS Sans Serif"/>
      <charset val="0"/>
    </font>
    <font>
      <sz val="10"/>
      <color indexed="8"/>
      <name val="MS Sans Serif"/>
      <charset val="0"/>
    </font>
    <font>
      <i/>
      <sz val="12"/>
      <color indexed="23"/>
      <name val="楷体_GB2312"/>
      <charset val="134"/>
    </font>
    <font>
      <sz val="12"/>
      <color indexed="9"/>
      <name val="Helv"/>
      <charset val="134"/>
    </font>
    <font>
      <sz val="12"/>
      <name val="바탕체"/>
      <charset val="134"/>
    </font>
    <font>
      <sz val="12"/>
      <color indexed="10"/>
      <name val="楷体_GB2312"/>
      <charset val="134"/>
    </font>
    <font>
      <sz val="12"/>
      <color indexed="62"/>
      <name val="楷体_GB2312"/>
      <charset val="134"/>
    </font>
    <font>
      <b/>
      <sz val="13"/>
      <color indexed="56"/>
      <name val="楷体_GB2312"/>
      <charset val="134"/>
    </font>
    <font>
      <b/>
      <sz val="12"/>
      <color indexed="9"/>
      <name val="楷体_GB2312"/>
      <charset val="134"/>
    </font>
    <font>
      <sz val="10"/>
      <name val="Courier"/>
      <charset val="0"/>
    </font>
    <font>
      <b/>
      <sz val="12"/>
      <color indexed="8"/>
      <name val="楷体_GB2312"/>
      <charset val="134"/>
    </font>
    <font>
      <b/>
      <sz val="10"/>
      <name val="MS Sans Serif"/>
      <charset val="0"/>
    </font>
    <font>
      <b/>
      <sz val="15"/>
      <color indexed="56"/>
      <name val="楷体_GB2312"/>
      <charset val="134"/>
    </font>
    <font>
      <b/>
      <sz val="12"/>
      <color indexed="63"/>
      <name val="楷体_GB2312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lightUp">
        <fgColor indexed="9"/>
        <bgColor indexed="55"/>
      </patternFill>
    </fill>
    <fill>
      <patternFill patternType="gray0625"/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lightUp">
        <fgColor indexed="9"/>
        <bgColor indexed="29"/>
      </patternFill>
    </fill>
  </fills>
  <borders count="5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166">
    <xf numFmtId="0" fontId="0" fillId="0" borderId="0"/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0" fillId="3" borderId="4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0" borderId="0">
      <alignment horizontal="center" wrapText="1"/>
      <protection locked="0"/>
    </xf>
    <xf numFmtId="0" fontId="49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51" fillId="5" borderId="0" applyNumberFormat="0" applyBorder="0" applyAlignment="0" applyProtection="0"/>
    <xf numFmtId="0" fontId="40" fillId="0" borderId="56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5" borderId="52" applyNumberForma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1" fillId="4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55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0" fillId="0" borderId="0"/>
    <xf numFmtId="0" fontId="33" fillId="0" borderId="50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57" fillId="0" borderId="0"/>
    <xf numFmtId="0" fontId="34" fillId="0" borderId="51" applyNumberFormat="0" applyFill="0" applyAlignment="0" applyProtection="0">
      <alignment vertical="center"/>
    </xf>
    <xf numFmtId="0" fontId="58" fillId="0" borderId="0"/>
    <xf numFmtId="0" fontId="30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51" fillId="21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51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0" fillId="0" borderId="0"/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8" borderId="0" applyNumberFormat="0" applyBorder="0" applyAlignment="0" applyProtection="0">
      <alignment vertical="center"/>
    </xf>
    <xf numFmtId="0" fontId="51" fillId="4" borderId="0" applyNumberFormat="0" applyBorder="0" applyAlignment="0" applyProtection="0"/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38" fontId="0" fillId="0" borderId="0" applyFont="0" applyFill="0" applyBorder="0" applyAlignment="0" applyProtection="0"/>
    <xf numFmtId="0" fontId="46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</xf>
    <xf numFmtId="0" fontId="55" fillId="8" borderId="0" applyNumberFormat="0" applyBorder="0" applyAlignment="0" applyProtection="0"/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2" fillId="0" borderId="0"/>
    <xf numFmtId="0" fontId="51" fillId="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39" fillId="0" borderId="55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63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7" fillId="0" borderId="0"/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13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43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51" fillId="5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0" fontId="64" fillId="0" borderId="2" applyNumberFormat="0" applyFill="0" applyProtection="0">
      <alignment horizontal="center"/>
    </xf>
    <xf numFmtId="0" fontId="44" fillId="17" borderId="0" applyNumberFormat="0" applyBorder="0" applyAlignment="0" applyProtection="0">
      <alignment vertical="center"/>
    </xf>
    <xf numFmtId="0" fontId="65" fillId="25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0" borderId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" fillId="0" borderId="0"/>
    <xf numFmtId="0" fontId="45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7" fillId="0" borderId="0"/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7" fillId="12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20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68" fillId="0" borderId="0" applyNumberFormat="0" applyFill="0" applyBorder="0" applyAlignment="0" applyProtection="0"/>
    <xf numFmtId="0" fontId="34" fillId="0" borderId="51" applyNumberFormat="0" applyFill="0" applyAlignment="0" applyProtection="0">
      <alignment vertical="center"/>
    </xf>
    <xf numFmtId="179" fontId="0" fillId="0" borderId="0" applyFont="0" applyFill="0" applyBorder="0" applyAlignment="0" applyProtection="0"/>
    <xf numFmtId="0" fontId="38" fillId="6" borderId="54" applyNumberFormat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1" fillId="21" borderId="0" applyNumberFormat="0" applyBorder="0" applyAlignment="0" applyProtection="0"/>
    <xf numFmtId="0" fontId="36" fillId="5" borderId="53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70" fillId="0" borderId="0"/>
    <xf numFmtId="0" fontId="45" fillId="19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37" fillId="5" borderId="52" applyNumberForma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2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60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/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39" fillId="0" borderId="55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51" fillId="4" borderId="0" applyNumberFormat="0" applyBorder="0" applyAlignment="0" applyProtection="0"/>
    <xf numFmtId="0" fontId="0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44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51" fillId="5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/>
    <xf numFmtId="0" fontId="34" fillId="0" borderId="51" applyNumberFormat="0" applyFill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80" fontId="73" fillId="0" borderId="0"/>
    <xf numFmtId="0" fontId="37" fillId="5" borderId="52" applyNumberFormat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50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51" fillId="4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181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1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1" fontId="17" fillId="0" borderId="15">
      <alignment vertical="center"/>
      <protection locked="0"/>
    </xf>
    <xf numFmtId="0" fontId="41" fillId="7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8" fillId="0" borderId="0"/>
    <xf numFmtId="0" fontId="6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21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51" fillId="4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74" fillId="0" borderId="0"/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36" fillId="5" borderId="53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60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5" fillId="0" borderId="7" applyNumberFormat="0" applyFill="0" applyProtection="0">
      <alignment horizont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5" fillId="0" borderId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49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51" fillId="2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65" fillId="28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56" fillId="0" borderId="0" applyNumberFormat="0" applyFill="0" applyBorder="0" applyAlignment="0" applyProtection="0"/>
    <xf numFmtId="0" fontId="0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45" fillId="12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0" fillId="0" borderId="0"/>
    <xf numFmtId="0" fontId="0" fillId="3" borderId="4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34" fillId="0" borderId="51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184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0" fillId="0" borderId="0"/>
    <xf numFmtId="0" fontId="44" fillId="1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18" borderId="0" applyNumberFormat="0" applyBorder="0" applyAlignment="0" applyProtection="0">
      <alignment vertical="center"/>
    </xf>
    <xf numFmtId="0" fontId="77" fillId="0" borderId="16">
      <alignment horizontal="left" vertical="center"/>
    </xf>
    <xf numFmtId="0" fontId="50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5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0" fillId="0" borderId="0"/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14" fontId="48" fillId="0" borderId="0">
      <alignment horizontal="center" wrapText="1"/>
      <protection locked="0"/>
    </xf>
    <xf numFmtId="0" fontId="51" fillId="11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183" fontId="17" fillId="0" borderId="15">
      <alignment vertical="center"/>
      <protection locked="0"/>
    </xf>
    <xf numFmtId="0" fontId="42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185" fontId="0" fillId="0" borderId="0" applyFont="0" applyFill="0" applyBorder="0" applyAlignment="0" applyProtection="0"/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0" fillId="0" borderId="0"/>
    <xf numFmtId="0" fontId="44" fillId="14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73" fillId="0" borderId="0"/>
    <xf numFmtId="0" fontId="61" fillId="7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8" fillId="0" borderId="0" applyProtection="0"/>
    <xf numFmtId="41" fontId="0" fillId="0" borderId="0" applyFont="0" applyFill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6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42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32" fillId="0" borderId="49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/>
    <xf numFmtId="0" fontId="0" fillId="0" borderId="0"/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44" fillId="14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0" fillId="0" borderId="0"/>
    <xf numFmtId="0" fontId="43" fillId="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59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79" fillId="0" borderId="0"/>
    <xf numFmtId="0" fontId="59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80" fillId="29" borderId="5">
      <protection locked="0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187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7" fillId="0" borderId="57" applyNumberFormat="0" applyAlignment="0" applyProtection="0">
      <alignment horizontal="left" vertical="center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60" fillId="22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59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1" fillId="0" borderId="55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183" fontId="17" fillId="0" borderId="15">
      <alignment vertical="center"/>
      <protection locked="0"/>
    </xf>
    <xf numFmtId="0" fontId="38" fillId="6" borderId="54" applyNumberFormat="0" applyAlignment="0" applyProtection="0">
      <alignment vertical="center"/>
    </xf>
    <xf numFmtId="0" fontId="57" fillId="0" borderId="0"/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47" fillId="20" borderId="0" applyNumberFormat="0" applyBorder="0" applyAlignment="0" applyProtection="0"/>
    <xf numFmtId="0" fontId="40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83" fontId="17" fillId="0" borderId="15">
      <alignment vertical="center"/>
      <protection locked="0"/>
    </xf>
    <xf numFmtId="0" fontId="50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24" borderId="0" applyNumberFormat="0" applyBorder="0" applyAlignment="0" applyProtection="0">
      <alignment vertical="center"/>
    </xf>
    <xf numFmtId="0" fontId="4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0" borderId="0">
      <alignment vertical="center"/>
    </xf>
    <xf numFmtId="0" fontId="50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82" fillId="0" borderId="58" applyProtection="0"/>
    <xf numFmtId="0" fontId="0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55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0" fillId="0" borderId="0"/>
    <xf numFmtId="0" fontId="47" fillId="6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53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0" fillId="0" borderId="0" applyFont="0" applyFill="0" applyBorder="0" applyAlignment="0" applyProtection="0"/>
    <xf numFmtId="0" fontId="45" fillId="15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188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7" fillId="26" borderId="0" applyNumberFormat="0" applyBorder="0" applyAlignment="0" applyProtection="0"/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71" fillId="3" borderId="15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5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4" fillId="0" borderId="51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183" fontId="17" fillId="0" borderId="15">
      <alignment vertical="center"/>
      <protection locked="0"/>
    </xf>
    <xf numFmtId="0" fontId="53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0" fillId="0" borderId="0"/>
    <xf numFmtId="0" fontId="45" fillId="7" borderId="0" applyNumberFormat="0" applyBorder="0" applyAlignment="0" applyProtection="0">
      <alignment vertical="center"/>
    </xf>
    <xf numFmtId="189" fontId="0" fillId="0" borderId="0" applyFont="0" applyFill="0" applyBorder="0" applyAlignment="0" applyProtection="0"/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80" fillId="29" borderId="5">
      <protection locked="0"/>
    </xf>
    <xf numFmtId="0" fontId="6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190" fontId="73" fillId="0" borderId="0"/>
    <xf numFmtId="0" fontId="41" fillId="7" borderId="0" applyNumberFormat="0" applyBorder="0" applyAlignment="0" applyProtection="0">
      <alignment vertical="center"/>
    </xf>
    <xf numFmtId="0" fontId="57" fillId="0" borderId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3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191" fontId="83" fillId="30" borderId="0"/>
    <xf numFmtId="0" fontId="34" fillId="0" borderId="51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0" borderId="0">
      <alignment vertical="center"/>
    </xf>
    <xf numFmtId="0" fontId="50" fillId="21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15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0" fillId="0" borderId="0"/>
    <xf numFmtId="0" fontId="43" fillId="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192" fontId="2" fillId="0" borderId="0"/>
    <xf numFmtId="0" fontId="51" fillId="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0" borderId="0">
      <alignment vertical="center"/>
    </xf>
    <xf numFmtId="0" fontId="45" fillId="4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0" fillId="0" borderId="0"/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51" fillId="11" borderId="0" applyNumberFormat="0" applyBorder="0" applyAlignment="0" applyProtection="0"/>
    <xf numFmtId="0" fontId="63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1" fillId="4" borderId="0" applyNumberFormat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3" fillId="0" borderId="0"/>
    <xf numFmtId="0" fontId="51" fillId="3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37" fontId="84" fillId="0" borderId="0"/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19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37" fillId="5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1" fontId="17" fillId="0" borderId="15">
      <alignment vertical="center"/>
      <protection locked="0"/>
    </xf>
    <xf numFmtId="0" fontId="47" fillId="12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0" borderId="0">
      <alignment vertical="center"/>
    </xf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7" fillId="0" borderId="0" applyProtection="0"/>
    <xf numFmtId="0" fontId="50" fillId="7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/>
    <xf numFmtId="0" fontId="85" fillId="0" borderId="0"/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194" fontId="62" fillId="0" borderId="0" applyFill="0" applyBorder="0" applyAlignment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36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7" fillId="0" borderId="0"/>
    <xf numFmtId="0" fontId="55" fillId="8" borderId="0" applyNumberFormat="0" applyBorder="0" applyAlignment="0" applyProtection="0"/>
    <xf numFmtId="195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1" fillId="7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4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69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86" fillId="0" borderId="0"/>
    <xf numFmtId="0" fontId="53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47" fillId="24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2" fillId="0" borderId="0"/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0" borderId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91" fontId="88" fillId="31" borderId="0"/>
    <xf numFmtId="0" fontId="44" fillId="2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43" fontId="0" fillId="0" borderId="0" applyFont="0" applyFill="0" applyBorder="0" applyAlignment="0" applyProtection="0"/>
    <xf numFmtId="0" fontId="5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5" borderId="0" applyNumberFormat="0" applyBorder="0" applyAlignment="0" applyProtection="0"/>
    <xf numFmtId="9" fontId="0" fillId="0" borderId="0" applyFont="0" applyFill="0" applyBorder="0" applyAlignment="0" applyProtection="0"/>
    <xf numFmtId="0" fontId="47" fillId="12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45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69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89" fillId="0" borderId="0"/>
    <xf numFmtId="0" fontId="50" fillId="7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51" fillId="21" borderId="0" applyNumberFormat="0" applyBorder="0" applyAlignment="0" applyProtection="0"/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0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74" fillId="0" borderId="0"/>
    <xf numFmtId="0" fontId="44" fillId="22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90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51" fillId="21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96" fontId="0" fillId="0" borderId="0" applyFont="0" applyFill="0" applyBorder="0" applyAlignment="0" applyProtection="0"/>
    <xf numFmtId="0" fontId="44" fillId="2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4" fontId="0" fillId="0" borderId="0" applyFont="0" applyFill="0" applyBorder="0" applyAlignment="0" applyProtection="0"/>
    <xf numFmtId="0" fontId="57" fillId="0" borderId="0">
      <protection locked="0"/>
    </xf>
    <xf numFmtId="0" fontId="44" fillId="16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1" fillId="11" borderId="0" applyNumberFormat="0" applyBorder="0" applyAlignment="0" applyProtection="0"/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38" fontId="0" fillId="0" borderId="0" applyFont="0" applyFill="0" applyBorder="0" applyAlignment="0" applyProtection="0"/>
    <xf numFmtId="0" fontId="36" fillId="5" borderId="53" applyNumberFormat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51" fillId="3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91" fillId="4" borderId="52" applyNumberFormat="0" applyAlignment="0" applyProtection="0">
      <alignment vertical="center"/>
    </xf>
    <xf numFmtId="0" fontId="4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2" fontId="82" fillId="0" borderId="0" applyProtection="0"/>
    <xf numFmtId="41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/>
    <xf numFmtId="0" fontId="44" fillId="16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92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93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197" fontId="94" fillId="0" borderId="0"/>
    <xf numFmtId="0" fontId="50" fillId="7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47" fillId="26" borderId="0" applyNumberFormat="0" applyBorder="0" applyAlignment="0" applyProtection="0"/>
    <xf numFmtId="0" fontId="50" fillId="7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left"/>
    </xf>
    <xf numFmtId="0" fontId="41" fillId="7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0" borderId="0"/>
    <xf numFmtId="0" fontId="51" fillId="3" borderId="0" applyNumberFormat="0" applyBorder="0" applyAlignment="0" applyProtection="0"/>
    <xf numFmtId="0" fontId="47" fillId="2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69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95" fillId="0" borderId="56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7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63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0" fillId="29" borderId="5">
      <protection locked="0"/>
    </xf>
    <xf numFmtId="0" fontId="51" fillId="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0" fillId="0" borderId="0"/>
    <xf numFmtId="0" fontId="45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33" fillId="0" borderId="50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57" fillId="0" borderId="0"/>
    <xf numFmtId="0" fontId="45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0" borderId="0"/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0" borderId="0"/>
    <xf numFmtId="0" fontId="45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3" fillId="0" borderId="0"/>
    <xf numFmtId="0" fontId="33" fillId="0" borderId="50" applyNumberFormat="0" applyFill="0" applyAlignment="0" applyProtection="0">
      <alignment vertical="center"/>
    </xf>
    <xf numFmtId="0" fontId="38" fillId="6" borderId="54" applyNumberFormat="0" applyAlignment="0" applyProtection="0">
      <alignment vertical="center"/>
    </xf>
    <xf numFmtId="183" fontId="17" fillId="0" borderId="15">
      <alignment vertical="center"/>
      <protection locked="0"/>
    </xf>
    <xf numFmtId="0" fontId="47" fillId="12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7" fillId="6" borderId="0" applyNumberFormat="0" applyBorder="0" applyAlignment="0" applyProtection="0"/>
    <xf numFmtId="0" fontId="51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Font="0" applyFill="0" applyBorder="0" applyAlignment="0" applyProtection="0"/>
    <xf numFmtId="198" fontId="73" fillId="0" borderId="0"/>
    <xf numFmtId="0" fontId="42" fillId="19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51" fillId="21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17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51" fillId="4" borderId="0" applyNumberFormat="0" applyBorder="0" applyAlignment="0" applyProtection="0"/>
    <xf numFmtId="0" fontId="34" fillId="0" borderId="51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96" fillId="0" borderId="1">
      <alignment horizont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51" fillId="3" borderId="0" applyNumberFormat="0" applyBorder="0" applyAlignment="0" applyProtection="0"/>
    <xf numFmtId="0" fontId="51" fillId="3" borderId="0" applyNumberFormat="0" applyBorder="0" applyAlignment="0" applyProtection="0"/>
    <xf numFmtId="1" fontId="2" fillId="0" borderId="2" applyFill="0" applyProtection="0">
      <alignment horizontal="center"/>
    </xf>
    <xf numFmtId="0" fontId="45" fillId="19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7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99" fontId="2" fillId="0" borderId="2" applyFill="0" applyProtection="0">
      <alignment horizontal="right"/>
    </xf>
    <xf numFmtId="0" fontId="44" fillId="24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97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59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/>
    <xf numFmtId="178" fontId="0" fillId="0" borderId="0" applyFont="0" applyFill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0" borderId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200" fontId="0" fillId="0" borderId="0" applyFont="0" applyFill="0" applyBorder="0" applyAlignment="0" applyProtection="0"/>
    <xf numFmtId="0" fontId="53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7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66" fillId="0" borderId="5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60" fillId="16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59" fillId="21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3" borderId="48" applyNumberFormat="0" applyFon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58" fillId="0" borderId="0"/>
    <xf numFmtId="0" fontId="45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/>
    <xf numFmtId="0" fontId="47" fillId="20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1" fillId="7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8" fillId="0" borderId="0">
      <protection locked="0"/>
    </xf>
    <xf numFmtId="0" fontId="46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98" fillId="5" borderId="53" applyNumberFormat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2" borderId="0" applyNumberFormat="0" applyFont="0" applyBorder="0" applyAlignment="0" applyProtection="0"/>
    <xf numFmtId="0" fontId="47" fillId="5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53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50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59" fillId="7" borderId="0" applyNumberFormat="0" applyBorder="0" applyAlignment="0" applyProtection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5" fillId="4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7" fillId="24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82" fillId="0" borderId="0" applyProtection="0"/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4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184" fontId="0" fillId="0" borderId="0" applyFon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5" fillId="21" borderId="0" applyNumberFormat="0" applyBorder="0" applyAlignment="0" applyProtection="0">
      <alignment vertical="center"/>
    </xf>
    <xf numFmtId="0" fontId="65" fillId="33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45" fillId="15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0" fillId="0" borderId="0"/>
    <xf numFmtId="0" fontId="63" fillId="15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64" fillId="0" borderId="2" applyNumberFormat="0" applyFill="0" applyProtection="0">
      <alignment horizontal="left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7" fillId="6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7" fillId="6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201" fontId="0" fillId="0" borderId="0" applyFont="0" applyFill="0" applyProtection="0"/>
    <xf numFmtId="0" fontId="0" fillId="3" borderId="48" applyNumberFormat="0" applyFont="0" applyAlignment="0" applyProtection="0">
      <alignment vertical="center"/>
    </xf>
    <xf numFmtId="0" fontId="0" fillId="0" borderId="0"/>
    <xf numFmtId="0" fontId="51" fillId="3" borderId="0" applyNumberFormat="0" applyBorder="0" applyAlignment="0" applyProtection="0"/>
    <xf numFmtId="0" fontId="34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4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47" fillId="5" borderId="0" applyNumberFormat="0" applyBorder="0" applyAlignment="0" applyProtection="0"/>
    <xf numFmtId="0" fontId="59" fillId="21" borderId="0" applyNumberFormat="0" applyBorder="0" applyAlignment="0" applyProtection="0">
      <alignment vertical="center"/>
    </xf>
    <xf numFmtId="0" fontId="51" fillId="5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55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4" borderId="0" applyNumberFormat="0" applyBorder="0" applyAlignment="0" applyProtection="0"/>
    <xf numFmtId="0" fontId="37" fillId="5" borderId="52" applyNumberFormat="0" applyAlignment="0" applyProtection="0">
      <alignment vertical="center"/>
    </xf>
    <xf numFmtId="1" fontId="17" fillId="0" borderId="15">
      <alignment vertical="center"/>
      <protection locked="0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1" fontId="17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8" fillId="0" borderId="0"/>
    <xf numFmtId="0" fontId="44" fillId="20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7" borderId="0" applyNumberFormat="0" applyBorder="0" applyAlignment="0" applyProtection="0">
      <alignment vertical="center"/>
    </xf>
    <xf numFmtId="0" fontId="0" fillId="0" borderId="0"/>
    <xf numFmtId="0" fontId="0" fillId="3" borderId="48" applyNumberFormat="0" applyFont="0" applyAlignment="0" applyProtection="0">
      <alignment vertical="center"/>
    </xf>
    <xf numFmtId="0" fontId="4" fillId="0" borderId="0">
      <alignment vertical="center"/>
    </xf>
    <xf numFmtId="0" fontId="51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1" fillId="3" borderId="0" applyNumberFormat="0" applyBorder="0" applyAlignment="0" applyProtection="0"/>
    <xf numFmtId="0" fontId="44" fillId="2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/>
    <xf numFmtId="0" fontId="45" fillId="1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1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5" fillId="8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</cellStyleXfs>
  <cellXfs count="36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right"/>
    </xf>
    <xf numFmtId="197" fontId="0" fillId="0" borderId="2" xfId="2363" applyNumberFormat="1" applyFont="1" applyFill="1" applyBorder="1" applyAlignment="1">
      <alignment horizontal="center" vertical="center"/>
    </xf>
    <xf numFmtId="197" fontId="0" fillId="0" borderId="3" xfId="2363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202" fontId="0" fillId="0" borderId="5" xfId="0" applyNumberFormat="1" applyFont="1" applyFill="1" applyBorder="1" applyAlignment="1">
      <alignment horizontal="right" vertical="center"/>
    </xf>
    <xf numFmtId="203" fontId="0" fillId="0" borderId="6" xfId="2363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03" fontId="0" fillId="0" borderId="0" xfId="2363" applyNumberFormat="1" applyFont="1" applyFill="1" applyBorder="1" applyAlignment="1">
      <alignment horizontal="right" vertical="center"/>
    </xf>
    <xf numFmtId="0" fontId="5" fillId="0" borderId="4" xfId="0" applyNumberFormat="1" applyFont="1" applyBorder="1" applyAlignment="1">
      <alignment horizontal="center"/>
    </xf>
    <xf numFmtId="0" fontId="0" fillId="0" borderId="4" xfId="0" applyNumberFormat="1" applyBorder="1"/>
    <xf numFmtId="0" fontId="0" fillId="0" borderId="0" xfId="0" applyNumberFormat="1" applyBorder="1"/>
    <xf numFmtId="202" fontId="0" fillId="0" borderId="4" xfId="0" applyNumberFormat="1" applyFont="1" applyFill="1" applyBorder="1" applyAlignment="1">
      <alignment horizontal="right" vertical="center"/>
    </xf>
    <xf numFmtId="202" fontId="0" fillId="0" borderId="0" xfId="0" applyNumberFormat="1" applyFont="1" applyFill="1" applyBorder="1" applyAlignment="1">
      <alignment horizontal="right" vertical="center"/>
    </xf>
    <xf numFmtId="203" fontId="0" fillId="0" borderId="5" xfId="0" applyNumberFormat="1" applyBorder="1"/>
    <xf numFmtId="203" fontId="0" fillId="0" borderId="0" xfId="0" applyNumberFormat="1" applyBorder="1"/>
    <xf numFmtId="0" fontId="5" fillId="0" borderId="2" xfId="0" applyNumberFormat="1" applyFont="1" applyBorder="1" applyAlignment="1">
      <alignment horizontal="center"/>
    </xf>
    <xf numFmtId="203" fontId="0" fillId="0" borderId="7" xfId="0" applyNumberFormat="1" applyBorder="1"/>
    <xf numFmtId="203" fontId="0" fillId="0" borderId="3" xfId="0" applyNumberFormat="1" applyBorder="1"/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204" fontId="0" fillId="0" borderId="5" xfId="0" applyNumberFormat="1" applyFont="1" applyBorder="1" applyAlignment="1">
      <alignment horizontal="right" vertical="center"/>
    </xf>
    <xf numFmtId="205" fontId="0" fillId="0" borderId="5" xfId="0" applyNumberFormat="1" applyFont="1" applyBorder="1" applyAlignment="1">
      <alignment horizontal="right" vertical="center"/>
    </xf>
    <xf numFmtId="203" fontId="0" fillId="0" borderId="6" xfId="0" applyNumberFormat="1" applyFont="1" applyBorder="1" applyAlignment="1">
      <alignment horizontal="right" vertical="center"/>
    </xf>
    <xf numFmtId="203" fontId="0" fillId="0" borderId="6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203" fontId="0" fillId="0" borderId="0" xfId="0" applyNumberFormat="1" applyFont="1" applyFill="1" applyBorder="1" applyAlignment="1">
      <alignment horizontal="right" vertical="center"/>
    </xf>
    <xf numFmtId="205" fontId="0" fillId="0" borderId="4" xfId="0" applyNumberFormat="1" applyFont="1" applyBorder="1" applyAlignment="1">
      <alignment horizontal="right" vertical="center"/>
    </xf>
    <xf numFmtId="203" fontId="0" fillId="0" borderId="0" xfId="0" applyNumberFormat="1" applyBorder="1" applyAlignment="1">
      <alignment horizontal="right"/>
    </xf>
    <xf numFmtId="205" fontId="0" fillId="0" borderId="4" xfId="0" applyNumberFormat="1" applyBorder="1"/>
    <xf numFmtId="203" fontId="0" fillId="0" borderId="0" xfId="2527" applyNumberFormat="1" applyFont="1" applyFill="1" applyBorder="1" applyAlignment="1">
      <alignment horizontal="right" vertical="center"/>
    </xf>
    <xf numFmtId="205" fontId="0" fillId="0" borderId="7" xfId="0" applyNumberFormat="1" applyFont="1" applyBorder="1" applyAlignment="1">
      <alignment horizontal="right" vertical="center"/>
    </xf>
    <xf numFmtId="203" fontId="0" fillId="0" borderId="3" xfId="2527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204" fontId="0" fillId="0" borderId="4" xfId="0" applyNumberFormat="1" applyFont="1" applyBorder="1" applyAlignment="1">
      <alignment horizontal="right" vertical="center"/>
    </xf>
    <xf numFmtId="0" fontId="0" fillId="0" borderId="5" xfId="0" applyNumberFormat="1" applyBorder="1"/>
    <xf numFmtId="0" fontId="0" fillId="0" borderId="7" xfId="0" applyNumberFormat="1" applyBorder="1"/>
    <xf numFmtId="0" fontId="0" fillId="0" borderId="0" xfId="0" applyFont="1"/>
    <xf numFmtId="0" fontId="4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0" fontId="0" fillId="0" borderId="0" xfId="0" applyFont="1" applyFill="1" applyAlignment="1"/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0" xfId="0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202" fontId="0" fillId="0" borderId="6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203" fontId="0" fillId="0" borderId="0" xfId="0" applyNumberFormat="1" applyBorder="1" applyAlignment="1">
      <alignment vertical="center"/>
    </xf>
    <xf numFmtId="204" fontId="0" fillId="0" borderId="2" xfId="0" applyNumberFormat="1" applyFont="1" applyBorder="1" applyAlignment="1">
      <alignment horizontal="right" vertical="center"/>
    </xf>
    <xf numFmtId="203" fontId="0" fillId="0" borderId="3" xfId="0" applyNumberFormat="1" applyBorder="1" applyAlignment="1">
      <alignment vertical="center"/>
    </xf>
    <xf numFmtId="204" fontId="0" fillId="0" borderId="5" xfId="2119" applyNumberFormat="1" applyFont="1" applyBorder="1" applyAlignment="1">
      <alignment horizontal="right" vertical="center"/>
    </xf>
    <xf numFmtId="204" fontId="0" fillId="0" borderId="5" xfId="2119" applyNumberFormat="1" applyFont="1" applyBorder="1" applyAlignment="1">
      <alignment horizontal="right" vertical="center" wrapText="1"/>
    </xf>
    <xf numFmtId="203" fontId="0" fillId="0" borderId="6" xfId="2363" applyNumberFormat="1" applyFont="1" applyFill="1" applyBorder="1" applyAlignment="1">
      <alignment horizontal="right" vertical="center" wrapText="1"/>
    </xf>
    <xf numFmtId="206" fontId="0" fillId="0" borderId="5" xfId="0" applyNumberFormat="1" applyBorder="1" applyAlignment="1">
      <alignment wrapText="1"/>
    </xf>
    <xf numFmtId="0" fontId="0" fillId="0" borderId="5" xfId="0" applyBorder="1" applyAlignment="1">
      <alignment wrapText="1"/>
    </xf>
    <xf numFmtId="0" fontId="5" fillId="0" borderId="4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wrapText="1"/>
    </xf>
    <xf numFmtId="0" fontId="0" fillId="0" borderId="6" xfId="0" applyNumberFormat="1" applyBorder="1" applyAlignment="1">
      <alignment wrapText="1"/>
    </xf>
    <xf numFmtId="203" fontId="0" fillId="0" borderId="6" xfId="0" applyNumberFormat="1" applyBorder="1" applyAlignment="1">
      <alignment wrapText="1"/>
    </xf>
    <xf numFmtId="0" fontId="5" fillId="0" borderId="6" xfId="0" applyNumberFormat="1" applyFont="1" applyBorder="1" applyAlignment="1">
      <alignment horizontal="center" vertical="center"/>
    </xf>
    <xf numFmtId="207" fontId="0" fillId="0" borderId="5" xfId="0" applyNumberFormat="1" applyBorder="1" applyAlignment="1">
      <alignment wrapText="1"/>
    </xf>
    <xf numFmtId="0" fontId="0" fillId="0" borderId="0" xfId="0" applyNumberFormat="1" applyBorder="1" applyAlignment="1">
      <alignment wrapText="1"/>
    </xf>
    <xf numFmtId="203" fontId="0" fillId="0" borderId="0" xfId="0" applyNumberFormat="1" applyBorder="1" applyAlignment="1">
      <alignment wrapText="1"/>
    </xf>
    <xf numFmtId="207" fontId="0" fillId="0" borderId="4" xfId="0" applyNumberFormat="1" applyBorder="1"/>
    <xf numFmtId="207" fontId="0" fillId="0" borderId="11" xfId="0" applyNumberFormat="1" applyBorder="1"/>
    <xf numFmtId="203" fontId="0" fillId="0" borderId="12" xfId="0" applyNumberFormat="1" applyBorder="1"/>
    <xf numFmtId="204" fontId="0" fillId="0" borderId="5" xfId="0" applyNumberFormat="1" applyFont="1" applyFill="1" applyBorder="1" applyAlignment="1">
      <alignment horizontal="right" vertical="center"/>
    </xf>
    <xf numFmtId="202" fontId="0" fillId="0" borderId="6" xfId="0" applyNumberFormat="1" applyFont="1" applyFill="1" applyBorder="1" applyAlignment="1">
      <alignment horizontal="right" vertical="center"/>
    </xf>
    <xf numFmtId="0" fontId="0" fillId="0" borderId="4" xfId="0" applyBorder="1"/>
    <xf numFmtId="0" fontId="0" fillId="0" borderId="6" xfId="0" applyBorder="1"/>
    <xf numFmtId="0" fontId="5" fillId="0" borderId="0" xfId="0" applyNumberFormat="1" applyFont="1" applyBorder="1" applyAlignment="1">
      <alignment horizontal="center" vertical="center"/>
    </xf>
    <xf numFmtId="0" fontId="0" fillId="2" borderId="7" xfId="0" applyFont="1" applyFill="1" applyBorder="1" applyAlignment="1">
      <alignment horizontal="right" vertical="center"/>
    </xf>
    <xf numFmtId="203" fontId="0" fillId="2" borderId="13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0" fillId="0" borderId="5" xfId="0" applyBorder="1"/>
    <xf numFmtId="0" fontId="0" fillId="0" borderId="0" xfId="0" applyFont="1" applyBorder="1" applyAlignment="1">
      <alignment horizontal="right" vertical="center"/>
    </xf>
    <xf numFmtId="203" fontId="0" fillId="0" borderId="6" xfId="0" applyNumberFormat="1" applyBorder="1"/>
    <xf numFmtId="203" fontId="0" fillId="0" borderId="6" xfId="0" applyNumberFormat="1" applyFill="1" applyBorder="1"/>
    <xf numFmtId="0" fontId="5" fillId="0" borderId="0" xfId="0" applyFont="1" applyBorder="1" applyAlignment="1">
      <alignment horizontal="center"/>
    </xf>
    <xf numFmtId="203" fontId="0" fillId="0" borderId="0" xfId="0" applyNumberFormat="1"/>
    <xf numFmtId="0" fontId="5" fillId="0" borderId="0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0" fillId="0" borderId="0" xfId="2210" applyFont="1" applyFill="1">
      <alignment vertical="center"/>
    </xf>
    <xf numFmtId="0" fontId="0" fillId="0" borderId="0" xfId="2210" applyFill="1" applyAlignment="1">
      <alignment horizontal="center" vertical="center"/>
    </xf>
    <xf numFmtId="0" fontId="0" fillId="0" borderId="0" xfId="2210" applyFill="1">
      <alignment vertical="center"/>
    </xf>
    <xf numFmtId="0" fontId="3" fillId="0" borderId="0" xfId="2210" applyFont="1" applyFill="1" applyBorder="1" applyAlignment="1">
      <alignment horizontal="center" vertical="center"/>
    </xf>
    <xf numFmtId="0" fontId="5" fillId="0" borderId="14" xfId="2210" applyFont="1" applyFill="1" applyBorder="1" applyAlignment="1">
      <alignment horizontal="center" vertical="center"/>
    </xf>
    <xf numFmtId="0" fontId="0" fillId="0" borderId="15" xfId="2210" applyFont="1" applyFill="1" applyBorder="1" applyAlignment="1">
      <alignment horizontal="center" vertical="center" wrapText="1"/>
    </xf>
    <xf numFmtId="0" fontId="0" fillId="0" borderId="16" xfId="2210" applyFont="1" applyFill="1" applyBorder="1" applyAlignment="1">
      <alignment horizontal="center" vertical="center" wrapText="1"/>
    </xf>
    <xf numFmtId="0" fontId="0" fillId="0" borderId="17" xfId="2210" applyFont="1" applyFill="1" applyBorder="1" applyAlignment="1">
      <alignment horizontal="center" vertical="center" wrapText="1"/>
    </xf>
    <xf numFmtId="0" fontId="0" fillId="0" borderId="0" xfId="2210" applyFont="1" applyFill="1" applyAlignment="1">
      <alignment horizontal="center" vertical="center"/>
    </xf>
    <xf numFmtId="0" fontId="0" fillId="0" borderId="18" xfId="2210" applyFont="1" applyFill="1" applyBorder="1" applyAlignment="1" applyProtection="1">
      <alignment horizontal="center" vertical="center"/>
    </xf>
    <xf numFmtId="207" fontId="0" fillId="0" borderId="6" xfId="2210" applyNumberFormat="1" applyFont="1" applyFill="1" applyBorder="1" applyAlignment="1" applyProtection="1">
      <alignment horizontal="right" vertical="center"/>
    </xf>
    <xf numFmtId="204" fontId="0" fillId="0" borderId="19" xfId="2363" applyNumberFormat="1" applyFont="1" applyFill="1" applyBorder="1" applyAlignment="1">
      <alignment horizontal="right" vertical="center"/>
    </xf>
    <xf numFmtId="204" fontId="0" fillId="0" borderId="0" xfId="2363" applyNumberFormat="1" applyFont="1" applyFill="1" applyBorder="1" applyAlignment="1">
      <alignment horizontal="right" vertical="center"/>
    </xf>
    <xf numFmtId="208" fontId="0" fillId="0" borderId="20" xfId="2363" applyNumberFormat="1" applyFont="1" applyFill="1" applyBorder="1" applyAlignment="1">
      <alignment horizontal="right" vertical="center"/>
    </xf>
    <xf numFmtId="203" fontId="0" fillId="0" borderId="6" xfId="2210" applyNumberFormat="1" applyFont="1" applyFill="1" applyBorder="1" applyAlignment="1" applyProtection="1">
      <alignment horizontal="right" vertical="center"/>
    </xf>
    <xf numFmtId="207" fontId="0" fillId="0" borderId="21" xfId="2210" applyNumberFormat="1" applyFont="1" applyFill="1" applyBorder="1" applyAlignment="1" applyProtection="1">
      <alignment horizontal="right" vertical="center"/>
    </xf>
    <xf numFmtId="0" fontId="0" fillId="0" borderId="22" xfId="2210" applyFont="1" applyFill="1" applyBorder="1" applyAlignment="1" applyProtection="1">
      <alignment horizontal="center" vertical="center"/>
    </xf>
    <xf numFmtId="208" fontId="0" fillId="0" borderId="23" xfId="2363" applyNumberFormat="1" applyFont="1" applyFill="1" applyBorder="1" applyAlignment="1">
      <alignment horizontal="right" vertical="center"/>
    </xf>
    <xf numFmtId="203" fontId="0" fillId="0" borderId="10" xfId="2363" applyNumberFormat="1" applyFont="1" applyFill="1" applyBorder="1" applyAlignment="1">
      <alignment horizontal="right" vertical="center"/>
    </xf>
    <xf numFmtId="207" fontId="0" fillId="0" borderId="24" xfId="2210" applyNumberFormat="1" applyFont="1" applyFill="1" applyBorder="1" applyAlignment="1" applyProtection="1">
      <alignment horizontal="right" vertical="center"/>
    </xf>
    <xf numFmtId="203" fontId="0" fillId="0" borderId="10" xfId="2210" applyNumberFormat="1" applyFont="1" applyFill="1" applyBorder="1" applyAlignment="1" applyProtection="1">
      <alignment horizontal="right" vertical="center"/>
    </xf>
    <xf numFmtId="207" fontId="0" fillId="0" borderId="10" xfId="2210" applyNumberFormat="1" applyFont="1" applyFill="1" applyBorder="1" applyAlignment="1" applyProtection="1">
      <alignment horizontal="right" vertical="center"/>
    </xf>
    <xf numFmtId="0" fontId="0" fillId="0" borderId="0" xfId="2210" applyFill="1" applyBorder="1">
      <alignment vertical="center"/>
    </xf>
    <xf numFmtId="0" fontId="0" fillId="0" borderId="0" xfId="2210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1" fillId="0" borderId="0" xfId="0" applyFont="1"/>
    <xf numFmtId="205" fontId="0" fillId="0" borderId="0" xfId="2210" applyNumberFormat="1" applyFill="1" applyAlignment="1">
      <alignment horizontal="center" vertical="center"/>
    </xf>
    <xf numFmtId="0" fontId="12" fillId="0" borderId="0" xfId="2210" applyFont="1" applyBorder="1" applyAlignment="1">
      <alignment horizontal="right" vertical="center" wrapText="1"/>
    </xf>
    <xf numFmtId="0" fontId="0" fillId="0" borderId="0" xfId="2729">
      <alignment vertical="center"/>
    </xf>
    <xf numFmtId="203" fontId="0" fillId="0" borderId="0" xfId="2210" applyNumberFormat="1" applyFill="1" applyAlignment="1">
      <alignment horizontal="center" vertical="center"/>
    </xf>
    <xf numFmtId="203" fontId="13" fillId="0" borderId="0" xfId="2363" applyNumberFormat="1" applyFont="1" applyFill="1" applyBorder="1" applyAlignment="1">
      <alignment horizontal="right" vertical="center"/>
    </xf>
    <xf numFmtId="203" fontId="0" fillId="0" borderId="0" xfId="2210" applyNumberFormat="1" applyFill="1">
      <alignment vertical="center"/>
    </xf>
    <xf numFmtId="0" fontId="12" fillId="0" borderId="0" xfId="2210" applyFont="1" applyAlignment="1">
      <alignment horizontal="right" vertical="center" wrapText="1"/>
    </xf>
    <xf numFmtId="0" fontId="0" fillId="0" borderId="0" xfId="999" applyFont="1" applyFill="1">
      <alignment vertical="center"/>
    </xf>
    <xf numFmtId="0" fontId="0" fillId="0" borderId="0" xfId="0" applyFont="1" applyFill="1"/>
    <xf numFmtId="0" fontId="14" fillId="0" borderId="0" xfId="0" applyFont="1" applyFill="1" applyAlignment="1">
      <alignment horizontal="center" vertical="center"/>
    </xf>
    <xf numFmtId="0" fontId="15" fillId="0" borderId="25" xfId="2119" applyFont="1" applyFill="1" applyBorder="1" applyAlignment="1">
      <alignment horizontal="center" vertical="center" wrapText="1"/>
    </xf>
    <xf numFmtId="0" fontId="15" fillId="0" borderId="26" xfId="384" applyFont="1" applyFill="1" applyBorder="1" applyAlignment="1">
      <alignment horizontal="center" vertical="center"/>
    </xf>
    <xf numFmtId="0" fontId="15" fillId="0" borderId="27" xfId="384" applyFont="1" applyFill="1" applyBorder="1" applyAlignment="1">
      <alignment horizontal="center" vertical="center"/>
    </xf>
    <xf numFmtId="0" fontId="16" fillId="0" borderId="28" xfId="2119" applyFont="1" applyFill="1" applyBorder="1" applyAlignment="1">
      <alignment horizontal="center" vertical="center" wrapText="1"/>
    </xf>
    <xf numFmtId="0" fontId="15" fillId="0" borderId="15" xfId="2119" applyFont="1" applyFill="1" applyBorder="1" applyAlignment="1">
      <alignment horizontal="center" vertical="center" wrapText="1"/>
    </xf>
    <xf numFmtId="0" fontId="15" fillId="0" borderId="17" xfId="2119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vertical="center" wrapText="1"/>
    </xf>
    <xf numFmtId="205" fontId="17" fillId="0" borderId="5" xfId="2210" applyNumberFormat="1" applyFont="1" applyFill="1" applyBorder="1" applyAlignment="1" applyProtection="1">
      <alignment horizontal="center" vertical="center" wrapText="1"/>
    </xf>
    <xf numFmtId="203" fontId="17" fillId="0" borderId="6" xfId="2210" applyNumberFormat="1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>
      <alignment vertical="center" wrapText="1"/>
    </xf>
    <xf numFmtId="205" fontId="17" fillId="0" borderId="5" xfId="2210" applyNumberFormat="1" applyFont="1" applyFill="1" applyBorder="1" applyAlignment="1" applyProtection="1">
      <alignment horizontal="right" vertical="center" wrapText="1"/>
    </xf>
    <xf numFmtId="203" fontId="17" fillId="0" borderId="6" xfId="2210" applyNumberFormat="1" applyFont="1" applyFill="1" applyBorder="1" applyAlignment="1" applyProtection="1">
      <alignment horizontal="right" vertical="center" wrapText="1"/>
    </xf>
    <xf numFmtId="205" fontId="18" fillId="0" borderId="4" xfId="0" applyNumberFormat="1" applyFont="1" applyFill="1" applyBorder="1" applyAlignment="1">
      <alignment vertical="center" wrapText="1"/>
    </xf>
    <xf numFmtId="205" fontId="17" fillId="0" borderId="6" xfId="0" applyNumberFormat="1" applyFont="1" applyFill="1" applyBorder="1" applyAlignment="1">
      <alignment horizontal="right" vertical="center" wrapText="1"/>
    </xf>
    <xf numFmtId="203" fontId="17" fillId="0" borderId="6" xfId="0" applyNumberFormat="1" applyFont="1" applyFill="1" applyBorder="1" applyAlignment="1">
      <alignment horizontal="right" vertical="center" wrapText="1"/>
    </xf>
    <xf numFmtId="205" fontId="17" fillId="0" borderId="5" xfId="0" applyNumberFormat="1" applyFont="1" applyFill="1" applyBorder="1" applyAlignment="1">
      <alignment horizontal="right" vertical="center" wrapText="1"/>
    </xf>
    <xf numFmtId="205" fontId="18" fillId="0" borderId="5" xfId="0" applyNumberFormat="1" applyFont="1" applyFill="1" applyBorder="1" applyAlignment="1">
      <alignment horizontal="right" vertical="center" wrapText="1"/>
    </xf>
    <xf numFmtId="205" fontId="16" fillId="0" borderId="4" xfId="0" applyNumberFormat="1" applyFont="1" applyFill="1" applyBorder="1" applyAlignment="1">
      <alignment vertical="center" wrapText="1"/>
    </xf>
    <xf numFmtId="207" fontId="17" fillId="0" borderId="5" xfId="0" applyNumberFormat="1" applyFont="1" applyFill="1" applyBorder="1" applyAlignment="1">
      <alignment horizontal="right" vertical="center" wrapText="1"/>
    </xf>
    <xf numFmtId="203" fontId="17" fillId="0" borderId="6" xfId="0" applyNumberFormat="1" applyFont="1" applyFill="1" applyBorder="1" applyAlignment="1">
      <alignment horizontal="center" vertical="center" wrapText="1"/>
    </xf>
    <xf numFmtId="205" fontId="18" fillId="0" borderId="8" xfId="0" applyNumberFormat="1" applyFont="1" applyFill="1" applyBorder="1" applyAlignment="1">
      <alignment vertical="center" wrapText="1"/>
    </xf>
    <xf numFmtId="205" fontId="17" fillId="0" borderId="9" xfId="0" applyNumberFormat="1" applyFont="1" applyFill="1" applyBorder="1" applyAlignment="1">
      <alignment horizontal="right" vertical="center" wrapText="1"/>
    </xf>
    <xf numFmtId="203" fontId="17" fillId="0" borderId="10" xfId="0" applyNumberFormat="1" applyFont="1" applyFill="1" applyBorder="1" applyAlignment="1">
      <alignment horizontal="right" vertical="center" wrapText="1"/>
    </xf>
    <xf numFmtId="0" fontId="0" fillId="0" borderId="0" xfId="0" applyFill="1"/>
    <xf numFmtId="205" fontId="4" fillId="0" borderId="5" xfId="2210" applyNumberFormat="1" applyFont="1" applyFill="1" applyBorder="1" applyAlignment="1" applyProtection="1">
      <alignment horizontal="center" vertical="center" wrapText="1"/>
    </xf>
    <xf numFmtId="203" fontId="4" fillId="0" borderId="6" xfId="2210" applyNumberFormat="1" applyFont="1" applyFill="1" applyBorder="1" applyAlignment="1" applyProtection="1">
      <alignment horizontal="center" vertical="center" wrapText="1"/>
    </xf>
    <xf numFmtId="205" fontId="17" fillId="0" borderId="5" xfId="2363" applyNumberFormat="1" applyFont="1" applyFill="1" applyBorder="1" applyAlignment="1">
      <alignment horizontal="right" vertical="center" wrapText="1"/>
    </xf>
    <xf numFmtId="203" fontId="17" fillId="0" borderId="6" xfId="2363" applyNumberFormat="1" applyFont="1" applyFill="1" applyBorder="1" applyAlignment="1">
      <alignment horizontal="right" vertical="center" wrapText="1"/>
    </xf>
    <xf numFmtId="205" fontId="17" fillId="0" borderId="9" xfId="2210" applyNumberFormat="1" applyFont="1" applyFill="1" applyBorder="1" applyAlignment="1" applyProtection="1">
      <alignment horizontal="right" vertical="center" wrapText="1"/>
    </xf>
    <xf numFmtId="203" fontId="17" fillId="0" borderId="10" xfId="2210" applyNumberFormat="1" applyFont="1" applyFill="1" applyBorder="1" applyAlignment="1" applyProtection="1">
      <alignment horizontal="right" vertical="center" wrapText="1"/>
    </xf>
    <xf numFmtId="0" fontId="0" fillId="0" borderId="0" xfId="999" applyFont="1" applyFill="1" applyAlignment="1">
      <alignment horizontal="left" vertical="center"/>
    </xf>
    <xf numFmtId="0" fontId="0" fillId="0" borderId="0" xfId="0" applyFont="1" applyFill="1" applyBorder="1" applyAlignment="1"/>
    <xf numFmtId="0" fontId="0" fillId="0" borderId="0" xfId="999" applyFont="1" applyFill="1" applyBorder="1" applyAlignment="1">
      <alignment vertical="center"/>
    </xf>
    <xf numFmtId="205" fontId="4" fillId="0" borderId="19" xfId="0" applyNumberFormat="1" applyFont="1" applyFill="1" applyBorder="1" applyAlignment="1">
      <alignment horizontal="right" vertical="center" wrapText="1"/>
    </xf>
    <xf numFmtId="203" fontId="4" fillId="0" borderId="30" xfId="0" applyNumberFormat="1" applyFont="1" applyFill="1" applyBorder="1" applyAlignment="1">
      <alignment horizontal="right" vertical="center" wrapText="1"/>
    </xf>
    <xf numFmtId="203" fontId="17" fillId="0" borderId="6" xfId="999" applyNumberFormat="1" applyFont="1" applyFill="1" applyBorder="1" applyAlignment="1">
      <alignment horizontal="right" vertical="center" wrapText="1"/>
    </xf>
    <xf numFmtId="203" fontId="17" fillId="0" borderId="10" xfId="999" applyNumberFormat="1" applyFont="1" applyFill="1" applyBorder="1" applyAlignment="1">
      <alignment horizontal="right" vertical="center" wrapText="1"/>
    </xf>
    <xf numFmtId="0" fontId="4" fillId="0" borderId="0" xfId="999" applyFont="1" applyFill="1" applyAlignment="1">
      <alignment horizontal="left" vertical="center" wrapText="1"/>
    </xf>
    <xf numFmtId="205" fontId="17" fillId="0" borderId="5" xfId="0" applyNumberFormat="1" applyFont="1" applyFill="1" applyBorder="1" applyAlignment="1">
      <alignment horizontal="center" vertical="center" wrapText="1"/>
    </xf>
    <xf numFmtId="205" fontId="18" fillId="0" borderId="5" xfId="0" applyNumberFormat="1" applyFont="1" applyFill="1" applyBorder="1" applyAlignment="1">
      <alignment horizontal="center" vertical="center" wrapText="1"/>
    </xf>
    <xf numFmtId="205" fontId="17" fillId="0" borderId="7" xfId="2210" applyNumberFormat="1" applyFont="1" applyFill="1" applyBorder="1" applyAlignment="1" applyProtection="1">
      <alignment horizontal="right" vertical="center" wrapText="1"/>
    </xf>
    <xf numFmtId="203" fontId="17" fillId="0" borderId="13" xfId="2210" applyNumberFormat="1" applyFont="1" applyFill="1" applyBorder="1" applyAlignment="1" applyProtection="1">
      <alignment horizontal="right" vertical="center" wrapText="1"/>
    </xf>
    <xf numFmtId="205" fontId="18" fillId="0" borderId="2" xfId="0" applyNumberFormat="1" applyFont="1" applyFill="1" applyBorder="1" applyAlignment="1">
      <alignment vertical="center" wrapText="1"/>
    </xf>
    <xf numFmtId="207" fontId="15" fillId="0" borderId="31" xfId="384" applyNumberFormat="1" applyFont="1" applyFill="1" applyBorder="1" applyAlignment="1">
      <alignment horizontal="right" vertical="center" wrapText="1"/>
    </xf>
    <xf numFmtId="203" fontId="15" fillId="0" borderId="32" xfId="384" applyNumberFormat="1" applyFont="1" applyFill="1" applyBorder="1" applyAlignment="1">
      <alignment horizontal="right" vertical="center" wrapText="1"/>
    </xf>
    <xf numFmtId="203" fontId="15" fillId="0" borderId="31" xfId="384" applyNumberFormat="1" applyFont="1" applyFill="1" applyBorder="1" applyAlignment="1">
      <alignment horizontal="center" vertical="center" wrapText="1"/>
    </xf>
    <xf numFmtId="203" fontId="15" fillId="0" borderId="32" xfId="384" applyNumberFormat="1" applyFont="1" applyFill="1" applyBorder="1" applyAlignment="1">
      <alignment horizontal="center" vertical="center" wrapText="1"/>
    </xf>
    <xf numFmtId="207" fontId="15" fillId="0" borderId="31" xfId="384" applyNumberFormat="1" applyFont="1" applyFill="1" applyBorder="1" applyAlignment="1">
      <alignment horizontal="center" vertical="center" wrapText="1"/>
    </xf>
    <xf numFmtId="207" fontId="17" fillId="0" borderId="33" xfId="0" applyNumberFormat="1" applyFont="1" applyFill="1" applyBorder="1" applyAlignment="1">
      <alignment horizontal="right" vertical="center" wrapText="1"/>
    </xf>
    <xf numFmtId="203" fontId="17" fillId="0" borderId="34" xfId="0" applyNumberFormat="1" applyFont="1" applyFill="1" applyBorder="1" applyAlignment="1">
      <alignment horizontal="right" vertical="center" wrapText="1"/>
    </xf>
    <xf numFmtId="203" fontId="17" fillId="0" borderId="33" xfId="0" applyNumberFormat="1" applyFont="1" applyFill="1" applyBorder="1" applyAlignment="1">
      <alignment horizontal="center" vertical="center" wrapText="1"/>
    </xf>
    <xf numFmtId="203" fontId="17" fillId="0" borderId="34" xfId="0" applyNumberFormat="1" applyFont="1" applyFill="1" applyBorder="1" applyAlignment="1">
      <alignment horizontal="center" vertical="center" wrapText="1"/>
    </xf>
    <xf numFmtId="207" fontId="17" fillId="0" borderId="33" xfId="0" applyNumberFormat="1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vertical="center" wrapText="1"/>
    </xf>
    <xf numFmtId="207" fontId="17" fillId="0" borderId="35" xfId="0" applyNumberFormat="1" applyFont="1" applyFill="1" applyBorder="1" applyAlignment="1">
      <alignment horizontal="right" vertical="center" wrapText="1"/>
    </xf>
    <xf numFmtId="203" fontId="17" fillId="0" borderId="36" xfId="0" applyNumberFormat="1" applyFont="1" applyFill="1" applyBorder="1" applyAlignment="1">
      <alignment horizontal="right" vertical="center" wrapText="1"/>
    </xf>
    <xf numFmtId="203" fontId="17" fillId="0" borderId="35" xfId="0" applyNumberFormat="1" applyFont="1" applyFill="1" applyBorder="1" applyAlignment="1">
      <alignment horizontal="center" vertical="center" wrapText="1"/>
    </xf>
    <xf numFmtId="203" fontId="17" fillId="0" borderId="36" xfId="0" applyNumberFormat="1" applyFont="1" applyFill="1" applyBorder="1" applyAlignment="1">
      <alignment horizontal="center" vertical="center" wrapText="1"/>
    </xf>
    <xf numFmtId="207" fontId="17" fillId="0" borderId="35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justify" vertical="center"/>
    </xf>
    <xf numFmtId="0" fontId="19" fillId="0" borderId="28" xfId="2119" applyFont="1" applyFill="1" applyBorder="1" applyAlignment="1">
      <alignment horizontal="center" vertical="center" wrapText="1"/>
    </xf>
    <xf numFmtId="205" fontId="19" fillId="0" borderId="15" xfId="0" applyNumberFormat="1" applyFont="1" applyFill="1" applyBorder="1" applyAlignment="1">
      <alignment horizontal="center" vertical="center" wrapText="1"/>
    </xf>
    <xf numFmtId="205" fontId="20" fillId="0" borderId="17" xfId="0" applyNumberFormat="1" applyFont="1" applyFill="1" applyBorder="1" applyAlignment="1">
      <alignment horizontal="center" vertical="center" wrapText="1"/>
    </xf>
    <xf numFmtId="203" fontId="15" fillId="0" borderId="5" xfId="2210" applyNumberFormat="1" applyFont="1" applyFill="1" applyBorder="1" applyAlignment="1" applyProtection="1">
      <alignment horizontal="right" vertical="center" wrapText="1"/>
    </xf>
    <xf numFmtId="203" fontId="15" fillId="0" borderId="6" xfId="2210" applyNumberFormat="1" applyFont="1" applyFill="1" applyBorder="1" applyAlignment="1" applyProtection="1">
      <alignment horizontal="right" vertical="center" wrapText="1"/>
    </xf>
    <xf numFmtId="203" fontId="17" fillId="0" borderId="5" xfId="2210" applyNumberFormat="1" applyFont="1" applyFill="1" applyBorder="1" applyAlignment="1" applyProtection="1">
      <alignment horizontal="right" vertical="center" wrapText="1"/>
    </xf>
    <xf numFmtId="203" fontId="17" fillId="0" borderId="5" xfId="2363" applyNumberFormat="1" applyFont="1" applyFill="1" applyBorder="1" applyAlignment="1">
      <alignment horizontal="right" vertical="center" wrapText="1"/>
    </xf>
    <xf numFmtId="205" fontId="16" fillId="0" borderId="8" xfId="0" applyNumberFormat="1" applyFont="1" applyFill="1" applyBorder="1" applyAlignment="1">
      <alignment vertical="center" wrapText="1"/>
    </xf>
    <xf numFmtId="203" fontId="15" fillId="0" borderId="9" xfId="2210" applyNumberFormat="1" applyFont="1" applyFill="1" applyBorder="1" applyAlignment="1" applyProtection="1">
      <alignment horizontal="right" vertical="center" wrapText="1"/>
    </xf>
    <xf numFmtId="203" fontId="15" fillId="0" borderId="10" xfId="2210" applyNumberFormat="1" applyFont="1" applyFill="1" applyBorder="1" applyAlignment="1" applyProtection="1">
      <alignment horizontal="right" vertical="center" wrapText="1"/>
    </xf>
    <xf numFmtId="0" fontId="17" fillId="0" borderId="0" xfId="0" applyFont="1" applyFill="1" applyAlignment="1">
      <alignment horizontal="left" vertical="center" wrapText="1"/>
    </xf>
    <xf numFmtId="205" fontId="16" fillId="0" borderId="29" xfId="0" applyNumberFormat="1" applyFont="1" applyFill="1" applyBorder="1" applyAlignment="1">
      <alignment vertical="center" wrapText="1"/>
    </xf>
    <xf numFmtId="205" fontId="21" fillId="0" borderId="6" xfId="2210" applyNumberFormat="1" applyFont="1" applyFill="1" applyBorder="1" applyAlignment="1" applyProtection="1">
      <alignment horizontal="right" vertical="center" wrapText="1"/>
    </xf>
    <xf numFmtId="203" fontId="21" fillId="0" borderId="6" xfId="2210" applyNumberFormat="1" applyFont="1" applyFill="1" applyBorder="1" applyAlignment="1" applyProtection="1">
      <alignment horizontal="right" vertical="center" wrapText="1"/>
    </xf>
    <xf numFmtId="205" fontId="4" fillId="0" borderId="6" xfId="2210" applyNumberFormat="1" applyFont="1" applyFill="1" applyBorder="1" applyAlignment="1" applyProtection="1">
      <alignment horizontal="right" vertical="center" wrapText="1"/>
    </xf>
    <xf numFmtId="203" fontId="4" fillId="0" borderId="6" xfId="2210" applyNumberFormat="1" applyFont="1" applyFill="1" applyBorder="1" applyAlignment="1" applyProtection="1">
      <alignment horizontal="right" vertical="center" wrapText="1"/>
    </xf>
    <xf numFmtId="0" fontId="18" fillId="0" borderId="4" xfId="999" applyFont="1" applyFill="1" applyBorder="1" applyAlignment="1">
      <alignment vertical="center"/>
    </xf>
    <xf numFmtId="203" fontId="4" fillId="0" borderId="6" xfId="2363" applyNumberFormat="1" applyFont="1" applyFill="1" applyBorder="1" applyAlignment="1">
      <alignment horizontal="right" vertical="center" wrapText="1"/>
    </xf>
    <xf numFmtId="0" fontId="16" fillId="0" borderId="4" xfId="999" applyFont="1" applyFill="1" applyBorder="1" applyAlignment="1">
      <alignment vertical="center"/>
    </xf>
    <xf numFmtId="205" fontId="21" fillId="0" borderId="5" xfId="2210" applyNumberFormat="1" applyFont="1" applyFill="1" applyBorder="1" applyAlignment="1" applyProtection="1">
      <alignment horizontal="right" vertical="center" wrapText="1"/>
    </xf>
    <xf numFmtId="207" fontId="4" fillId="0" borderId="5" xfId="0" applyNumberFormat="1" applyFont="1" applyFill="1" applyBorder="1" applyAlignment="1">
      <alignment horizontal="right" vertical="center" wrapText="1"/>
    </xf>
    <xf numFmtId="203" fontId="4" fillId="0" borderId="6" xfId="999" applyNumberFormat="1" applyFont="1" applyFill="1" applyBorder="1" applyAlignment="1">
      <alignment horizontal="right" vertical="center" wrapText="1"/>
    </xf>
    <xf numFmtId="205" fontId="4" fillId="0" borderId="5" xfId="0" applyNumberFormat="1" applyFont="1" applyFill="1" applyBorder="1" applyAlignment="1">
      <alignment horizontal="right" vertical="center" wrapText="1"/>
    </xf>
    <xf numFmtId="0" fontId="18" fillId="0" borderId="8" xfId="999" applyFont="1" applyFill="1" applyBorder="1" applyAlignment="1">
      <alignment vertical="center"/>
    </xf>
    <xf numFmtId="205" fontId="4" fillId="0" borderId="9" xfId="0" applyNumberFormat="1" applyFont="1" applyFill="1" applyBorder="1" applyAlignment="1">
      <alignment horizontal="right" vertical="center" wrapText="1"/>
    </xf>
    <xf numFmtId="203" fontId="4" fillId="0" borderId="10" xfId="999" applyNumberFormat="1" applyFont="1" applyFill="1" applyBorder="1" applyAlignment="1">
      <alignment horizontal="right" vertical="center" wrapText="1"/>
    </xf>
    <xf numFmtId="205" fontId="15" fillId="0" borderId="5" xfId="2210" applyNumberFormat="1" applyFont="1" applyFill="1" applyBorder="1" applyAlignment="1" applyProtection="1">
      <alignment horizontal="right" vertical="center" wrapText="1"/>
    </xf>
    <xf numFmtId="0" fontId="18" fillId="0" borderId="2" xfId="999" applyFont="1" applyFill="1" applyBorder="1" applyAlignment="1">
      <alignment vertical="center"/>
    </xf>
    <xf numFmtId="0" fontId="9" fillId="0" borderId="0" xfId="0" applyFont="1"/>
    <xf numFmtId="205" fontId="22" fillId="0" borderId="29" xfId="0" applyNumberFormat="1" applyFont="1" applyFill="1" applyBorder="1" applyAlignment="1">
      <alignment vertical="center" wrapText="1"/>
    </xf>
    <xf numFmtId="205" fontId="21" fillId="0" borderId="19" xfId="0" applyNumberFormat="1" applyFont="1" applyFill="1" applyBorder="1" applyAlignment="1">
      <alignment vertical="center" wrapText="1"/>
    </xf>
    <xf numFmtId="203" fontId="21" fillId="0" borderId="30" xfId="0" applyNumberFormat="1" applyFont="1" applyFill="1" applyBorder="1" applyAlignment="1">
      <alignment vertical="center" wrapText="1"/>
    </xf>
    <xf numFmtId="205" fontId="22" fillId="0" borderId="4" xfId="0" applyNumberFormat="1" applyFont="1" applyFill="1" applyBorder="1" applyAlignment="1">
      <alignment vertical="center" wrapText="1"/>
    </xf>
    <xf numFmtId="205" fontId="21" fillId="0" borderId="5" xfId="0" applyNumberFormat="1" applyFont="1" applyFill="1" applyBorder="1" applyAlignment="1">
      <alignment vertical="center" wrapText="1"/>
    </xf>
    <xf numFmtId="205" fontId="21" fillId="0" borderId="6" xfId="0" applyNumberFormat="1" applyFont="1" applyFill="1" applyBorder="1" applyAlignment="1">
      <alignment vertical="center" wrapText="1"/>
    </xf>
    <xf numFmtId="205" fontId="23" fillId="0" borderId="4" xfId="0" applyNumberFormat="1" applyFont="1" applyFill="1" applyBorder="1" applyAlignment="1">
      <alignment vertical="center" wrapText="1"/>
    </xf>
    <xf numFmtId="205" fontId="23" fillId="0" borderId="5" xfId="0" applyNumberFormat="1" applyFont="1" applyFill="1" applyBorder="1" applyAlignment="1">
      <alignment horizontal="right" vertical="center" wrapText="1"/>
    </xf>
    <xf numFmtId="203" fontId="4" fillId="0" borderId="6" xfId="0" applyNumberFormat="1" applyFont="1" applyFill="1" applyBorder="1" applyAlignment="1">
      <alignment vertical="center" wrapText="1"/>
    </xf>
    <xf numFmtId="205" fontId="4" fillId="0" borderId="5" xfId="0" applyNumberFormat="1" applyFont="1" applyFill="1" applyBorder="1" applyAlignment="1">
      <alignment vertical="center" wrapText="1"/>
    </xf>
    <xf numFmtId="205" fontId="4" fillId="0" borderId="6" xfId="0" applyNumberFormat="1" applyFont="1" applyFill="1" applyBorder="1" applyAlignment="1">
      <alignment horizontal="center" vertical="center" wrapText="1"/>
    </xf>
    <xf numFmtId="203" fontId="21" fillId="0" borderId="6" xfId="0" applyNumberFormat="1" applyFont="1" applyFill="1" applyBorder="1" applyAlignment="1">
      <alignment vertical="center" wrapText="1"/>
    </xf>
    <xf numFmtId="0" fontId="23" fillId="0" borderId="4" xfId="999" applyFont="1" applyFill="1" applyBorder="1" applyAlignment="1">
      <alignment vertical="center"/>
    </xf>
    <xf numFmtId="203" fontId="4" fillId="0" borderId="6" xfId="999" applyNumberFormat="1" applyFont="1" applyFill="1" applyBorder="1" applyAlignment="1">
      <alignment vertical="center" wrapText="1"/>
    </xf>
    <xf numFmtId="0" fontId="23" fillId="0" borderId="8" xfId="999" applyFont="1" applyFill="1" applyBorder="1" applyAlignment="1">
      <alignment vertical="center"/>
    </xf>
    <xf numFmtId="205" fontId="4" fillId="0" borderId="9" xfId="0" applyNumberFormat="1" applyFont="1" applyFill="1" applyBorder="1" applyAlignment="1">
      <alignment vertical="center" wrapText="1"/>
    </xf>
    <xf numFmtId="203" fontId="4" fillId="0" borderId="10" xfId="999" applyNumberFormat="1" applyFont="1" applyFill="1" applyBorder="1" applyAlignment="1">
      <alignment vertical="center" wrapText="1"/>
    </xf>
    <xf numFmtId="0" fontId="9" fillId="0" borderId="0" xfId="999" applyFont="1" applyFill="1">
      <alignment vertical="center"/>
    </xf>
    <xf numFmtId="0" fontId="9" fillId="0" borderId="0" xfId="0" applyFont="1" applyFill="1"/>
    <xf numFmtId="0" fontId="0" fillId="0" borderId="0" xfId="2946" applyFont="1" applyFill="1" applyBorder="1" applyAlignment="1">
      <alignment vertical="center"/>
    </xf>
    <xf numFmtId="0" fontId="15" fillId="0" borderId="26" xfId="2119" applyFont="1" applyFill="1" applyBorder="1" applyAlignment="1">
      <alignment horizontal="center" vertical="center" wrapText="1"/>
    </xf>
    <xf numFmtId="0" fontId="16" fillId="0" borderId="15" xfId="2119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justify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justify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justify" vertical="center" wrapText="1"/>
    </xf>
    <xf numFmtId="0" fontId="16" fillId="0" borderId="5" xfId="0" applyFont="1" applyFill="1" applyBorder="1" applyAlignment="1">
      <alignment horizontal="center" vertical="center" wrapText="1"/>
    </xf>
    <xf numFmtId="207" fontId="15" fillId="0" borderId="5" xfId="2210" applyNumberFormat="1" applyFont="1" applyFill="1" applyBorder="1" applyAlignment="1" applyProtection="1">
      <alignment horizontal="right" vertical="center" wrapText="1"/>
    </xf>
    <xf numFmtId="207" fontId="17" fillId="0" borderId="5" xfId="2210" applyNumberFormat="1" applyFont="1" applyFill="1" applyBorder="1" applyAlignment="1" applyProtection="1">
      <alignment horizontal="right" vertical="center" wrapText="1"/>
    </xf>
    <xf numFmtId="205" fontId="9" fillId="0" borderId="6" xfId="2946" applyNumberFormat="1" applyFont="1" applyFill="1" applyBorder="1" applyAlignment="1">
      <alignment vertical="center" wrapText="1"/>
    </xf>
    <xf numFmtId="203" fontId="9" fillId="0" borderId="6" xfId="2946" applyNumberFormat="1" applyFont="1" applyFill="1" applyBorder="1" applyAlignment="1">
      <alignment vertical="center" wrapText="1"/>
    </xf>
    <xf numFmtId="0" fontId="18" fillId="0" borderId="4" xfId="2946" applyFont="1" applyFill="1" applyBorder="1" applyAlignment="1">
      <alignment vertical="center"/>
    </xf>
    <xf numFmtId="0" fontId="18" fillId="0" borderId="5" xfId="2946" applyFont="1" applyFill="1" applyBorder="1" applyAlignment="1">
      <alignment horizontal="center" vertical="center"/>
    </xf>
    <xf numFmtId="205" fontId="0" fillId="0" borderId="6" xfId="2946" applyNumberFormat="1" applyFont="1" applyFill="1" applyBorder="1" applyAlignment="1">
      <alignment vertical="center" wrapText="1"/>
    </xf>
    <xf numFmtId="203" fontId="0" fillId="0" borderId="6" xfId="2946" applyNumberFormat="1" applyFont="1" applyFill="1" applyBorder="1" applyAlignment="1">
      <alignment vertical="center" wrapText="1"/>
    </xf>
    <xf numFmtId="0" fontId="16" fillId="0" borderId="4" xfId="2946" applyFont="1" applyFill="1" applyBorder="1" applyAlignment="1">
      <alignment vertical="center"/>
    </xf>
    <xf numFmtId="0" fontId="16" fillId="0" borderId="5" xfId="2946" applyFont="1" applyFill="1" applyBorder="1" applyAlignment="1">
      <alignment horizontal="center" vertical="center"/>
    </xf>
    <xf numFmtId="0" fontId="18" fillId="0" borderId="8" xfId="2946" applyFont="1" applyFill="1" applyBorder="1" applyAlignment="1">
      <alignment vertical="center"/>
    </xf>
    <xf numFmtId="0" fontId="18" fillId="0" borderId="9" xfId="2946" applyFont="1" applyFill="1" applyBorder="1" applyAlignment="1">
      <alignment horizontal="center" vertical="center"/>
    </xf>
    <xf numFmtId="205" fontId="0" fillId="0" borderId="10" xfId="2946" applyNumberFormat="1" applyFont="1" applyFill="1" applyBorder="1" applyAlignment="1">
      <alignment vertical="center" wrapText="1"/>
    </xf>
    <xf numFmtId="203" fontId="0" fillId="0" borderId="10" xfId="2946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2946" applyFont="1" applyFill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6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/>
    </xf>
    <xf numFmtId="0" fontId="25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justify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justify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5" fillId="0" borderId="37" xfId="2119" applyFont="1" applyFill="1" applyBorder="1" applyAlignment="1">
      <alignment horizontal="center" vertical="center" wrapText="1"/>
    </xf>
    <xf numFmtId="0" fontId="15" fillId="0" borderId="3" xfId="2119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vertical="center"/>
    </xf>
    <xf numFmtId="207" fontId="17" fillId="0" borderId="5" xfId="2363" applyNumberFormat="1" applyFont="1" applyFill="1" applyBorder="1" applyAlignment="1">
      <alignment horizontal="right" vertical="center" wrapText="1"/>
    </xf>
    <xf numFmtId="0" fontId="17" fillId="0" borderId="6" xfId="2363" applyNumberFormat="1" applyFont="1" applyFill="1" applyBorder="1" applyAlignment="1">
      <alignment horizontal="right" vertical="center" wrapText="1"/>
    </xf>
    <xf numFmtId="0" fontId="15" fillId="0" borderId="4" xfId="0" applyFont="1" applyFill="1" applyBorder="1" applyAlignment="1">
      <alignment horizontal="justify" vertical="center" wrapText="1"/>
    </xf>
    <xf numFmtId="0" fontId="17" fillId="0" borderId="2" xfId="0" applyFont="1" applyFill="1" applyBorder="1" applyAlignment="1">
      <alignment horizontal="justify" vertical="center" wrapText="1"/>
    </xf>
    <xf numFmtId="0" fontId="4" fillId="0" borderId="0" xfId="2946" applyFont="1" applyFill="1" applyAlignment="1">
      <alignment horizontal="left" vertical="center" wrapText="1"/>
    </xf>
    <xf numFmtId="207" fontId="17" fillId="0" borderId="9" xfId="2210" applyNumberFormat="1" applyFont="1" applyFill="1" applyBorder="1" applyAlignment="1" applyProtection="1">
      <alignment horizontal="right" vertical="center" wrapText="1"/>
    </xf>
    <xf numFmtId="205" fontId="15" fillId="0" borderId="25" xfId="0" applyNumberFormat="1" applyFont="1" applyFill="1" applyBorder="1" applyAlignment="1">
      <alignment horizontal="center" vertical="center" wrapText="1"/>
    </xf>
    <xf numFmtId="205" fontId="15" fillId="0" borderId="38" xfId="0" applyNumberFormat="1" applyFont="1" applyFill="1" applyBorder="1" applyAlignment="1">
      <alignment horizontal="center" vertical="center" wrapText="1"/>
    </xf>
    <xf numFmtId="205" fontId="18" fillId="0" borderId="29" xfId="0" applyNumberFormat="1" applyFont="1" applyFill="1" applyBorder="1" applyAlignment="1">
      <alignment vertical="center" wrapText="1"/>
    </xf>
    <xf numFmtId="205" fontId="18" fillId="0" borderId="29" xfId="0" applyNumberFormat="1" applyFont="1" applyFill="1" applyBorder="1" applyAlignment="1">
      <alignment horizontal="center" vertical="center" wrapText="1"/>
    </xf>
    <xf numFmtId="205" fontId="17" fillId="0" borderId="30" xfId="2210" applyNumberFormat="1" applyFont="1" applyFill="1" applyBorder="1" applyAlignment="1" applyProtection="1">
      <alignment horizontal="right" vertical="center" wrapText="1"/>
    </xf>
    <xf numFmtId="205" fontId="18" fillId="0" borderId="4" xfId="0" applyNumberFormat="1" applyFont="1" applyFill="1" applyBorder="1" applyAlignment="1">
      <alignment horizontal="center" vertical="center" wrapText="1"/>
    </xf>
    <xf numFmtId="205" fontId="17" fillId="0" borderId="6" xfId="2210" applyNumberFormat="1" applyFont="1" applyFill="1" applyBorder="1" applyAlignment="1" applyProtection="1">
      <alignment horizontal="right" vertical="center" wrapText="1"/>
    </xf>
    <xf numFmtId="205" fontId="18" fillId="0" borderId="8" xfId="0" applyNumberFormat="1" applyFont="1" applyFill="1" applyBorder="1" applyAlignment="1">
      <alignment horizontal="center" vertical="center" wrapText="1"/>
    </xf>
    <xf numFmtId="205" fontId="16" fillId="0" borderId="28" xfId="0" applyNumberFormat="1" applyFont="1" applyFill="1" applyBorder="1" applyAlignment="1">
      <alignment horizontal="center" vertical="center" wrapText="1"/>
    </xf>
    <xf numFmtId="205" fontId="16" fillId="0" borderId="7" xfId="0" applyNumberFormat="1" applyFont="1" applyFill="1" applyBorder="1" applyAlignment="1">
      <alignment horizontal="center" vertical="center" wrapText="1"/>
    </xf>
    <xf numFmtId="0" fontId="0" fillId="0" borderId="0" xfId="999" applyFont="1" applyFill="1" applyAlignment="1">
      <alignment horizontal="left" vertical="center" wrapText="1"/>
    </xf>
    <xf numFmtId="0" fontId="23" fillId="0" borderId="0" xfId="999" applyFont="1" applyFill="1">
      <alignment vertical="center"/>
    </xf>
    <xf numFmtId="0" fontId="17" fillId="0" borderId="0" xfId="0" applyFont="1" applyFill="1" applyAlignment="1">
      <alignment vertical="center"/>
    </xf>
    <xf numFmtId="0" fontId="17" fillId="0" borderId="0" xfId="2946" applyFont="1" applyFill="1">
      <alignment vertical="center"/>
    </xf>
    <xf numFmtId="0" fontId="15" fillId="0" borderId="39" xfId="2119" applyFont="1" applyFill="1" applyBorder="1" applyAlignment="1">
      <alignment horizontal="center" vertical="center" wrapText="1"/>
    </xf>
    <xf numFmtId="0" fontId="15" fillId="0" borderId="38" xfId="2119" applyFont="1" applyFill="1" applyBorder="1" applyAlignment="1">
      <alignment horizontal="center" vertical="center" wrapText="1"/>
    </xf>
    <xf numFmtId="0" fontId="16" fillId="0" borderId="2" xfId="2119" applyFont="1" applyFill="1" applyBorder="1" applyAlignment="1">
      <alignment horizontal="center" vertical="center" wrapText="1"/>
    </xf>
    <xf numFmtId="0" fontId="16" fillId="0" borderId="7" xfId="2119" applyFont="1" applyFill="1" applyBorder="1" applyAlignment="1">
      <alignment horizontal="center" vertical="center" wrapText="1"/>
    </xf>
    <xf numFmtId="205" fontId="17" fillId="0" borderId="40" xfId="2946" applyNumberFormat="1" applyFont="1" applyFill="1" applyBorder="1" applyAlignment="1">
      <alignment horizontal="right" vertical="center" wrapText="1"/>
    </xf>
    <xf numFmtId="203" fontId="17" fillId="0" borderId="41" xfId="2946" applyNumberFormat="1" applyFont="1" applyFill="1" applyBorder="1" applyAlignment="1">
      <alignment horizontal="right" vertical="center" wrapText="1"/>
    </xf>
    <xf numFmtId="205" fontId="17" fillId="0" borderId="40" xfId="2946" applyNumberFormat="1" applyFont="1" applyFill="1" applyBorder="1" applyAlignment="1">
      <alignment horizontal="center" vertical="center" wrapText="1"/>
    </xf>
    <xf numFmtId="203" fontId="17" fillId="0" borderId="41" xfId="2946" applyNumberFormat="1" applyFont="1" applyFill="1" applyBorder="1" applyAlignment="1">
      <alignment horizontal="center" vertical="center" wrapText="1"/>
    </xf>
    <xf numFmtId="205" fontId="17" fillId="0" borderId="42" xfId="2946" applyNumberFormat="1" applyFont="1" applyFill="1" applyBorder="1" applyAlignment="1">
      <alignment horizontal="right" vertical="center" wrapText="1"/>
    </xf>
    <xf numFmtId="203" fontId="17" fillId="0" borderId="43" xfId="2946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1" fillId="0" borderId="39" xfId="0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 vertical="center" wrapText="1"/>
    </xf>
    <xf numFmtId="0" fontId="21" fillId="0" borderId="4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left" vertical="center" wrapText="1"/>
    </xf>
    <xf numFmtId="208" fontId="4" fillId="0" borderId="15" xfId="0" applyNumberFormat="1" applyFont="1" applyFill="1" applyBorder="1" applyAlignment="1">
      <alignment horizontal="center" vertical="center" wrapText="1"/>
    </xf>
    <xf numFmtId="203" fontId="4" fillId="0" borderId="15" xfId="0" applyNumberFormat="1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203" fontId="4" fillId="0" borderId="19" xfId="0" applyNumberFormat="1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left" vertical="center" wrapText="1"/>
    </xf>
    <xf numFmtId="205" fontId="4" fillId="0" borderId="46" xfId="0" applyNumberFormat="1" applyFont="1" applyFill="1" applyBorder="1" applyAlignment="1">
      <alignment horizontal="center" vertical="center" wrapText="1"/>
    </xf>
    <xf numFmtId="203" fontId="4" fillId="0" borderId="46" xfId="0" applyNumberFormat="1" applyFont="1" applyFill="1" applyBorder="1" applyAlignment="1">
      <alignment horizontal="center" vertical="center" wrapText="1"/>
    </xf>
    <xf numFmtId="208" fontId="4" fillId="0" borderId="46" xfId="0" applyNumberFormat="1" applyFont="1" applyFill="1" applyBorder="1" applyAlignment="1">
      <alignment horizontal="center" vertical="center" wrapText="1"/>
    </xf>
    <xf numFmtId="205" fontId="4" fillId="0" borderId="0" xfId="0" applyNumberFormat="1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203" fontId="4" fillId="0" borderId="17" xfId="0" applyNumberFormat="1" applyFont="1" applyFill="1" applyBorder="1" applyAlignment="1">
      <alignment horizontal="center" vertical="center" wrapText="1"/>
    </xf>
    <xf numFmtId="208" fontId="4" fillId="0" borderId="0" xfId="0" applyNumberFormat="1" applyFont="1" applyFill="1" applyBorder="1" applyAlignment="1">
      <alignment horizontal="center" vertical="center" wrapText="1"/>
    </xf>
    <xf numFmtId="203" fontId="4" fillId="0" borderId="30" xfId="0" applyNumberFormat="1" applyFont="1" applyFill="1" applyBorder="1" applyAlignment="1">
      <alignment horizontal="center" vertical="center" wrapText="1"/>
    </xf>
    <xf numFmtId="203" fontId="4" fillId="0" borderId="47" xfId="0" applyNumberFormat="1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/>
    </xf>
    <xf numFmtId="203" fontId="17" fillId="0" borderId="0" xfId="2946" applyNumberFormat="1" applyFont="1" applyFill="1" applyAlignment="1">
      <alignment vertical="center" wrapText="1"/>
    </xf>
    <xf numFmtId="0" fontId="18" fillId="0" borderId="0" xfId="0" applyFont="1" applyFill="1" applyAlignment="1">
      <alignment horizontal="justify" vertical="center" wrapText="1"/>
    </xf>
    <xf numFmtId="0" fontId="18" fillId="0" borderId="6" xfId="0" applyFont="1" applyFill="1" applyBorder="1" applyAlignment="1">
      <alignment horizontal="center" vertical="center" wrapText="1"/>
    </xf>
    <xf numFmtId="203" fontId="17" fillId="0" borderId="0" xfId="2210" applyNumberFormat="1" applyFont="1" applyFill="1" applyAlignment="1" applyProtection="1">
      <alignment horizontal="right" vertical="center" wrapText="1"/>
    </xf>
    <xf numFmtId="203" fontId="17" fillId="0" borderId="5" xfId="2363" applyNumberFormat="1" applyFont="1" applyFill="1" applyBorder="1" applyAlignment="1">
      <alignment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justify" vertical="center" wrapText="1"/>
    </xf>
    <xf numFmtId="0" fontId="18" fillId="0" borderId="19" xfId="0" applyFont="1" applyFill="1" applyBorder="1" applyAlignment="1">
      <alignment horizontal="center" vertical="center" wrapText="1"/>
    </xf>
    <xf numFmtId="208" fontId="17" fillId="0" borderId="30" xfId="2363" applyNumberFormat="1" applyFont="1" applyFill="1" applyBorder="1" applyAlignment="1">
      <alignment horizontal="right" vertical="center" wrapText="1"/>
    </xf>
    <xf numFmtId="202" fontId="17" fillId="0" borderId="30" xfId="2363" applyNumberFormat="1" applyFont="1" applyFill="1" applyBorder="1" applyAlignment="1">
      <alignment horizontal="right" vertical="center" wrapText="1"/>
    </xf>
    <xf numFmtId="208" fontId="17" fillId="0" borderId="30" xfId="2363" applyNumberFormat="1" applyFont="1" applyFill="1" applyBorder="1" applyAlignment="1">
      <alignment horizontal="center" vertical="center" wrapText="1"/>
    </xf>
    <xf numFmtId="202" fontId="17" fillId="0" borderId="30" xfId="2363" applyNumberFormat="1" applyFont="1" applyFill="1" applyBorder="1" applyAlignment="1">
      <alignment horizontal="center" vertical="center" wrapText="1"/>
    </xf>
    <xf numFmtId="208" fontId="17" fillId="0" borderId="6" xfId="2363" applyNumberFormat="1" applyFont="1" applyFill="1" applyBorder="1" applyAlignment="1">
      <alignment horizontal="right" vertical="center" wrapText="1"/>
    </xf>
    <xf numFmtId="202" fontId="17" fillId="0" borderId="6" xfId="2363" applyNumberFormat="1" applyFont="1" applyFill="1" applyBorder="1" applyAlignment="1">
      <alignment horizontal="right" vertical="center" wrapText="1"/>
    </xf>
    <xf numFmtId="208" fontId="17" fillId="0" borderId="6" xfId="2363" applyNumberFormat="1" applyFont="1" applyFill="1" applyBorder="1" applyAlignment="1">
      <alignment horizontal="center" vertical="center" wrapText="1"/>
    </xf>
    <xf numFmtId="202" fontId="17" fillId="0" borderId="6" xfId="2363" applyNumberFormat="1" applyFont="1" applyFill="1" applyBorder="1" applyAlignment="1">
      <alignment horizontal="center" vertical="center" wrapText="1"/>
    </xf>
    <xf numFmtId="208" fontId="17" fillId="0" borderId="6" xfId="2363" applyNumberFormat="1" applyFont="1" applyFill="1" applyBorder="1" applyAlignment="1">
      <alignment horizontal="center" vertical="center"/>
    </xf>
    <xf numFmtId="208" fontId="17" fillId="0" borderId="0" xfId="2363" applyNumberFormat="1" applyFont="1" applyFill="1" applyBorder="1" applyAlignment="1">
      <alignment horizontal="center" vertical="center"/>
    </xf>
    <xf numFmtId="0" fontId="17" fillId="0" borderId="4" xfId="2946" applyFont="1" applyFill="1" applyBorder="1">
      <alignment vertical="center"/>
    </xf>
    <xf numFmtId="0" fontId="17" fillId="0" borderId="5" xfId="2946" applyFont="1" applyFill="1" applyBorder="1" applyAlignment="1">
      <alignment horizontal="center" vertical="center"/>
    </xf>
    <xf numFmtId="205" fontId="17" fillId="0" borderId="5" xfId="2946" applyNumberFormat="1" applyFont="1" applyFill="1" applyBorder="1" applyAlignment="1">
      <alignment horizontal="right" vertical="center" wrapText="1"/>
    </xf>
    <xf numFmtId="203" fontId="17" fillId="0" borderId="6" xfId="2946" applyNumberFormat="1" applyFont="1" applyFill="1" applyBorder="1" applyAlignment="1">
      <alignment horizontal="right" vertical="center" wrapText="1"/>
    </xf>
    <xf numFmtId="0" fontId="17" fillId="0" borderId="2" xfId="2946" applyFont="1" applyFill="1" applyBorder="1">
      <alignment vertical="center"/>
    </xf>
    <xf numFmtId="0" fontId="17" fillId="0" borderId="7" xfId="2946" applyFont="1" applyFill="1" applyBorder="1" applyAlignment="1">
      <alignment horizontal="center" vertical="center"/>
    </xf>
    <xf numFmtId="205" fontId="17" fillId="0" borderId="7" xfId="2946" applyNumberFormat="1" applyFont="1" applyFill="1" applyBorder="1" applyAlignment="1">
      <alignment horizontal="right" vertical="center" wrapText="1"/>
    </xf>
    <xf numFmtId="203" fontId="17" fillId="0" borderId="13" xfId="2946" applyNumberFormat="1" applyFont="1" applyFill="1" applyBorder="1" applyAlignment="1">
      <alignment horizontal="right" vertical="center" wrapText="1"/>
    </xf>
  </cellXfs>
  <cellStyles count="31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~5676413 2" xfId="49"/>
    <cellStyle name="好_高中教师人数（教育厅1.6日提供） 2" xfId="50"/>
    <cellStyle name="差_教育厅提供义务教育及高中教师人数（2009年1月6日） 5" xfId="51"/>
    <cellStyle name="好_2006年在职人员情况 4" xfId="52"/>
    <cellStyle name="链接单元格 5" xfId="53"/>
    <cellStyle name="好_奖励补助测算7.23 7" xfId="54"/>
    <cellStyle name="差_2009年一般性转移支付标准工资_奖励补助测算5.23新 3" xfId="55"/>
    <cellStyle name="强调文字颜色 2 3 2" xfId="56"/>
    <cellStyle name="汇总 6" xfId="57"/>
    <cellStyle name="差_Book2 6" xfId="58"/>
    <cellStyle name="Accent5 9" xfId="59"/>
    <cellStyle name="好_2009年一般性转移支付标准工资_~5676413 9" xfId="60"/>
    <cellStyle name="标题 1 3 5" xfId="61"/>
    <cellStyle name="20% - 强调文字颜色 2 3 6" xfId="62"/>
    <cellStyle name="常规 44" xfId="63"/>
    <cellStyle name="常规 39" xfId="64"/>
    <cellStyle name="40% - 强调文字颜色 1 3 5" xfId="65"/>
    <cellStyle name="差_2006年在职人员情况 3" xfId="66"/>
    <cellStyle name="差_云南省2008年中小学教职工情况（教育厅提供20090101加工整理） 6" xfId="67"/>
    <cellStyle name="args.style" xfId="68"/>
    <cellStyle name="好_Book1 8" xfId="69"/>
    <cellStyle name="差_11大理 2" xfId="70"/>
    <cellStyle name="差_M03 5" xfId="71"/>
    <cellStyle name="好_云南省2008年中小学教职工情况（教育厅提供20090101加工整理） 9" xfId="72"/>
    <cellStyle name="千位分隔 2 2 4" xfId="73"/>
    <cellStyle name="好_县级公安机关公用经费标准奖励测算方案（定稿） 9" xfId="74"/>
    <cellStyle name="好_Book1_1 6" xfId="75"/>
    <cellStyle name="Accent2 - 40%" xfId="76"/>
    <cellStyle name="汇总 3 5" xfId="77"/>
    <cellStyle name="强调文字颜色 1 8" xfId="78"/>
    <cellStyle name="计算 2" xfId="79"/>
    <cellStyle name="40% - 强调文字颜色 4 3 4" xfId="80"/>
    <cellStyle name="好_卫生部门 8" xfId="81"/>
    <cellStyle name="差_2009年一般性转移支付标准工资_地方配套按人均增幅控制8.31（调整结案率后）xl 7" xfId="82"/>
    <cellStyle name="差_2006年基础数据 9" xfId="83"/>
    <cellStyle name="Accent1 - 40% 9" xfId="84"/>
    <cellStyle name="好_00省级(打印) 6" xfId="85"/>
    <cellStyle name="好_汇总" xfId="86"/>
    <cellStyle name="常规 7 3" xfId="87"/>
    <cellStyle name="输入 8 2" xfId="88"/>
    <cellStyle name="差_2006年水利统计指标统计表 2" xfId="89"/>
    <cellStyle name="差_0502通海县 8" xfId="90"/>
    <cellStyle name="差_2009年一般性转移支付标准工资_奖励补助测算5.22测试" xfId="91"/>
    <cellStyle name="好_2009年一般性转移支付标准工资_奖励补助测算5.22测试 8" xfId="92"/>
    <cellStyle name="差_基础数据分析 4" xfId="93"/>
    <cellStyle name="差_地方配套按人均增幅控制8.30xl 2" xfId="94"/>
    <cellStyle name="60% - 强调文字颜色 2 3" xfId="95"/>
    <cellStyle name="Accent6 - 40% 8" xfId="96"/>
    <cellStyle name="差_教师绩效工资测算表（离退休按各地上报数测算）2009年1月1日" xfId="97"/>
    <cellStyle name="差_奖励补助测算5.22测试 4" xfId="98"/>
    <cellStyle name="差_2007年政法部门业务指标" xfId="99"/>
    <cellStyle name="常规 6 5" xfId="100"/>
    <cellStyle name="好_1110洱源县 8" xfId="101"/>
    <cellStyle name="好_奖励补助测算5.23新" xfId="102"/>
    <cellStyle name="好_奖励补助测算7.25 (version 1) (version 1) 8" xfId="103"/>
    <cellStyle name="差_指标五" xfId="104"/>
    <cellStyle name="60% - 强调文字颜色 2 3 5" xfId="105"/>
    <cellStyle name="注释 5" xfId="106"/>
    <cellStyle name="差_奖励补助测算5.22测试" xfId="107"/>
    <cellStyle name="好_0605石屏县 7" xfId="108"/>
    <cellStyle name="Explanatory Text 3" xfId="109"/>
    <cellStyle name="40% - 强调文字颜色 3 10" xfId="110"/>
    <cellStyle name="20% - 强调文字颜色 4 4 2" xfId="111"/>
    <cellStyle name="标题 1 5 2" xfId="112"/>
    <cellStyle name="差_2009年一般性转移支付标准工资_地方配套按人均增幅控制8.30一般预算平均增幅、人均可用财力平均增幅两次控制、社会治安系数调整、案件数调整xl 8" xfId="113"/>
    <cellStyle name="差_奖励补助测算5.22测试 2" xfId="114"/>
    <cellStyle name="差_奖励补助测算5.22测试 3" xfId="115"/>
    <cellStyle name="百分比 6" xfId="116"/>
    <cellStyle name="差_2009年一般性转移支付标准工资 2" xfId="117"/>
    <cellStyle name="40% - Accent1 4" xfId="118"/>
    <cellStyle name="好_奖励补助测算5.22测试 3" xfId="119"/>
    <cellStyle name="20% - 强调文字颜色 2 4 2" xfId="120"/>
    <cellStyle name="差_三季度－表二 5" xfId="121"/>
    <cellStyle name="常规 31" xfId="122"/>
    <cellStyle name="常规 26" xfId="123"/>
    <cellStyle name="40% - 强调文字颜色 3 3 3" xfId="124"/>
    <cellStyle name="差_奖励补助测算7.25 (version 1) (version 1) 8" xfId="125"/>
    <cellStyle name="Input" xfId="126"/>
    <cellStyle name="好_教育厅提供义务教育及高中教师人数（2009年1月6日） 3" xfId="127"/>
    <cellStyle name="计算 3 2" xfId="128"/>
    <cellStyle name="强调文字颜色 1 9 2" xfId="129"/>
    <cellStyle name="输入 9 2" xfId="130"/>
    <cellStyle name="链接单元格 8" xfId="131"/>
    <cellStyle name="常规 8 3" xfId="132"/>
    <cellStyle name="好_2006年在职人员情况 7" xfId="133"/>
    <cellStyle name="差_教育厅提供义务教育及高中教师人数（2009年1月6日） 8" xfId="134"/>
    <cellStyle name="常规 2 2 2 5" xfId="135"/>
    <cellStyle name="60% - 强调文字颜色 1 7 2" xfId="136"/>
    <cellStyle name="40% - 强调文字颜色 5 7" xfId="137"/>
    <cellStyle name="注释 2 3" xfId="138"/>
    <cellStyle name="差_业务工作量指标 5" xfId="139"/>
    <cellStyle name="20% - 强调文字颜色 6 3 5" xfId="140"/>
    <cellStyle name="差_530623_2006年县级财政报表附表 4" xfId="141"/>
    <cellStyle name="好_地方配套按人均增幅控制8.30xl 3" xfId="142"/>
    <cellStyle name="差_教育厅提供义务教育及高中教师人数（2009年1月6日）" xfId="143"/>
    <cellStyle name="差_Book2" xfId="144"/>
    <cellStyle name="差 3 4" xfId="145"/>
    <cellStyle name="差_2009年一般性转移支付标准工资_奖励补助测算7.25 4" xfId="146"/>
    <cellStyle name="输出 3 3" xfId="147"/>
    <cellStyle name="Heading 3 8" xfId="148"/>
    <cellStyle name="好_云南农村义务教育统计表 5" xfId="149"/>
    <cellStyle name="60% - 强调文字颜色 2 5 2" xfId="150"/>
    <cellStyle name="好_奖励补助测算7.23 9" xfId="151"/>
    <cellStyle name="常规 8 2" xfId="152"/>
    <cellStyle name="链接单元格 7" xfId="153"/>
    <cellStyle name="好_2006年在职人员情况 6" xfId="154"/>
    <cellStyle name="差_教育厅提供义务教育及高中教师人数（2009年1月6日） 7" xfId="155"/>
    <cellStyle name="常规 2 2 2 4" xfId="156"/>
    <cellStyle name="差_~4190974 9" xfId="157"/>
    <cellStyle name="好_地方配套按人均增幅控制8.30一般预算平均增幅、人均可用财力平均增幅两次控制、社会治安系数调整、案件数调整xl 8" xfId="158"/>
    <cellStyle name="差_地方配套按人均增幅控制8.30一般预算平均增幅、人均可用财力平均增幅两次控制、社会治安系数调整、案件数调整xl 9" xfId="159"/>
    <cellStyle name="强调文字颜色 1 6" xfId="160"/>
    <cellStyle name="常规 2 6 8" xfId="161"/>
    <cellStyle name="标题 5 4" xfId="162"/>
    <cellStyle name="好_奖励补助测算7.23 6" xfId="163"/>
    <cellStyle name="好_地方配套按人均增幅控制8.30一般预算平均增幅、人均可用财力平均增幅两次控制、社会治安系数调整、案件数调整xl 9" xfId="164"/>
    <cellStyle name="链接单元格 4" xfId="165"/>
    <cellStyle name="好_2006年在职人员情况 3" xfId="166"/>
    <cellStyle name="差_教育厅提供义务教育及高中教师人数（2009年1月6日） 4" xfId="167"/>
    <cellStyle name="好_5334_2006年迪庆县级财政报表附表 5" xfId="168"/>
    <cellStyle name="表标题 8" xfId="169"/>
    <cellStyle name="常规 2 6 9" xfId="170"/>
    <cellStyle name="标题 5 5" xfId="171"/>
    <cellStyle name="强调文字颜色 1 7" xfId="172"/>
    <cellStyle name="常规 2 2 2 6" xfId="173"/>
    <cellStyle name="强调文字颜色 5 5 2" xfId="174"/>
    <cellStyle name="Accent2 - 40% 3" xfId="175"/>
    <cellStyle name="差_卫生部门 6" xfId="176"/>
    <cellStyle name="常规 2 2 2 7" xfId="177"/>
    <cellStyle name="PSChar" xfId="178"/>
    <cellStyle name="好_奖励补助测算7.23 8" xfId="179"/>
    <cellStyle name="好_2006年在职人员情况 5" xfId="180"/>
    <cellStyle name="链接单元格 6" xfId="181"/>
    <cellStyle name="差_教育厅提供义务教育及高中教师人数（2009年1月6日） 6" xfId="182"/>
    <cellStyle name="汇总 3 6" xfId="183"/>
    <cellStyle name="常规 2 2_Book1" xfId="184"/>
    <cellStyle name="标题 2 8 2" xfId="185"/>
    <cellStyle name="强调文字颜色 1 9" xfId="186"/>
    <cellStyle name="常规 2 2 2 8" xfId="187"/>
    <cellStyle name="60% - 强调文字颜色 6 5 2" xfId="188"/>
    <cellStyle name="40% - 强调文字颜色 4 3 6" xfId="189"/>
    <cellStyle name="常规 2 2 2 9" xfId="190"/>
    <cellStyle name="适中 8 2" xfId="191"/>
    <cellStyle name="0,0&#13;&#10;NA&#13;&#10;" xfId="192"/>
    <cellStyle name="Heading 3 2" xfId="193"/>
    <cellStyle name="_弱电系统设备配置报价清单" xfId="194"/>
    <cellStyle name="标题 5 9" xfId="195"/>
    <cellStyle name="Input 5" xfId="196"/>
    <cellStyle name="差_2009年一般性转移支付标准工资_奖励补助测算7.25 (version 1) (version 1) 2" xfId="197"/>
    <cellStyle name="好_0502通海县 7" xfId="198"/>
    <cellStyle name="Linked Cell 3" xfId="199"/>
    <cellStyle name="20% - 强调文字颜色 3 8 2" xfId="200"/>
    <cellStyle name="差_地方配套按人均增幅控制8.31（调整结案率后）xl 8" xfId="201"/>
    <cellStyle name="标题 4 9" xfId="202"/>
    <cellStyle name="好_05玉溪 7" xfId="203"/>
    <cellStyle name="强调文字颜色 5 7 2" xfId="204"/>
    <cellStyle name="差_03昭通 8" xfId="205"/>
    <cellStyle name="差_2009年一般性转移支付标准工资_地方配套按人均增幅控制8.30xl 2" xfId="206"/>
    <cellStyle name="40% - 强调文字颜色 4 4 2" xfId="207"/>
    <cellStyle name="好_下半年禁吸戒毒经费1000万元 4" xfId="208"/>
    <cellStyle name="强调文字颜色 2 6" xfId="209"/>
    <cellStyle name="差_530623_2006年县级财政报表附表 8" xfId="210"/>
    <cellStyle name="好_11大理 4" xfId="211"/>
    <cellStyle name="差_业务工作量指标 9" xfId="212"/>
    <cellStyle name="好_地方配套按人均增幅控制8.30xl 7" xfId="213"/>
    <cellStyle name="好_2009年一般性转移支付标准工资_~4190974 2" xfId="214"/>
    <cellStyle name="Accent3 - 60% 2" xfId="215"/>
    <cellStyle name="Accent5 - 20% 4" xfId="216"/>
    <cellStyle name="百分比 4 8" xfId="217"/>
    <cellStyle name="常规 17 4" xfId="218"/>
    <cellStyle name="差_2、土地面积、人口、粮食产量基本情况 6" xfId="219"/>
    <cellStyle name="好_指标四 7" xfId="220"/>
    <cellStyle name="Accent1 - 60% 5" xfId="221"/>
    <cellStyle name="Accent3 - 20% 7" xfId="222"/>
    <cellStyle name="好 5 2" xfId="223"/>
    <cellStyle name="好_财政供养人员 4" xfId="224"/>
    <cellStyle name="Neutral 6" xfId="225"/>
    <cellStyle name="常规 2 5 5" xfId="226"/>
    <cellStyle name="好_Book1_1" xfId="227"/>
    <cellStyle name="差_云南农村义务教育统计表 5" xfId="228"/>
    <cellStyle name="千位分隔 2" xfId="229"/>
    <cellStyle name="差_530629_2006年县级财政报表附表 7" xfId="230"/>
    <cellStyle name="Accent6 - 40% 7" xfId="231"/>
    <cellStyle name="常规 5" xfId="232"/>
    <cellStyle name="Heading 4 9" xfId="233"/>
    <cellStyle name="60% - 强调文字颜色 2 2" xfId="234"/>
    <cellStyle name="差 8 2" xfId="235"/>
    <cellStyle name="强调文字颜色 5 9" xfId="236"/>
    <cellStyle name="好_2006年水利统计指标统计表 7" xfId="237"/>
    <cellStyle name="后继超链接 5" xfId="238"/>
    <cellStyle name="好_奖励补助测算5.24冯铸 7" xfId="239"/>
    <cellStyle name="标题 3 8" xfId="240"/>
    <cellStyle name="差_2006年全省财力计算表（中央、决算） 9" xfId="241"/>
    <cellStyle name="常规 4 3" xfId="242"/>
    <cellStyle name="强调文字颜色 4 8 2" xfId="243"/>
    <cellStyle name="20% - 强调文字颜色 4 3 3" xfId="244"/>
    <cellStyle name="差_0605石屏县 6" xfId="245"/>
    <cellStyle name="好_云南省2008年转移支付测算——州市本级考核部分及政策性测算" xfId="246"/>
    <cellStyle name="好_00省级(打印) 7" xfId="247"/>
    <cellStyle name="常规 2 7 7" xfId="248"/>
    <cellStyle name="好_三季度－表二 5" xfId="249"/>
    <cellStyle name="Millares [0]_96 Risk" xfId="250"/>
    <cellStyle name="差_530629_2006年县级财政报表附表 2" xfId="251"/>
    <cellStyle name="好 6" xfId="252"/>
    <cellStyle name="差_03昭通" xfId="253"/>
    <cellStyle name="计算 5 2" xfId="254"/>
    <cellStyle name="好_业务工作量指标 2" xfId="255"/>
    <cellStyle name="40% - Accent3 5" xfId="256"/>
    <cellStyle name="差_530629_2006年县级财政报表附表 3" xfId="257"/>
    <cellStyle name="好 7" xfId="258"/>
    <cellStyle name="强调文字颜色 4 6 2" xfId="259"/>
    <cellStyle name="Title 3" xfId="260"/>
    <cellStyle name="60% - 强调文字颜色 3 9" xfId="261"/>
    <cellStyle name="输入 3 2" xfId="262"/>
    <cellStyle name="好_530629_2006年县级财政报表附表 5" xfId="263"/>
    <cellStyle name="好_0605石屏县" xfId="264"/>
    <cellStyle name="40% - 强调文字颜色 5 4" xfId="265"/>
    <cellStyle name="强调文字颜色 5 3 4" xfId="266"/>
    <cellStyle name="好_2007年可用财力" xfId="267"/>
    <cellStyle name="差_0502通海县 9" xfId="268"/>
    <cellStyle name="千位分隔 4 7" xfId="269"/>
    <cellStyle name="标题 4 3 7" xfId="270"/>
    <cellStyle name="60% - 强调文字颜色 6 3 3" xfId="271"/>
    <cellStyle name="常规 5 3" xfId="272"/>
    <cellStyle name="差_Book2 3" xfId="273"/>
    <cellStyle name="Accent5 6" xfId="274"/>
    <cellStyle name="汇总 3" xfId="275"/>
    <cellStyle name="好_2009年一般性转移支付标准工资_~5676413 6" xfId="276"/>
    <cellStyle name="标题 1 3 2" xfId="277"/>
    <cellStyle name="好 2" xfId="278"/>
    <cellStyle name="ColLevel_0" xfId="279"/>
    <cellStyle name="差_Book1_1 4" xfId="280"/>
    <cellStyle name="常规 3 3 3" xfId="281"/>
    <cellStyle name="Heading 4 5" xfId="282"/>
    <cellStyle name="?鹎%U龡&amp;H?_x0008__x001C__x001C_?_x0007__x0001__x0001_" xfId="283"/>
    <cellStyle name="Accent6 - 40% 3" xfId="284"/>
    <cellStyle name="好_2007年检察院案件数 8" xfId="285"/>
    <cellStyle name="差_义务教育阶段教职工人数（教育厅提供最终） 7" xfId="286"/>
    <cellStyle name="Bad 5" xfId="287"/>
    <cellStyle name="差_奖励补助测算5.24冯铸 4" xfId="288"/>
    <cellStyle name="差_财政供养人员 6" xfId="289"/>
    <cellStyle name="好_~4190974 8" xfId="290"/>
    <cellStyle name="40% - 强调文字颜色 4 10" xfId="291"/>
    <cellStyle name="60% - 强调文字颜色 2 7 2" xfId="292"/>
    <cellStyle name="好_奖励补助测算7.25 9" xfId="293"/>
    <cellStyle name="差_2009年一般性转移支付标准工资_奖励补助测算5.24冯铸 7" xfId="294"/>
    <cellStyle name="好_城建部门" xfId="295"/>
    <cellStyle name="警告文本 10" xfId="296"/>
    <cellStyle name="差_不用软件计算9.1不考虑经费管理评价xl 7" xfId="297"/>
    <cellStyle name="好_奖励补助测算5.22测试 7" xfId="298"/>
    <cellStyle name="40% - Accent1 8" xfId="299"/>
    <cellStyle name="差_2009年一般性转移支付标准工资 6" xfId="300"/>
    <cellStyle name="差_三季度－表二 9" xfId="301"/>
    <cellStyle name="常规_册子——贸易(2016年9月)" xfId="302"/>
    <cellStyle name="Linked Cell 9" xfId="303"/>
    <cellStyle name="差_县级公安机关公用经费标准奖励测算方案（定稿） 2" xfId="304"/>
    <cellStyle name="差_2007年人员分部门统计表 6" xfId="305"/>
    <cellStyle name="差_2009年一般性转移支付标准工资_不用软件计算9.1不考虑经费管理评价xl 2" xfId="306"/>
    <cellStyle name="适中 6" xfId="307"/>
    <cellStyle name="常规 3 2 4" xfId="308"/>
    <cellStyle name="常规 3 4" xfId="309"/>
    <cellStyle name="差_2009年一般性转移支付标准工资_地方配套按人均增幅控制8.30xl 5" xfId="310"/>
    <cellStyle name="差_高中教师人数（教育厅1.6日提供） 8" xfId="311"/>
    <cellStyle name="链接单元格 7 2" xfId="312"/>
    <cellStyle name="60% - 强调文字颜色 1 3 7" xfId="313"/>
    <cellStyle name="千位分隔 2 8" xfId="314"/>
    <cellStyle name="好_2009年一般性转移支付标准工资_不用软件计算9.1不考虑经费管理评价xl 6" xfId="315"/>
    <cellStyle name="콤마_BOILER-CO1" xfId="316"/>
    <cellStyle name="20% - 强调文字颜色 5 2" xfId="317"/>
    <cellStyle name="好_Book1_1 8" xfId="318"/>
    <cellStyle name="差 3 5" xfId="319"/>
    <cellStyle name="常规 4 5" xfId="320"/>
    <cellStyle name="差_城建部门" xfId="321"/>
    <cellStyle name="好_教育厅提供义务教育及高中教师人数（2009年1月6日） 8" xfId="322"/>
    <cellStyle name="Accent6 - 20% 6" xfId="323"/>
    <cellStyle name="好_M03 6" xfId="324"/>
    <cellStyle name="差_历年教师人数" xfId="325"/>
    <cellStyle name="好_00省级(定稿) 5" xfId="326"/>
    <cellStyle name="60% - 强调文字颜色 2 8" xfId="327"/>
    <cellStyle name="强调文字颜色 4 4 2" xfId="328"/>
    <cellStyle name="40% - Accent5 6" xfId="329"/>
    <cellStyle name="_Book1" xfId="330"/>
    <cellStyle name="常规 2 7 2" xfId="331"/>
    <cellStyle name="好_不用软件计算9.1不考虑经费管理评价xl 6" xfId="332"/>
    <cellStyle name="60% - 强调文字颜色 1 9" xfId="333"/>
    <cellStyle name="标题 4 8 2" xfId="334"/>
    <cellStyle name="计算 10" xfId="335"/>
    <cellStyle name="差_2009年一般性转移支付标准工资_地方配套按人均增幅控制8.30一般预算平均增幅、人均可用财力平均增幅两次控制、社会治安系数调整、案件数调整xl 5" xfId="336"/>
    <cellStyle name="Accent3 8" xfId="337"/>
    <cellStyle name="差_2007年检察院案件数 8" xfId="338"/>
    <cellStyle name="解释性文本 6" xfId="339"/>
    <cellStyle name="差 3" xfId="340"/>
    <cellStyle name="差_下半年禁吸戒毒经费1000万元 7" xfId="341"/>
    <cellStyle name="40% - 强调文字颜色 6 3 5" xfId="342"/>
    <cellStyle name="差_2009年一般性转移支付标准工资_奖励补助测算7.25" xfId="343"/>
    <cellStyle name="检查单元格 6 2" xfId="344"/>
    <cellStyle name="差_2009年一般性转移支付标准工资_~4190974 7" xfId="345"/>
    <cellStyle name="好_2009年一般性转移支付标准工资_不用软件计算9.1不考虑经费管理评价xl 5" xfId="346"/>
    <cellStyle name="千位分隔 2 7" xfId="347"/>
    <cellStyle name="60% - 强调文字颜色 1 3 6" xfId="348"/>
    <cellStyle name="Accent5_公安安全支出补充表5.14" xfId="349"/>
    <cellStyle name="好_Book1_1 7" xfId="350"/>
    <cellStyle name="千位分隔 2 2 5" xfId="351"/>
    <cellStyle name="差_M03 6" xfId="352"/>
    <cellStyle name="差_11大理 3" xfId="353"/>
    <cellStyle name="常规 3 9" xfId="354"/>
    <cellStyle name="Accent4 - 40% 8" xfId="355"/>
    <cellStyle name="40% - 强调文字颜色 4 7 2" xfId="356"/>
    <cellStyle name="常规 2 2" xfId="357"/>
    <cellStyle name="好_530629_2006年县级财政报表附表 4" xfId="358"/>
    <cellStyle name="部门" xfId="359"/>
    <cellStyle name="60% - 强调文字颜色 3 8" xfId="360"/>
    <cellStyle name="强调 3" xfId="361"/>
    <cellStyle name="20% - Accent5 9" xfId="362"/>
    <cellStyle name="常规 76" xfId="363"/>
    <cellStyle name="差_0605石屏县" xfId="364"/>
    <cellStyle name="警告文本 6" xfId="365"/>
    <cellStyle name="常规 4 8" xfId="366"/>
    <cellStyle name="差_地方配套按人均增幅控制8.31（调整结案率后）xl 2" xfId="367"/>
    <cellStyle name="差_云南省2008年转移支付测算——州市本级考核部分及政策性测算 7" xfId="368"/>
    <cellStyle name="差_~5676413" xfId="369"/>
    <cellStyle name="Title 9" xfId="370"/>
    <cellStyle name="差_00省级(打印) 2" xfId="371"/>
    <cellStyle name="好_M01-2(州市补助收入) 4" xfId="372"/>
    <cellStyle name="差_~5676413 8" xfId="373"/>
    <cellStyle name="强调文字颜色 4 6" xfId="374"/>
    <cellStyle name="常规 2 9" xfId="375"/>
    <cellStyle name="输入 3" xfId="376"/>
    <cellStyle name="好_义务教育阶段教职工人数（教育厅提供最终） 2" xfId="377"/>
    <cellStyle name="标题 12" xfId="378"/>
    <cellStyle name="好_基础数据分析 8" xfId="379"/>
    <cellStyle name="百分比 2 4" xfId="380"/>
    <cellStyle name="差_第五部分(才淼、饶永宏） 7" xfId="381"/>
    <cellStyle name="40% - 强调文字颜色 3 2" xfId="382"/>
    <cellStyle name="差_2009年一般性转移支付标准工资_奖励补助测算7.23 9" xfId="383"/>
    <cellStyle name="常规_Sheet1" xfId="384"/>
    <cellStyle name="常规 2 12" xfId="385"/>
    <cellStyle name="差_财政支出对上级的依赖程度" xfId="386"/>
    <cellStyle name="强调文字颜色 3 5" xfId="387"/>
    <cellStyle name="汇总 5 2" xfId="388"/>
    <cellStyle name="好_2009年一般性转移支付标准工资_奖励补助测算5.24冯铸 5" xfId="389"/>
    <cellStyle name="20% - 强调文字颜色 5 5 2" xfId="390"/>
    <cellStyle name="强调文字颜色 2 3 3" xfId="391"/>
    <cellStyle name="差_2009年一般性转移支付标准工资_奖励补助测算5.23新 4" xfId="392"/>
    <cellStyle name="标题 4 3 2" xfId="393"/>
    <cellStyle name="千位分隔 4 2" xfId="394"/>
    <cellStyle name="好_2009年一般性转移支付标准工资_奖励补助测算5.23新" xfId="395"/>
    <cellStyle name="差 9 2" xfId="396"/>
    <cellStyle name="差_530629_2006年县级财政报表附表 8" xfId="397"/>
    <cellStyle name="好_汇总 3" xfId="398"/>
    <cellStyle name="差_2007年政法部门业务指标 2" xfId="399"/>
    <cellStyle name="差_云南农村义务教育统计表 6" xfId="400"/>
    <cellStyle name="标题 4 2" xfId="401"/>
    <cellStyle name="千位分隔 3" xfId="402"/>
    <cellStyle name="常规 2 5 6" xfId="403"/>
    <cellStyle name="百分比 7 2" xfId="404"/>
    <cellStyle name="Title 6" xfId="405"/>
    <cellStyle name="差_云南省2008年转移支付测算——州市本级考核部分及政策性测算 4" xfId="406"/>
    <cellStyle name="差_00省级(打印) 7" xfId="407"/>
    <cellStyle name="好_M01-2(州市补助收入) 9" xfId="408"/>
    <cellStyle name="20% - 强调文字颜色 3 6 2" xfId="409"/>
    <cellStyle name="差_2006年水利统计指标统计表" xfId="410"/>
    <cellStyle name="输入 8" xfId="411"/>
    <cellStyle name="差_县级公安机关公用经费标准奖励测算方案（定稿） 6" xfId="412"/>
    <cellStyle name="警告文本 7 2" xfId="413"/>
    <cellStyle name="好_0605石屏县 4" xfId="414"/>
    <cellStyle name="表标题 6" xfId="415"/>
    <cellStyle name="好_5334_2006年迪庆县级财政报表附表 3" xfId="416"/>
    <cellStyle name="好_奖励补助测算7.23 4" xfId="417"/>
    <cellStyle name="好_地方配套按人均增幅控制8.30一般预算平均增幅、人均可用财力平均增幅两次控制、社会治安系数调整、案件数调整xl 7" xfId="418"/>
    <cellStyle name="Calculation 3" xfId="419"/>
    <cellStyle name="注释 2 2" xfId="420"/>
    <cellStyle name="40% - 强调文字颜色 5 6" xfId="421"/>
    <cellStyle name="标题 2 10" xfId="422"/>
    <cellStyle name="Bad 2" xfId="423"/>
    <cellStyle name="好_2007年检察院案件数 5" xfId="424"/>
    <cellStyle name="差_义务教育阶段教职工人数（教育厅提供最终） 4" xfId="425"/>
    <cellStyle name="差_财政供养人员 3" xfId="426"/>
    <cellStyle name="好_~4190974 5" xfId="427"/>
    <cellStyle name="Accent6 - 60% 9" xfId="428"/>
    <cellStyle name="差_2009年一般性转移支付标准工资_奖励补助测算5.24冯铸 4" xfId="429"/>
    <cellStyle name="好_奖励补助测算7.25 6" xfId="430"/>
    <cellStyle name="解释性文本 3 7" xfId="431"/>
    <cellStyle name="好_2009年一般性转移支付标准工资_~5676413 3" xfId="432"/>
    <cellStyle name="差_2009年一般性转移支付标准工资_奖励补助测算7.25 9" xfId="433"/>
    <cellStyle name="计算 4 2" xfId="434"/>
    <cellStyle name="好_三季度－表二 8" xfId="435"/>
    <cellStyle name="输出 3 7" xfId="436"/>
    <cellStyle name="60% - 强调文字颜色 1 5" xfId="437"/>
    <cellStyle name="40% - Accent5 2" xfId="438"/>
    <cellStyle name="20% - 强调文字颜色 3 7" xfId="439"/>
    <cellStyle name="20% - Accent3 6" xfId="440"/>
    <cellStyle name="差_2009年一般性转移支付标准工资_不用软件计算9.1不考虑经费管理评价xl 8" xfId="441"/>
    <cellStyle name="_0202" xfId="442"/>
    <cellStyle name="标题 1 9" xfId="443"/>
    <cellStyle name="好_2008云南省分县市中小学教职工统计表（教育厅提供） 3" xfId="444"/>
    <cellStyle name="计算 7 2" xfId="445"/>
    <cellStyle name="Accent1 - 60% 6" xfId="446"/>
    <cellStyle name="好_指标四 8" xfId="447"/>
    <cellStyle name="差_2、土地面积、人口、粮食产量基本情况 7" xfId="448"/>
    <cellStyle name="适中 4 2" xfId="449"/>
    <cellStyle name="百分比 4 9" xfId="450"/>
    <cellStyle name="Accent1 - 60% 3" xfId="451"/>
    <cellStyle name="标题 1 6" xfId="452"/>
    <cellStyle name="常规 17 2" xfId="453"/>
    <cellStyle name="百分比 4 6" xfId="454"/>
    <cellStyle name="好_指标四 5" xfId="455"/>
    <cellStyle name="差_2、土地面积、人口、粮食产量基本情况 4" xfId="456"/>
    <cellStyle name="20% - 强调文字颜色 6 10" xfId="457"/>
    <cellStyle name="强调文字颜色 5 4 2" xfId="458"/>
    <cellStyle name="好_指标四 6" xfId="459"/>
    <cellStyle name="差_2、土地面积、人口、粮食产量基本情况 5" xfId="460"/>
    <cellStyle name="常规 17 3" xfId="461"/>
    <cellStyle name="百分比 4 7" xfId="462"/>
    <cellStyle name="Accent1 - 60% 4" xfId="463"/>
    <cellStyle name="标题 1 7" xfId="464"/>
    <cellStyle name="差_奖励补助测算7.23 9" xfId="465"/>
    <cellStyle name="标题 2 4 2" xfId="466"/>
    <cellStyle name="40% - 强调文字颜色 3 3" xfId="467"/>
    <cellStyle name="60% - 强调文字颜色 6 3 5" xfId="468"/>
    <cellStyle name="千位分隔 4 9" xfId="469"/>
    <cellStyle name="60% - 强调文字颜色 5 6 2" xfId="470"/>
    <cellStyle name="输入 3 3" xfId="471"/>
    <cellStyle name="标题 2 3 5" xfId="472"/>
    <cellStyle name="常规 14" xfId="473"/>
    <cellStyle name="60% - Accent5 9" xfId="474"/>
    <cellStyle name="检查单元格 3" xfId="475"/>
    <cellStyle name="分级显示列_1_Book1" xfId="476"/>
    <cellStyle name="标题 3 3 2" xfId="477"/>
    <cellStyle name="Currency_!!!GO" xfId="478"/>
    <cellStyle name="Check Cell 3" xfId="479"/>
    <cellStyle name="差_M03 4" xfId="480"/>
    <cellStyle name="好_云南省2008年中小学教职工情况（教育厅提供20090101加工整理） 8" xfId="481"/>
    <cellStyle name="千位分隔 2 2 3" xfId="482"/>
    <cellStyle name="好_县级公安机关公用经费标准奖励测算方案（定稿） 8" xfId="483"/>
    <cellStyle name="好_奖励补助测算7.25 (version 1) (version 1) 3" xfId="484"/>
    <cellStyle name="好_1110洱源县 3" xfId="485"/>
    <cellStyle name="差_530629_2006年县级财政报表附表 4" xfId="486"/>
    <cellStyle name="40% - Accent3 6" xfId="487"/>
    <cellStyle name="好 8" xfId="488"/>
    <cellStyle name="差_2009年一般性转移支付标准工资_地方配套按人均增幅控制8.30一般预算平均增幅、人均可用财力平均增幅两次控制、社会治安系数调整、案件数调整xl 4" xfId="489"/>
    <cellStyle name="差 2" xfId="490"/>
    <cellStyle name="解释性文本 5" xfId="491"/>
    <cellStyle name="差_下半年禁吸戒毒经费1000万元 6" xfId="492"/>
    <cellStyle name="Warning Text 9" xfId="493"/>
    <cellStyle name="差_2007年检察院案件数 7" xfId="494"/>
    <cellStyle name="Accent3 7" xfId="495"/>
    <cellStyle name="Accent5 - 20% 7" xfId="496"/>
    <cellStyle name="输出 3 6" xfId="497"/>
    <cellStyle name="差_汇总 5" xfId="498"/>
    <cellStyle name="好_地方配套按人均增幅控制8.31（调整结案率后）xl 8" xfId="499"/>
    <cellStyle name="差_Book1 8" xfId="500"/>
    <cellStyle name="差_地方配套按人均增幅控制8.30xl 8" xfId="501"/>
    <cellStyle name="标题 3 6" xfId="502"/>
    <cellStyle name="好_奖励补助测算5.24冯铸 5" xfId="503"/>
    <cellStyle name="强调文字颜色 6 10" xfId="504"/>
    <cellStyle name="60% - Accent1 8" xfId="505"/>
    <cellStyle name="差_奖励补助测算5.23新 7" xfId="506"/>
    <cellStyle name="百分比 3 4" xfId="507"/>
    <cellStyle name="好_05玉溪 4" xfId="508"/>
    <cellStyle name="检查单元格 5 2" xfId="509"/>
    <cellStyle name="差_地方配套按人均增幅控制8.31（调整结案率后）xl 3" xfId="510"/>
    <cellStyle name="60% - 强调文字颜色 6 3" xfId="511"/>
    <cellStyle name="好_0605石屏县 2" xfId="512"/>
    <cellStyle name="好_1003牟定县 2" xfId="513"/>
    <cellStyle name="好_2009年一般性转移支付标准工资_不用软件计算9.1不考虑经费管理评价xl 8" xfId="514"/>
    <cellStyle name="20% - 强调文字颜色 5 4" xfId="515"/>
    <cellStyle name="20% - Accent5 3" xfId="516"/>
    <cellStyle name="Accent1 6" xfId="517"/>
    <cellStyle name="40% - 强调文字颜色 5 3 2" xfId="518"/>
    <cellStyle name="60% - 强调文字颜色 6 3 7" xfId="519"/>
    <cellStyle name="60% - 强调文字颜色 5 3" xfId="520"/>
    <cellStyle name="差_5334_2006年迪庆县级财政报表附表 2" xfId="521"/>
    <cellStyle name="好_1110洱源县 7" xfId="522"/>
    <cellStyle name="常规 6 4" xfId="523"/>
    <cellStyle name="强调文字颜色 1 3 5" xfId="524"/>
    <cellStyle name="好_Book1 2" xfId="525"/>
    <cellStyle name="20% - 强调文字颜色 1 5 2" xfId="526"/>
    <cellStyle name="差_2009年一般性转移支付标准工资_奖励补助测算7.25 8" xfId="527"/>
    <cellStyle name="标题 1 3 7" xfId="528"/>
    <cellStyle name="编号" xfId="529"/>
    <cellStyle name="未定义" xfId="530"/>
    <cellStyle name="40% - 强调文字颜色 4 5" xfId="531"/>
    <cellStyle name="Accent4 - 60% 2" xfId="532"/>
    <cellStyle name="好_基础数据分析 5" xfId="533"/>
    <cellStyle name="好_教育厅提供义务教育及高中教师人数（2009年1月6日） 4" xfId="534"/>
    <cellStyle name="Accent6 - 20% 2" xfId="535"/>
    <cellStyle name="计算 3 3" xfId="536"/>
    <cellStyle name="60% - 强调文字颜色 2 9 2" xfId="537"/>
    <cellStyle name="差_汇总 7" xfId="538"/>
    <cellStyle name="差_2009年一般性转移支付标准工资_奖励补助测算7.25 3" xfId="539"/>
    <cellStyle name="差 3 3" xfId="540"/>
    <cellStyle name="差_汇总 9" xfId="541"/>
    <cellStyle name="差_~4190974 6" xfId="542"/>
    <cellStyle name="Accent1 - 60% 8" xfId="543"/>
    <cellStyle name="差_奖励补助测算5.22测试 5" xfId="544"/>
    <cellStyle name="好_第一部分：综合全" xfId="545"/>
    <cellStyle name="标题 5" xfId="546"/>
    <cellStyle name="差_地方配套按人均增幅控制8.30一般预算平均增幅、人均可用财力平均增幅两次控制、社会治安系数调整、案件数调整xl 5" xfId="547"/>
    <cellStyle name="强调文字颜色 1 2" xfId="548"/>
    <cellStyle name="表标题 4" xfId="549"/>
    <cellStyle name="好_地方配套按人均增幅控制8.30一般预算平均增幅、人均可用财力平均增幅两次控制、社会治安系数调整、案件数调整xl 5" xfId="550"/>
    <cellStyle name="好_奖励补助测算7.23 2" xfId="551"/>
    <cellStyle name="差_云南农村义务教育统计表 4" xfId="552"/>
    <cellStyle name="40% - Accent3 8" xfId="553"/>
    <cellStyle name="60% - Accent5 4" xfId="554"/>
    <cellStyle name="检查单元格 9 2" xfId="555"/>
    <cellStyle name="常规 8 7" xfId="556"/>
    <cellStyle name="好_2009年一般性转移支付标准工资_地方配套按人均增幅控制8.30一般预算平均增幅、人均可用财力平均增幅两次控制、社会治安系数调整、案件数调整xl 2" xfId="557"/>
    <cellStyle name="千位分隔 3 8" xfId="558"/>
    <cellStyle name="好_2006年全省财力计算表（中央、决算） 6" xfId="559"/>
    <cellStyle name="好_2009年一般性转移支付标准工资_奖励补助测算7.25 7" xfId="560"/>
    <cellStyle name="标题 4 6" xfId="561"/>
    <cellStyle name="差_2007年政法部门业务指标 6" xfId="562"/>
    <cellStyle name="千位分隔 2 10" xfId="563"/>
    <cellStyle name="差_03昭通 2" xfId="564"/>
    <cellStyle name="Accent2 5" xfId="565"/>
    <cellStyle name="差_~4190974" xfId="566"/>
    <cellStyle name="好_Book2 8" xfId="567"/>
    <cellStyle name="常规 2 2 10" xfId="568"/>
    <cellStyle name="Accent2_公安安全支出补充表5.14" xfId="569"/>
    <cellStyle name="差_地方配套按人均增幅控制8.31（调整结案率后）xl 6" xfId="570"/>
    <cellStyle name="强调文字颜色 6 9" xfId="571"/>
    <cellStyle name="差_2006年水利统计指标统计表 7" xfId="572"/>
    <cellStyle name="常规 7 8" xfId="573"/>
    <cellStyle name="好_Book2 6" xfId="574"/>
    <cellStyle name="强调文字颜色 1 10" xfId="575"/>
    <cellStyle name="Accent2 3" xfId="576"/>
    <cellStyle name="60% - 强调文字颜色 1 2" xfId="577"/>
    <cellStyle name="好_云南农村义务教育统计表 6" xfId="578"/>
    <cellStyle name="常规 2 8 8" xfId="579"/>
    <cellStyle name="千位分隔[0] 2 6" xfId="580"/>
    <cellStyle name="40% - 强调文字颜色 4 5 2" xfId="581"/>
    <cellStyle name="差_2007年人员分部门统计表" xfId="582"/>
    <cellStyle name="标题 9 2" xfId="583"/>
    <cellStyle name="差_2009年一般性转移支付标准工资_地方配套按人均增幅控制8.30xl 8" xfId="584"/>
    <cellStyle name="常规 3 7" xfId="585"/>
    <cellStyle name="差_0502通海县 2" xfId="586"/>
    <cellStyle name="好_00省级(定稿) 7" xfId="587"/>
    <cellStyle name="常规 2 8 3" xfId="588"/>
    <cellStyle name="60% - 强调文字颜色 5 5 2" xfId="589"/>
    <cellStyle name="差_地方配套按人均增幅控制8.30一般预算平均增幅、人均可用财力平均增幅两次控制、社会治安系数调整、案件数调整xl 3" xfId="590"/>
    <cellStyle name="40% - Accent4 6" xfId="591"/>
    <cellStyle name="差_5334_2006年迪庆县级财政报表附表 5" xfId="592"/>
    <cellStyle name="60% - 强调文字颜色 5 6" xfId="593"/>
    <cellStyle name="好_三季度－表二 4" xfId="594"/>
    <cellStyle name="常规 2 7 6" xfId="595"/>
    <cellStyle name="百分比 9 2" xfId="596"/>
    <cellStyle name="常规 2 3 2" xfId="597"/>
    <cellStyle name="差_汇总 2" xfId="598"/>
    <cellStyle name="好_2009年一般性转移支付标准工资_奖励补助测算5.22测试 7" xfId="599"/>
    <cellStyle name="差_基础数据分析 3" xfId="600"/>
    <cellStyle name="好_2009年一般性转移支付标准工资_地方配套按人均增幅控制8.30一般预算平均增幅、人均可用财力平均增幅两次控制、社会治安系数调整、案件数调整xl 3" xfId="601"/>
    <cellStyle name="差_2007年可用财力" xfId="602"/>
    <cellStyle name="标题 4 4" xfId="603"/>
    <cellStyle name="差_2007年政法部门业务指标 4" xfId="604"/>
    <cellStyle name="差_云南农村义务教育统计表 8" xfId="605"/>
    <cellStyle name="常规 2 5 8" xfId="606"/>
    <cellStyle name="Linked Cell" xfId="607"/>
    <cellStyle name="归盒啦_95" xfId="608"/>
    <cellStyle name="好_汇总 5" xfId="609"/>
    <cellStyle name="好_2007年政法部门业务指标 3" xfId="610"/>
    <cellStyle name="标题 2 4" xfId="611"/>
    <cellStyle name="差_00省级(定稿) 2" xfId="612"/>
    <cellStyle name="常规 2 3 8" xfId="613"/>
    <cellStyle name="好_不用软件计算9.1不考虑经费管理评价xl 5" xfId="614"/>
    <cellStyle name="60% - 强调文字颜色 1 8" xfId="615"/>
    <cellStyle name="60% - 强调文字颜色 6 2" xfId="616"/>
    <cellStyle name="好_2007年人员分部门统计表" xfId="617"/>
    <cellStyle name="差_县级公安机关公用经费标准奖励测算方案（定稿） 3" xfId="618"/>
    <cellStyle name="差_2007年人员分部门统计表 7" xfId="619"/>
    <cellStyle name="60% - 强调文字颜色 6 3 6" xfId="620"/>
    <cellStyle name="注释 6 2" xfId="621"/>
    <cellStyle name="好_2006年全省财力计算表（中央、决算） 9" xfId="622"/>
    <cellStyle name="好_530623_2006年县级财政报表附表 4" xfId="623"/>
    <cellStyle name="好_2007年检察院案件数 7" xfId="624"/>
    <cellStyle name="Bad 4" xfId="625"/>
    <cellStyle name="差_义务教育阶段教职工人数（教育厅提供最终） 6" xfId="626"/>
    <cellStyle name="差_奖励补助测算5.24冯铸 3" xfId="627"/>
    <cellStyle name="好_~4190974 7" xfId="628"/>
    <cellStyle name="差_财政供养人员 5" xfId="629"/>
    <cellStyle name="差_2009年一般性转移支付标准工资_奖励补助测算5.24冯铸 6" xfId="630"/>
    <cellStyle name="好_奖励补助测算7.25 8" xfId="631"/>
    <cellStyle name="60% - 强调文字颜色 4 9 2" xfId="632"/>
    <cellStyle name="差_Book1_1 3" xfId="633"/>
    <cellStyle name="Accent6 - 40% 2" xfId="634"/>
    <cellStyle name="常规 8 6" xfId="635"/>
    <cellStyle name="差_丽江汇总" xfId="636"/>
    <cellStyle name="60% - 强调文字颜色 6 6 2" xfId="637"/>
    <cellStyle name="Explanatory Text 7" xfId="638"/>
    <cellStyle name="好_云南省2008年转移支付测算——州市本级考核部分及政策性测算 4" xfId="639"/>
    <cellStyle name="差_~4190974 2" xfId="640"/>
    <cellStyle name="差_2007年政法部门业务指标 7" xfId="641"/>
    <cellStyle name="好_2008年县级公安保障标准落实奖励经费分配测算" xfId="642"/>
    <cellStyle name="标题 4 7" xfId="643"/>
    <cellStyle name="差_2009年一般性转移支付标准工资_奖励补助测算7.25 2" xfId="644"/>
    <cellStyle name="差 10" xfId="645"/>
    <cellStyle name="好_下半年禁吸戒毒经费1000万元 8" xfId="646"/>
    <cellStyle name="标题 2 3 6" xfId="647"/>
    <cellStyle name="差_奖励补助测算7.25 (version 1) (version 1) 2" xfId="648"/>
    <cellStyle name="Check Cell" xfId="649"/>
    <cellStyle name="常规 20" xfId="650"/>
    <cellStyle name="常规 15" xfId="651"/>
    <cellStyle name="60% - 强调文字颜色 4 3 2" xfId="652"/>
    <cellStyle name="20% - 强调文字颜色 1 3 7" xfId="653"/>
    <cellStyle name="Accent5 - 60% 9" xfId="654"/>
    <cellStyle name="差_2008云南省分县市中小学教职工统计表（教育厅提供） 5" xfId="655"/>
    <cellStyle name="差_2008云南省分县市中小学教职工统计表（教育厅提供） 6" xfId="656"/>
    <cellStyle name="好_义务教育阶段教职工人数（教育厅提供最终） 4" xfId="657"/>
    <cellStyle name="好_财政支出对上级的依赖程度" xfId="658"/>
    <cellStyle name="Check Cell 2" xfId="659"/>
    <cellStyle name="差_第五部分(才淼、饶永宏） 9" xfId="660"/>
    <cellStyle name="常规 15 2" xfId="661"/>
    <cellStyle name="百分比 2 6" xfId="662"/>
    <cellStyle name="差_2009年一般性转移支付标准工资_~4190974 2" xfId="663"/>
    <cellStyle name="20% - 强调文字颜色 4 8 2" xfId="664"/>
    <cellStyle name="链接单元格 9 2" xfId="665"/>
    <cellStyle name="千位分隔 4 8" xfId="666"/>
    <cellStyle name="千位[0]_ 方正PC" xfId="667"/>
    <cellStyle name="60% - 强调文字颜色 6 3 4" xfId="668"/>
    <cellStyle name="好_2009年一般性转移支付标准工资_奖励补助测算5.24冯铸 2" xfId="669"/>
    <cellStyle name="好_2009年一般性转移支付标准工资_奖励补助测算7.25 (version 1) (version 1)" xfId="670"/>
    <cellStyle name="差_2009年一般性转移支付标准工资_奖励补助测算5.22测试 2" xfId="671"/>
    <cellStyle name="Accent3 9" xfId="672"/>
    <cellStyle name="差_2007年检察院案件数 9" xfId="673"/>
    <cellStyle name="解释性文本 7" xfId="674"/>
    <cellStyle name="差_下半年禁吸戒毒经费1000万元 8" xfId="675"/>
    <cellStyle name="差 4" xfId="676"/>
    <cellStyle name="差_2009年一般性转移支付标准工资_地方配套按人均增幅控制8.30一般预算平均增幅、人均可用财力平均增幅两次控制、社会治安系数调整、案件数调整xl 6" xfId="677"/>
    <cellStyle name="适中 3 5" xfId="678"/>
    <cellStyle name="好_地方配套按人均增幅控制8.31（调整结案率后）xl" xfId="679"/>
    <cellStyle name="差_Book1" xfId="680"/>
    <cellStyle name="好_业务工作量指标 4" xfId="681"/>
    <cellStyle name="Neutral 2" xfId="682"/>
    <cellStyle name="千位分隔 4 4" xfId="683"/>
    <cellStyle name="标题 4 3 4" xfId="684"/>
    <cellStyle name="差_0502通海县 6" xfId="685"/>
    <cellStyle name="常规 6 7" xfId="686"/>
    <cellStyle name="好_三季度－表二 9" xfId="687"/>
    <cellStyle name="20% - Accent3 7" xfId="688"/>
    <cellStyle name="20% - 强调文字颜色 3 8" xfId="689"/>
    <cellStyle name="差_2009年一般性转移支付标准工资_不用软件计算9.1不考虑经费管理评价xl 9" xfId="690"/>
    <cellStyle name="40% - Accent5 3" xfId="691"/>
    <cellStyle name="好_Book2 9" xfId="692"/>
    <cellStyle name="好_05玉溪 2" xfId="693"/>
    <cellStyle name="差_云南省2008年中小学教职工情况（教育厅提供20090101加工整理）" xfId="694"/>
    <cellStyle name="好_指标五" xfId="695"/>
    <cellStyle name="标题 4 8" xfId="696"/>
    <cellStyle name="差_基础数据分析 2" xfId="697"/>
    <cellStyle name="好_2009年一般性转移支付标准工资_奖励补助测算5.22测试 6" xfId="698"/>
    <cellStyle name="60% - 强调文字颜色 4 3" xfId="699"/>
    <cellStyle name="好_2009年一般性转移支付标准工资_地方配套按人均增幅控制8.30一般预算平均增幅、人均可用财力平均增幅两次控制、社会治安系数调整、案件数调整xl 5" xfId="700"/>
    <cellStyle name="差_奖励补助测算7.25 (version 1) (version 1)" xfId="701"/>
    <cellStyle name="强调文字颜色 5 10" xfId="702"/>
    <cellStyle name="好_2009年一般性转移支付标准工资_奖励补助测算7.25 (version 1) (version 1) 9" xfId="703"/>
    <cellStyle name="差_05玉溪" xfId="704"/>
    <cellStyle name="好_2006年基础数据 5" xfId="705"/>
    <cellStyle name="Heading 4 3" xfId="706"/>
    <cellStyle name="强调文字颜色 3 9 2" xfId="707"/>
    <cellStyle name="差_2009年一般性转移支付标准工资_地方配套按人均增幅控制8.31（调整结案率后）xl 8" xfId="708"/>
    <cellStyle name="好_卫生部门 9" xfId="709"/>
    <cellStyle name="差_2009年一般性转移支付标准工资_奖励补助测算5.24冯铸" xfId="710"/>
    <cellStyle name="差_2009年一般性转移支付标准工资_奖励补助测算7.25 (version 1) (version 1) 8" xfId="711"/>
    <cellStyle name="差_2009年一般性转移支付标准工资_奖励补助测算7.25 7" xfId="712"/>
    <cellStyle name="Percent_!!!GO" xfId="713"/>
    <cellStyle name="差_指标四 7" xfId="714"/>
    <cellStyle name="差_卫生部门 2" xfId="715"/>
    <cellStyle name="20% - 强调文字颜色 2 6" xfId="716"/>
    <cellStyle name="20% - Accent2 5" xfId="717"/>
    <cellStyle name="差_530629_2006年县级财政报表附表" xfId="718"/>
    <cellStyle name="常规 2 16" xfId="719"/>
    <cellStyle name="强调文字颜色 3 9" xfId="720"/>
    <cellStyle name="好_1110洱源县 2" xfId="721"/>
    <cellStyle name="好_奖励补助测算7.25 (version 1) (version 1) 2" xfId="722"/>
    <cellStyle name="Heading 2 6" xfId="723"/>
    <cellStyle name="好 3 2" xfId="724"/>
    <cellStyle name="常规 2 3 5" xfId="725"/>
    <cellStyle name="检查单元格 4 2" xfId="726"/>
    <cellStyle name="好_基础数据分析 4" xfId="727"/>
    <cellStyle name="好_2009年一般性转移支付标准工资_~5676413 2" xfId="728"/>
    <cellStyle name="差 7 2" xfId="729"/>
    <cellStyle name="好_奖励补助测算5.22测试 9" xfId="730"/>
    <cellStyle name="Grey" xfId="731"/>
    <cellStyle name="差_2009年一般性转移支付标准工资 8" xfId="732"/>
    <cellStyle name="Accent1 9" xfId="733"/>
    <cellStyle name="好_奖励补助测算5.22测试" xfId="734"/>
    <cellStyle name="40% - Accent2 8" xfId="735"/>
    <cellStyle name="差_奖励补助测算7.25 2" xfId="736"/>
    <cellStyle name="60% - Accent4 4" xfId="737"/>
    <cellStyle name="差_不用软件计算9.1不考虑经费管理评价xl" xfId="738"/>
    <cellStyle name="差_汇总-县级财政报表附表 2" xfId="739"/>
    <cellStyle name="解释性文本 3 4" xfId="740"/>
    <cellStyle name="Accent2 - 40% 9" xfId="741"/>
    <cellStyle name="解释性文本 3 3" xfId="742"/>
    <cellStyle name="40% - 强调文字颜色 4 9" xfId="743"/>
    <cellStyle name="RowLevel_0" xfId="744"/>
    <cellStyle name="标题 3 3 6" xfId="745"/>
    <cellStyle name="差_2008年县级公安保障标准落实奖励经费分配测算" xfId="746"/>
    <cellStyle name="60% - 强调文字颜色 5 3 2" xfId="747"/>
    <cellStyle name="好_2009年一般性转移支付标准工资_奖励补助测算5.23新 5" xfId="748"/>
    <cellStyle name="注释 3 2" xfId="749"/>
    <cellStyle name="40% - 强调文字颜色 6 6" xfId="750"/>
    <cellStyle name="好 3 7" xfId="751"/>
    <cellStyle name="好_530629_2006年县级财政报表附表 3" xfId="752"/>
    <cellStyle name="40% - 强调文字颜色 1 5" xfId="753"/>
    <cellStyle name="差_00省级(打印)" xfId="754"/>
    <cellStyle name="好_教育厅提供义务教育及高中教师人数（2009年1月6日） 7" xfId="755"/>
    <cellStyle name="Accent6 - 20% 5" xfId="756"/>
    <cellStyle name="适中 3 2" xfId="757"/>
    <cellStyle name="百分比 3 9" xfId="758"/>
    <cellStyle name="Currency1" xfId="759"/>
    <cellStyle name="计算 6 2" xfId="760"/>
    <cellStyle name="60% - 强调文字颜色 6 10" xfId="761"/>
    <cellStyle name="常规 13" xfId="762"/>
    <cellStyle name="好_05玉溪 3" xfId="763"/>
    <cellStyle name="差_基础数据分析 5" xfId="764"/>
    <cellStyle name="好_2009年一般性转移支付标准工资_奖励补助测算5.22测试 9" xfId="765"/>
    <cellStyle name="差_地方配套按人均增幅控制8.30xl 3" xfId="766"/>
    <cellStyle name="表标题 5" xfId="767"/>
    <cellStyle name="好_5334_2006年迪庆县级财政报表附表 2" xfId="768"/>
    <cellStyle name="好_地方配套按人均增幅控制8.30一般预算平均增幅、人均可用财力平均增幅两次控制、社会治安系数调整、案件数调整xl 6" xfId="769"/>
    <cellStyle name="好_奖励补助测算7.23 3" xfId="770"/>
    <cellStyle name="好_2006年水利统计指标统计表" xfId="771"/>
    <cellStyle name="好_奖励补助测算5.24冯铸" xfId="772"/>
    <cellStyle name="40% - Accent3 7" xfId="773"/>
    <cellStyle name="差_530629_2006年县级财政报表附表 5" xfId="774"/>
    <cellStyle name="好 9" xfId="775"/>
    <cellStyle name="差_Book1_1 5" xfId="776"/>
    <cellStyle name="Title" xfId="777"/>
    <cellStyle name="常规 3 3 4" xfId="778"/>
    <cellStyle name="Accent6 - 40% 4" xfId="779"/>
    <cellStyle name="好_2006年基础数据 6" xfId="780"/>
    <cellStyle name="检查单元格 7 2" xfId="781"/>
    <cellStyle name="霓付_ +Foil &amp; -FOIL &amp; PAPER" xfId="782"/>
    <cellStyle name="好_2009年一般性转移支付标准工资" xfId="783"/>
    <cellStyle name="好_2006年水利统计指标统计表 8" xfId="784"/>
    <cellStyle name="后继超链接 6" xfId="785"/>
    <cellStyle name="适中 6 2" xfId="786"/>
    <cellStyle name="好_2007年检察院案件数 3" xfId="787"/>
    <cellStyle name="差_义务教育阶段教职工人数（教育厅提供最终） 2" xfId="788"/>
    <cellStyle name="好_~4190974 3" xfId="789"/>
    <cellStyle name="Accent3 - 20% 2" xfId="790"/>
    <cellStyle name="差_地方配套按人均增幅控制8.30xl 9" xfId="791"/>
    <cellStyle name="好_奖励补助测算5.24冯铸 6" xfId="792"/>
    <cellStyle name="标题 3 7" xfId="793"/>
    <cellStyle name="差_地方配套按人均增幅控制8.31（调整结案率后）xl 7" xfId="794"/>
    <cellStyle name="差_2009年一般性转移支付标准工资_~4190974 3" xfId="795"/>
    <cellStyle name="常规 8 9" xfId="796"/>
    <cellStyle name="差_第五部分(才淼、饶永宏） 5" xfId="797"/>
    <cellStyle name="好_基础数据分析 6" xfId="798"/>
    <cellStyle name="好_M03 7" xfId="799"/>
    <cellStyle name="好_教育厅提供义务教育及高中教师人数（2009年1月6日） 9" xfId="800"/>
    <cellStyle name="Accent6 - 20% 7" xfId="801"/>
    <cellStyle name="Accent3 - 40%" xfId="802"/>
    <cellStyle name="好 3" xfId="803"/>
    <cellStyle name="Accent5" xfId="804"/>
    <cellStyle name="好_2009年一般性转移支付标准工资_奖励补助测算5.22测试 4" xfId="805"/>
    <cellStyle name="好_2009年一般性转移支付标准工资_~5676413" xfId="806"/>
    <cellStyle name="好_2009年一般性转移支付标准工资_奖励补助测算7.25 (version 1) (version 1) 3" xfId="807"/>
    <cellStyle name="40% - 强调文字颜色 1 7" xfId="808"/>
    <cellStyle name="差_地方配套按人均增幅控制8.31（调整结案率后）xl 9" xfId="809"/>
    <cellStyle name="输入 3 6" xfId="810"/>
    <cellStyle name="好_530629_2006年县级财政报表附表 9" xfId="811"/>
    <cellStyle name="常规 2 7" xfId="812"/>
    <cellStyle name="标题 8 2" xfId="813"/>
    <cellStyle name="好_2009年一般性转移支付标准工资_奖励补助测算7.25 3" xfId="814"/>
    <cellStyle name="差_1003牟定县 7" xfId="815"/>
    <cellStyle name="好_M03" xfId="816"/>
    <cellStyle name="强调文字颜色 4 5 2" xfId="817"/>
    <cellStyle name="差_2009年一般性转移支付标准工资_奖励补助测算5.24冯铸 5" xfId="818"/>
    <cellStyle name="Note" xfId="819"/>
    <cellStyle name="好_奖励补助测算7.25 7" xfId="820"/>
    <cellStyle name="常规 7 9" xfId="821"/>
    <cellStyle name="链接单元格 3 2" xfId="822"/>
    <cellStyle name="差_奖励补助测算5.24冯铸" xfId="823"/>
    <cellStyle name="差_530629_2006年县级财政报表附表 9" xfId="824"/>
    <cellStyle name="好_汇总 4" xfId="825"/>
    <cellStyle name="60% - Accent5 7" xfId="826"/>
    <cellStyle name="常规_202247145845218" xfId="827"/>
    <cellStyle name="百分比 3 3" xfId="828"/>
    <cellStyle name="好_2009年一般性转移支付标准工资_不用软件计算9.1不考虑经费管理评价xl 7" xfId="829"/>
    <cellStyle name="千位分隔 2 9" xfId="830"/>
    <cellStyle name="差_检验表（调整后）" xfId="831"/>
    <cellStyle name="差_财政供养人员 9" xfId="832"/>
    <cellStyle name="差_奖励补助测算5.24冯铸 7" xfId="833"/>
    <cellStyle name="Bad 8" xfId="834"/>
    <cellStyle name="强调文字颜色 1 3 7" xfId="835"/>
    <cellStyle name="标题 3 3" xfId="836"/>
    <cellStyle name="好_奖励补助测算5.24冯铸 2" xfId="837"/>
    <cellStyle name="百分比 2 3" xfId="838"/>
    <cellStyle name="差_第五部分(才淼、饶永宏） 6" xfId="839"/>
    <cellStyle name="常规 4 4" xfId="840"/>
    <cellStyle name="差_奖励补助测算7.23" xfId="841"/>
    <cellStyle name="好_云南省2008年转移支付测算——州市本级考核部分及政策性测算 7" xfId="842"/>
    <cellStyle name="好_11大理 6" xfId="843"/>
    <cellStyle name="Accent3 - 60% 4" xfId="844"/>
    <cellStyle name="好_2009年一般性转移支付标准工资_~4190974 4" xfId="845"/>
    <cellStyle name="好_地方配套按人均增幅控制8.30xl 9" xfId="846"/>
    <cellStyle name="差_财政供养人员" xfId="847"/>
    <cellStyle name="常规 11" xfId="848"/>
    <cellStyle name="数字" xfId="849"/>
    <cellStyle name="好_2009年一般性转移支付标准工资_奖励补助测算7.23 5" xfId="850"/>
    <cellStyle name="Accent5 - 60%" xfId="851"/>
    <cellStyle name="好 4 2" xfId="852"/>
    <cellStyle name="常规 12" xfId="853"/>
    <cellStyle name="差_2009年一般性转移支付标准工资_地方配套按人均增幅控制8.30xl 4" xfId="854"/>
    <cellStyle name="常规 3 3" xfId="855"/>
    <cellStyle name="好_卫生部门 2" xfId="856"/>
    <cellStyle name="差_00省级(定稿) 9" xfId="857"/>
    <cellStyle name="好_05玉溪 6" xfId="858"/>
    <cellStyle name="好_2007年人员分部门统计表 2" xfId="859"/>
    <cellStyle name="好_2009年一般性转移支付标准工资_地方配套按人均增幅控制8.30xl 3" xfId="860"/>
    <cellStyle name="Normal_!!!GO" xfId="861"/>
    <cellStyle name="好_历年教师人数" xfId="862"/>
    <cellStyle name="强调文字颜色 5 7" xfId="863"/>
    <cellStyle name="好_1110洱源县 4" xfId="864"/>
    <cellStyle name="好_奖励补助测算7.25 (version 1) (version 1) 4" xfId="865"/>
    <cellStyle name="强调文字颜色 3 7" xfId="866"/>
    <cellStyle name="常规 2 14" xfId="867"/>
    <cellStyle name="千位分隔 3 5" xfId="868"/>
    <cellStyle name="40% - 强调文字颜色 1 2" xfId="869"/>
    <cellStyle name="差_指标四" xfId="870"/>
    <cellStyle name="差_2009年一般性转移支付标准工资_奖励补助测算7.25 (version 1) (version 1) 9" xfId="871"/>
    <cellStyle name="标题 7 2" xfId="872"/>
    <cellStyle name="Output 3" xfId="873"/>
    <cellStyle name="计算 7" xfId="874"/>
    <cellStyle name="60% - 强调文字颜色 4 8 2" xfId="875"/>
    <cellStyle name="强调文字颜色 3 8" xfId="876"/>
    <cellStyle name="常规 2 15" xfId="877"/>
    <cellStyle name="好_2007年检察院案件数" xfId="878"/>
    <cellStyle name="好_~4190974" xfId="879"/>
    <cellStyle name="常规 4 2" xfId="880"/>
    <cellStyle name="差_2006年全省财力计算表（中央、决算） 8" xfId="881"/>
    <cellStyle name="差_义务教育阶段教职工人数（教育厅提供最终） 8" xfId="882"/>
    <cellStyle name="好_2007年检察院案件数 9" xfId="883"/>
    <cellStyle name="Bad 6" xfId="884"/>
    <cellStyle name="差_奖励补助测算5.24冯铸 5" xfId="885"/>
    <cellStyle name="差_财政供养人员 7" xfId="886"/>
    <cellStyle name="好_~4190974 9" xfId="887"/>
    <cellStyle name="好_奖励补助测算5.23新 3" xfId="888"/>
    <cellStyle name="差_2009年一般性转移支付标准工资_地方配套按人均增幅控制8.31（调整结案率后）xl 6" xfId="889"/>
    <cellStyle name="好_卫生部门 7" xfId="890"/>
    <cellStyle name="常规 8" xfId="891"/>
    <cellStyle name="好_第五部分(才淼、饶永宏） 2" xfId="892"/>
    <cellStyle name="输出 8" xfId="893"/>
    <cellStyle name="Warning Text 2" xfId="894"/>
    <cellStyle name="标题 1 10" xfId="895"/>
    <cellStyle name="Accent6 - 40% 9" xfId="896"/>
    <cellStyle name="常规 7" xfId="897"/>
    <cellStyle name="好_1003牟定县 5" xfId="898"/>
    <cellStyle name="Accent5 - 40% 4" xfId="899"/>
    <cellStyle name="警告文本 4 2" xfId="900"/>
    <cellStyle name="标题 1 3 4" xfId="901"/>
    <cellStyle name="差_00省级(定稿)" xfId="902"/>
    <cellStyle name="Accent2 2" xfId="903"/>
    <cellStyle name="差_2009年一般性转移支付标准工资_奖励补助测算7.25 (version 1) (version 1) 5" xfId="904"/>
    <cellStyle name="好_Book2 7" xfId="905"/>
    <cellStyle name="好_M03 9" xfId="906"/>
    <cellStyle name="好 5" xfId="907"/>
    <cellStyle name="40% - Accent4 5" xfId="908"/>
    <cellStyle name="差_地方配套按人均增幅控制8.30一般预算平均增幅、人均可用财力平均增幅两次控制、社会治安系数调整、案件数调整xl 2" xfId="909"/>
    <cellStyle name="注释 3 6" xfId="910"/>
    <cellStyle name="好_2009年一般性转移支付标准工资_奖励补助测算5.23新 9" xfId="911"/>
    <cellStyle name="千位分隔[0] 2 7" xfId="912"/>
    <cellStyle name="常规 2 8 9" xfId="913"/>
    <cellStyle name="好_云南省2008年中小学教职工情况（教育厅提供20090101加工整理） 2" xfId="914"/>
    <cellStyle name="Output 6" xfId="915"/>
    <cellStyle name="好_县级公安机关公用经费标准奖励测算方案（定稿） 2" xfId="916"/>
    <cellStyle name="标题 11 2" xfId="917"/>
    <cellStyle name="千位分隔 2 2 2" xfId="918"/>
    <cellStyle name="差_M03 3" xfId="919"/>
    <cellStyle name="好_云南省2008年中小学教职工情况（教育厅提供20090101加工整理） 7" xfId="920"/>
    <cellStyle name="好_指标四" xfId="921"/>
    <cellStyle name="40% - 强调文字颜色 1 7 2" xfId="922"/>
    <cellStyle name="强调文字颜色 3 3 7" xfId="923"/>
    <cellStyle name="常规 5 4" xfId="924"/>
    <cellStyle name="常规 2 5 9" xfId="925"/>
    <cellStyle name="差_2007年政法部门业务指标 5" xfId="926"/>
    <cellStyle name="差_云南农村义务教育统计表 9" xfId="927"/>
    <cellStyle name="标题 4 5" xfId="928"/>
    <cellStyle name="20% - 强调文字颜色 3 3 5" xfId="929"/>
    <cellStyle name="_Book1_2" xfId="930"/>
    <cellStyle name="好_云南农村义务教育统计表 2" xfId="931"/>
    <cellStyle name="好_Book1_1 5" xfId="932"/>
    <cellStyle name="40% - Accent2 7" xfId="933"/>
    <cellStyle name="60% - 强调文字颜色 3 6" xfId="934"/>
    <cellStyle name="好_530629_2006年县级财政报表附表 2" xfId="935"/>
    <cellStyle name="好_0605石屏县 3" xfId="936"/>
    <cellStyle name="输入 3 4" xfId="937"/>
    <cellStyle name="差_云南农村义务教育统计表" xfId="938"/>
    <cellStyle name="常规 2 5" xfId="939"/>
    <cellStyle name="好_530629_2006年县级财政报表附表 7" xfId="940"/>
    <cellStyle name="好_2009年一般性转移支付标准工资_地方配套按人均增幅控制8.30xl" xfId="941"/>
    <cellStyle name="好_卫生部门 3" xfId="942"/>
    <cellStyle name="差_2009年一般性转移支付标准工资_地方配套按人均增幅控制8.31（调整结案率后）xl 2" xfId="943"/>
    <cellStyle name="好_第五部分(才淼、饶永宏）" xfId="944"/>
    <cellStyle name="常规 5 10" xfId="945"/>
    <cellStyle name="好_2008云南省分县市中小学教职工统计表（教育厅提供） 8" xfId="946"/>
    <cellStyle name="好_00省级(定稿)" xfId="947"/>
    <cellStyle name="千位分隔 2 2 6" xfId="948"/>
    <cellStyle name="寘嬫愗傝_Region Orders (2)" xfId="949"/>
    <cellStyle name="输出 5 2" xfId="950"/>
    <cellStyle name="强调文字颜色 4 9 2" xfId="951"/>
    <cellStyle name="好_奖励补助测算5.23新 7" xfId="952"/>
    <cellStyle name="差_三季度－表二 2" xfId="953"/>
    <cellStyle name="差_2006年基础数据 7" xfId="954"/>
    <cellStyle name="Accent1 - 40% 7" xfId="955"/>
    <cellStyle name="好_00省级(打印) 4" xfId="956"/>
    <cellStyle name="常规 2 13" xfId="957"/>
    <cellStyle name="强调文字颜色 3 6" xfId="958"/>
    <cellStyle name="差_2006年基础数据 3" xfId="959"/>
    <cellStyle name="Accent1 - 40% 3" xfId="960"/>
    <cellStyle name="60% - 强调文字颜色 4 2" xfId="961"/>
    <cellStyle name="好_2009年一般性转移支付标准工资_地方配套按人均增幅控制8.30一般预算平均增幅、人均可用财力平均增幅两次控制、社会治安系数调整、案件数调整xl 4" xfId="962"/>
    <cellStyle name="好_云南省2008年转移支付测算——州市本级考核部分及政策性测算 9" xfId="963"/>
    <cellStyle name="差_奖励补助测算7.25" xfId="964"/>
    <cellStyle name="差_~4190974 7" xfId="965"/>
    <cellStyle name="Millares_96 Risk" xfId="966"/>
    <cellStyle name="常规 2 2 2 2" xfId="967"/>
    <cellStyle name="千位分隔 3 4" xfId="968"/>
    <cellStyle name="40% - 强调文字颜色 1 6" xfId="969"/>
    <cellStyle name="好_2009年一般性转移支付标准工资_奖励补助测算7.25 (version 1) (version 1) 2" xfId="970"/>
    <cellStyle name="警告文本 9" xfId="971"/>
    <cellStyle name="标题1" xfId="972"/>
    <cellStyle name="好_00省级(打印)" xfId="973"/>
    <cellStyle name="差_不用软件计算9.1不考虑经费管理评价xl 2" xfId="974"/>
    <cellStyle name="差_05玉溪 7" xfId="975"/>
    <cellStyle name="60% - 强调文字颜色 4 5 2" xfId="976"/>
    <cellStyle name="好_2006年全省财力计算表（中央、决算） 7" xfId="977"/>
    <cellStyle name="好_530623_2006年县级财政报表附表 2" xfId="978"/>
    <cellStyle name="好_2008云南省分县市中小学教职工统计表（教育厅提供） 6" xfId="979"/>
    <cellStyle name="差_~4190974 4" xfId="980"/>
    <cellStyle name="汇总 9 2" xfId="981"/>
    <cellStyle name="Explanatory Text 9" xfId="982"/>
    <cellStyle name="好_云南省2008年转移支付测算——州市本级考核部分及政策性测算 6" xfId="983"/>
    <cellStyle name="常规 2 6 6" xfId="984"/>
    <cellStyle name="百分比 8 2" xfId="985"/>
    <cellStyle name="标题 5 2" xfId="986"/>
    <cellStyle name="差_2009年一般性转移支付标准工资_地方配套按人均增幅控制8.30一般预算平均增幅、人均可用财力平均增幅两次控制、社会治安系数调整、案件数调整xl 7" xfId="987"/>
    <cellStyle name="差_2009年一般性转移支付标准工资_奖励补助测算5.22测试 3" xfId="988"/>
    <cellStyle name="差_下半年禁吸戒毒经费1000万元 9" xfId="989"/>
    <cellStyle name="差 5" xfId="990"/>
    <cellStyle name="解释性文本 8" xfId="991"/>
    <cellStyle name="链接单元格 3 3" xfId="992"/>
    <cellStyle name="好_下半年禁吸戒毒经费1000万元 3" xfId="993"/>
    <cellStyle name="强调文字颜色 2 5" xfId="994"/>
    <cellStyle name="汇总 4 2" xfId="995"/>
    <cellStyle name="计算 8" xfId="996"/>
    <cellStyle name="常规 5_Book1" xfId="997"/>
    <cellStyle name="千位_ 方正PC" xfId="998"/>
    <cellStyle name="常规_2010年2月投资月报" xfId="999"/>
    <cellStyle name="好_Book1 6" xfId="1000"/>
    <cellStyle name="Accent1 3" xfId="1001"/>
    <cellStyle name="好_1003牟定县 4" xfId="1002"/>
    <cellStyle name="Accent5 - 40% 3" xfId="1003"/>
    <cellStyle name="强调文字颜色 2 4" xfId="1004"/>
    <cellStyle name="好_下半年禁吸戒毒经费1000万元 2" xfId="1005"/>
    <cellStyle name="60% - Accent3 7" xfId="1006"/>
    <cellStyle name="20% - 强调文字颜色 4 10" xfId="1007"/>
    <cellStyle name="差_汇总-县级财政报表附表 8" xfId="1008"/>
    <cellStyle name="差_云南省2008年转移支付测算——州市本级考核部分及政策性测算 6" xfId="1009"/>
    <cellStyle name="Title 8" xfId="1010"/>
    <cellStyle name="好_M01-2(州市补助收入) 3" xfId="1011"/>
    <cellStyle name="汇总 6 2" xfId="1012"/>
    <cellStyle name="常规 12 2" xfId="1013"/>
    <cellStyle name="差_2009年一般性转移支付标准工资_奖励补助测算7.23 6" xfId="1014"/>
    <cellStyle name="40% - 强调文字颜色 5 10" xfId="1015"/>
    <cellStyle name="适中 3 3" xfId="1016"/>
    <cellStyle name="40% - 强调文字颜色 6 3 3" xfId="1017"/>
    <cellStyle name="差_2009年一般性转移支付标准工资_奖励补助测算7.23" xfId="1018"/>
    <cellStyle name="差_2009年一般性转移支付标准工资_~4190974 5" xfId="1019"/>
    <cellStyle name="好_2009年一般性转移支付标准工资_奖励补助测算5.22测试 5" xfId="1020"/>
    <cellStyle name="Accent6" xfId="1021"/>
    <cellStyle name="好_奖励补助测算5.23新 4" xfId="1022"/>
    <cellStyle name="强调文字颜色 4 7" xfId="1023"/>
    <cellStyle name="差_00省级(打印) 3" xfId="1024"/>
    <cellStyle name="好_M01-2(州市补助收入) 5" xfId="1025"/>
    <cellStyle name="差_云南省2008年转移支付测算——州市本级考核部分及政策性测算 8" xfId="1026"/>
    <cellStyle name="好_2006年水利统计指标统计表 3" xfId="1027"/>
    <cellStyle name="常规 2 4 8" xfId="1028"/>
    <cellStyle name="好_奖励补助测算5.24冯铸 3" xfId="1029"/>
    <cellStyle name="标题 3 4" xfId="1030"/>
    <cellStyle name="差_地方配套按人均增幅控制8.30xl 6" xfId="1031"/>
    <cellStyle name="差_基础数据分析 8" xfId="1032"/>
    <cellStyle name="好_奖励补助测算7.25 5" xfId="1033"/>
    <cellStyle name="差_2009年一般性转移支付标准工资_奖励补助测算5.24冯铸 3" xfId="1034"/>
    <cellStyle name="Accent6 - 60% 8" xfId="1035"/>
    <cellStyle name="差_奖励补助测算5.22测试 6" xfId="1036"/>
    <cellStyle name="标题 6" xfId="1037"/>
    <cellStyle name="输出 3 5" xfId="1038"/>
    <cellStyle name="强调文字颜色 4 7 2" xfId="1039"/>
    <cellStyle name="检查单元格 10" xfId="1040"/>
    <cellStyle name="差_高中教师人数（教育厅1.6日提供） 7" xfId="1041"/>
    <cellStyle name="Check Cell 4" xfId="1042"/>
    <cellStyle name="百分比 2 8" xfId="1043"/>
    <cellStyle name="好_M01-2(州市补助收入) 8" xfId="1044"/>
    <cellStyle name="差_00省级(打印) 6" xfId="1045"/>
    <cellStyle name="千位分隔 3 2" xfId="1046"/>
    <cellStyle name="差_03昭通 7" xfId="1047"/>
    <cellStyle name="Accent6 - 60% 7" xfId="1048"/>
    <cellStyle name="差_2009年一般性转移支付标准工资_奖励补助测算5.24冯铸 2" xfId="1049"/>
    <cellStyle name="好_奖励补助测算7.25 4" xfId="1050"/>
    <cellStyle name="差_县级公安机关公用经费标准奖励测算方案（定稿） 5" xfId="1051"/>
    <cellStyle name="常规 2 4 2" xfId="1052"/>
    <cellStyle name="好_不用软件计算9.1不考虑经费管理评价xl" xfId="1053"/>
    <cellStyle name="好_2008云南省分县市中小学教职工统计表（教育厅提供） 7" xfId="1054"/>
    <cellStyle name="差_2007年人员分部门统计表 4" xfId="1055"/>
    <cellStyle name="差_奖励补助测算7.23 7" xfId="1056"/>
    <cellStyle name="60% - Accent2 9" xfId="1057"/>
    <cellStyle name="差_1110洱源县 3" xfId="1058"/>
    <cellStyle name="60% - 强调文字颜色 6 8" xfId="1059"/>
    <cellStyle name="差_县级公安机关公用经费标准奖励测算方案（定稿） 9" xfId="1060"/>
    <cellStyle name="常规 5 2" xfId="1061"/>
    <cellStyle name="Accent5 - 20% 8" xfId="1062"/>
    <cellStyle name="好_2009年一般性转移支付标准工资_地方配套按人均增幅控制8.30xl 5" xfId="1063"/>
    <cellStyle name="差_下半年禁吸戒毒经费1000万元 5" xfId="1064"/>
    <cellStyle name="解释性文本 4" xfId="1065"/>
    <cellStyle name="Warning Text 8" xfId="1066"/>
    <cellStyle name="Accent3 6" xfId="1067"/>
    <cellStyle name="差_2007年检察院案件数 6" xfId="1068"/>
    <cellStyle name="Moneda_96 Risk" xfId="1069"/>
    <cellStyle name="差_2009年一般性转移支付标准工资_地方配套按人均增幅控制8.30一般预算平均增幅、人均可用财力平均增幅两次控制、社会治安系数调整、案件数调整xl 3" xfId="1070"/>
    <cellStyle name="差 3 2" xfId="1071"/>
    <cellStyle name="差_汇总 8" xfId="1072"/>
    <cellStyle name="解释性文本 6 2" xfId="1073"/>
    <cellStyle name="好_2008云南省分县市中小学教职工统计表（教育厅提供） 9" xfId="1074"/>
    <cellStyle name="40% - 强调文字颜色 2 6" xfId="1075"/>
    <cellStyle name="差_530623_2006年县级财政报表附表 9" xfId="1076"/>
    <cellStyle name="好_11大理 5" xfId="1077"/>
    <cellStyle name="标题 1 6 2" xfId="1078"/>
    <cellStyle name="Accent3 - 60% 3" xfId="1079"/>
    <cellStyle name="好_2009年一般性转移支付标准工资_~4190974 3" xfId="1080"/>
    <cellStyle name="好_地方配套按人均增幅控制8.30xl 8" xfId="1081"/>
    <cellStyle name="汇总 7 2" xfId="1082"/>
    <cellStyle name="适中 2" xfId="1083"/>
    <cellStyle name="计算 5" xfId="1084"/>
    <cellStyle name="好_业务工作量指标" xfId="1085"/>
    <cellStyle name="40% - Accent5 4" xfId="1086"/>
    <cellStyle name="20% - 强调文字颜色 2 8 2" xfId="1087"/>
    <cellStyle name="输出 4" xfId="1088"/>
    <cellStyle name="强调文字颜色 1 5 2" xfId="1089"/>
    <cellStyle name="好_下半年禁吸戒毒经费1000万元 6" xfId="1090"/>
    <cellStyle name="强调文字颜色 2 8" xfId="1091"/>
    <cellStyle name="好_基础数据分析 9" xfId="1092"/>
    <cellStyle name="注释 7 2" xfId="1093"/>
    <cellStyle name="强调 1" xfId="1094"/>
    <cellStyle name="20% - 强调文字颜色 5 8" xfId="1095"/>
    <cellStyle name="20% - Accent5 7" xfId="1096"/>
    <cellStyle name="40% - 强调文字颜色 3 7 2" xfId="1097"/>
    <cellStyle name="差_基础数据分析 9" xfId="1098"/>
    <cellStyle name="差_Book1 7" xfId="1099"/>
    <cellStyle name="好_地方配套按人均增幅控制8.31（调整结案率后）xl 7" xfId="1100"/>
    <cellStyle name="60% - 强调文字颜色 4 10" xfId="1101"/>
    <cellStyle name="输出 3" xfId="1102"/>
    <cellStyle name="好_5334_2006年迪庆县级财政报表附表 6" xfId="1103"/>
    <cellStyle name="表标题 9" xfId="1104"/>
    <cellStyle name="60% - 强调文字颜色 4 5" xfId="1105"/>
    <cellStyle name="好_2009年一般性转移支付标准工资_地方配套按人均增幅控制8.30一般预算平均增幅、人均可用财力平均增幅两次控制、社会治安系数调整、案件数调整xl 7" xfId="1106"/>
    <cellStyle name="好_530623_2006年县级财政报表附表" xfId="1107"/>
    <cellStyle name="表标题 2" xfId="1108"/>
    <cellStyle name="常规 2_Book1" xfId="1109"/>
    <cellStyle name="后继超链接 9" xfId="1110"/>
    <cellStyle name="40% - 强调文字颜色 1 8 2" xfId="1111"/>
    <cellStyle name="好_03昭通 6" xfId="1112"/>
    <cellStyle name="小数 9" xfId="1113"/>
    <cellStyle name="常规 5 2 6" xfId="1114"/>
    <cellStyle name="Note 3" xfId="1115"/>
    <cellStyle name="千位分隔 3 7" xfId="1116"/>
    <cellStyle name="好_2007年人员分部门统计表 3" xfId="1117"/>
    <cellStyle name="好_2、土地面积、人口、粮食产量基本情况 7" xfId="1118"/>
    <cellStyle name="常规 38" xfId="1119"/>
    <cellStyle name="常规 43" xfId="1120"/>
    <cellStyle name="20% - 强调文字颜色 2 3 5" xfId="1121"/>
    <cellStyle name="差_汇总-县级财政报表附表" xfId="1122"/>
    <cellStyle name="40% - Accent2 6" xfId="1123"/>
    <cellStyle name="分级显示行_1_13区汇总" xfId="1124"/>
    <cellStyle name="千位分隔 4 5" xfId="1125"/>
    <cellStyle name="标题 4 3 5" xfId="1126"/>
    <cellStyle name="常规 7 2" xfId="1127"/>
    <cellStyle name="标题 2 9 2" xfId="1128"/>
    <cellStyle name="好_下半年禁吸戒毒经费1000万元 7" xfId="1129"/>
    <cellStyle name="强调文字颜色 2 9" xfId="1130"/>
    <cellStyle name="差_2009年一般性转移支付标准工资_奖励补助测算5.23新 2" xfId="1131"/>
    <cellStyle name="检查单元格 8 2" xfId="1132"/>
    <cellStyle name="好_2009年一般性转移支付标准工资_奖励补助测算5.24冯铸 3" xfId="1133"/>
    <cellStyle name="40% - Accent5 8" xfId="1134"/>
    <cellStyle name="差_卫生部门 8" xfId="1135"/>
    <cellStyle name="Accent2 - 40% 5" xfId="1136"/>
    <cellStyle name="标题 3 3 7" xfId="1137"/>
    <cellStyle name="差_1110洱源县" xfId="1138"/>
    <cellStyle name="汇总 3 7" xfId="1139"/>
    <cellStyle name="Milliers [0]_!!!GO" xfId="1140"/>
    <cellStyle name="好_2009年一般性转移支付标准工资 6" xfId="1141"/>
    <cellStyle name="40% - Accent2 2" xfId="1142"/>
    <cellStyle name="好_2009年一般性转移支付标准工资_奖励补助测算5.24冯铸" xfId="1143"/>
    <cellStyle name="好_5334_2006年迪庆县级财政报表附表 4" xfId="1144"/>
    <cellStyle name="表标题 7" xfId="1145"/>
    <cellStyle name="好_1110洱源县 9" xfId="1146"/>
    <cellStyle name="常规 6 6" xfId="1147"/>
    <cellStyle name="差_2009年一般性转移支付标准工资_奖励补助测算5.23新 9" xfId="1148"/>
    <cellStyle name="好 4" xfId="1149"/>
    <cellStyle name="好_2009年一般性转移支付标准工资_奖励补助测算5.23新 4" xfId="1150"/>
    <cellStyle name="差_2009年一般性转移支付标准工资_奖励补助测算7.23 7" xfId="1151"/>
    <cellStyle name="差_不用软件计算9.1不考虑经费管理评价xl 4" xfId="1152"/>
    <cellStyle name="差_05玉溪 9" xfId="1153"/>
    <cellStyle name="Accent6 - 60% 4" xfId="1154"/>
    <cellStyle name="链接单元格 10" xfId="1155"/>
    <cellStyle name="差_~4190974 3" xfId="1156"/>
    <cellStyle name="好_云南省2008年转移支付测算——州市本级考核部分及政策性测算 5" xfId="1157"/>
    <cellStyle name="Explanatory Text 8" xfId="1158"/>
    <cellStyle name="输入 3 7" xfId="1159"/>
    <cellStyle name="好_5334_2006年迪庆县级财政报表附表 9" xfId="1160"/>
    <cellStyle name="好_2009年一般性转移支付标准工资_地方配套按人均增幅控制8.30一般预算平均增幅、人均可用财力平均增幅两次控制、社会治安系数调整、案件数调整xl" xfId="1161"/>
    <cellStyle name="输出 6" xfId="1162"/>
    <cellStyle name="差_2009年一般性转移支付标准工资_~4190974 4" xfId="1163"/>
    <cellStyle name="常规 3 8" xfId="1164"/>
    <cellStyle name="差_2009年一般性转移支付标准工资_地方配套按人均增幅控制8.30xl 9" xfId="1165"/>
    <cellStyle name="好_530623_2006年县级财政报表附表 5" xfId="1166"/>
    <cellStyle name="差_卫生部门" xfId="1167"/>
    <cellStyle name="差_奖励补助测算7.25 (version 1) (version 1) 4" xfId="1168"/>
    <cellStyle name="注释 4 2" xfId="1169"/>
    <cellStyle name="常规 17" xfId="1170"/>
    <cellStyle name="常规 22" xfId="1171"/>
    <cellStyle name="60% - 强调文字颜色 4 3 4" xfId="1172"/>
    <cellStyle name="好_基础数据分析 7" xfId="1173"/>
    <cellStyle name="好_云南省2008年中小学教职工情况（教育厅提供20090101加工整理）" xfId="1174"/>
    <cellStyle name="40% - 强调文字颜色 3 4" xfId="1175"/>
    <cellStyle name="小数 4" xfId="1176"/>
    <cellStyle name="检查单元格 6" xfId="1177"/>
    <cellStyle name="好_汇总 9" xfId="1178"/>
    <cellStyle name="好 8 2" xfId="1179"/>
    <cellStyle name="常规 2 2 2" xfId="1180"/>
    <cellStyle name="差_2009年一般性转移支付标准工资_奖励补助测算7.25 6" xfId="1181"/>
    <cellStyle name="常规 14 2" xfId="1182"/>
    <cellStyle name="好_卫生部门 6" xfId="1183"/>
    <cellStyle name="差_2009年一般性转移支付标准工资_地方配套按人均增幅控制8.31（调整结案率后）xl 5" xfId="1184"/>
    <cellStyle name="强调文字颜色 6 3 7" xfId="1185"/>
    <cellStyle name="差_1110洱源县 9" xfId="1186"/>
    <cellStyle name="差_奖励补助测算7.25 (version 1) (version 1) 5" xfId="1187"/>
    <cellStyle name="常规 23" xfId="1188"/>
    <cellStyle name="常规 18" xfId="1189"/>
    <cellStyle name="60% - 强调文字颜色 4 3 5" xfId="1190"/>
    <cellStyle name="Header2" xfId="1191"/>
    <cellStyle name="好_Book1_1 3" xfId="1192"/>
    <cellStyle name="差 5 2" xfId="1193"/>
    <cellStyle name="解释性文本 8 2" xfId="1194"/>
    <cellStyle name="差_汇总-县级财政报表附表 9" xfId="1195"/>
    <cellStyle name="60% - Accent3 8" xfId="1196"/>
    <cellStyle name="常规 13 2" xfId="1197"/>
    <cellStyle name="好_530623_2006年县级财政报表附表 8" xfId="1198"/>
    <cellStyle name="好_2009年一般性转移支付标准工资 4" xfId="1199"/>
    <cellStyle name="标题 4 7 2" xfId="1200"/>
    <cellStyle name="好_2006年全省财力计算表（中央、决算）" xfId="1201"/>
    <cellStyle name="差_2009年一般性转移支付标准工资_奖励补助测算7.25 (version 1) (version 1) 4" xfId="1202"/>
    <cellStyle name="40% - Accent2 9" xfId="1203"/>
    <cellStyle name="差_2006年水利统计指标统计表 9" xfId="1204"/>
    <cellStyle name="Good 7" xfId="1205"/>
    <cellStyle name="Accent2" xfId="1206"/>
    <cellStyle name="差_Book1_1 2" xfId="1207"/>
    <cellStyle name="差_地方配套按人均增幅控制8.30一般预算平均增幅、人均可用财力平均增幅两次控制、社会治安系数调整、案件数调整xl" xfId="1208"/>
    <cellStyle name="差_2006年水利统计指标统计表 4" xfId="1209"/>
    <cellStyle name="好_2009年一般性转移支付标准工资 8" xfId="1210"/>
    <cellStyle name="20% - 强调文字颜色 2 5 2" xfId="1211"/>
    <cellStyle name="40% - Accent2 4" xfId="1212"/>
    <cellStyle name="解释性文本 9 2" xfId="1213"/>
    <cellStyle name="差 6 2" xfId="1214"/>
    <cellStyle name="常规 2 6 2" xfId="1215"/>
    <cellStyle name="差_2009年一般性转移支付标准工资_地方配套按人均增幅控制8.30xl" xfId="1216"/>
    <cellStyle name="常规 9" xfId="1217"/>
    <cellStyle name="好_第五部分(才淼、饶永宏） 3" xfId="1218"/>
    <cellStyle name="标题 3 5 2" xfId="1219"/>
    <cellStyle name="差_~5676413 6" xfId="1220"/>
    <cellStyle name="强调文字颜色 4 4" xfId="1221"/>
    <cellStyle name="好_2007年政法部门业务指标 4" xfId="1222"/>
    <cellStyle name="标题 2 5" xfId="1223"/>
    <cellStyle name="差_00省级(定稿) 3" xfId="1224"/>
    <cellStyle name="好_高中教师人数（教育厅1.6日提供） 5" xfId="1225"/>
    <cellStyle name="好_~5676413 5" xfId="1226"/>
    <cellStyle name="表标题 3" xfId="1227"/>
    <cellStyle name="常规 6 2" xfId="1228"/>
    <cellStyle name="好_1110洱源县 5" xfId="1229"/>
    <cellStyle name="통화 [0]_BOILER-CO1" xfId="1230"/>
    <cellStyle name="强调文字颜色 3 4" xfId="1231"/>
    <cellStyle name="常规 2 11" xfId="1232"/>
    <cellStyle name="差_文体广播部门" xfId="1233"/>
    <cellStyle name="差_2009年一般性转移支付标准工资_奖励补助测算5.23新 5" xfId="1234"/>
    <cellStyle name="强调文字颜色 2 3 4" xfId="1235"/>
    <cellStyle name="好_2009年一般性转移支付标准工资_奖励补助测算5.24冯铸 6" xfId="1236"/>
    <cellStyle name="差_地方配套按人均增幅控制8.31（调整结案率后）xl" xfId="1237"/>
    <cellStyle name="千位分隔 4 6" xfId="1238"/>
    <cellStyle name="标题 4 3 6" xfId="1239"/>
    <cellStyle name="per.style" xfId="1240"/>
    <cellStyle name="Accent5 - 40% 9" xfId="1241"/>
    <cellStyle name="60% - Accent4" xfId="1242"/>
    <cellStyle name="标题 1 7 2" xfId="1243"/>
    <cellStyle name="好_2009年一般性转移支付标准工资_地方配套按人均增幅控制8.30xl 4" xfId="1244"/>
    <cellStyle name="检查单元格 4" xfId="1245"/>
    <cellStyle name="小数 2" xfId="1246"/>
    <cellStyle name="差_云南省2008年转移支付测算——州市本级考核部分及政策性测算 9" xfId="1247"/>
    <cellStyle name="好_M01-2(州市补助收入) 6" xfId="1248"/>
    <cellStyle name="Comma_!!!GO" xfId="1249"/>
    <cellStyle name="差_00省级(打印) 4" xfId="1250"/>
    <cellStyle name="差_0502通海县 5" xfId="1251"/>
    <cellStyle name="常规 27" xfId="1252"/>
    <cellStyle name="常规 32" xfId="1253"/>
    <cellStyle name="40% - 强调文字颜色 3 3 4" xfId="1254"/>
    <cellStyle name="差_奖励补助测算7.25 (version 1) (version 1) 9" xfId="1255"/>
    <cellStyle name="标题 1 3 6" xfId="1256"/>
    <cellStyle name="强调文字颜色 6 4" xfId="1257"/>
    <cellStyle name="好_2009年一般性转移支付标准工资_奖励补助测算5.22测试" xfId="1258"/>
    <cellStyle name="差_高中教师人数（教育厅1.6日提供） 9" xfId="1259"/>
    <cellStyle name="差_M01-2(州市补助收入) 4" xfId="1260"/>
    <cellStyle name="链接单元格 4 2" xfId="1261"/>
    <cellStyle name="强调文字颜色 5 6 2" xfId="1262"/>
    <cellStyle name="好_高中教师人数（教育厅1.6日提供）" xfId="1263"/>
    <cellStyle name="好_~5676413" xfId="1264"/>
    <cellStyle name="好_下半年禁吸戒毒经费1000万元 9" xfId="1265"/>
    <cellStyle name="好_地方配套按人均增幅控制8.30一般预算平均增幅、人均可用财力平均增幅两次控制、社会治安系数调整、案件数调整xl 4" xfId="1266"/>
    <cellStyle name="差_2009年一般性转移支付标准工资_奖励补助测算7.23 2" xfId="1267"/>
    <cellStyle name="标题 2 7" xfId="1268"/>
    <cellStyle name="好_2007年政法部门业务指标 6" xfId="1269"/>
    <cellStyle name="差_00省级(定稿) 5" xfId="1270"/>
    <cellStyle name="强调文字颜色 6 7" xfId="1271"/>
    <cellStyle name="Good 4" xfId="1272"/>
    <cellStyle name="Note 7" xfId="1273"/>
    <cellStyle name="好_Book1 5" xfId="1274"/>
    <cellStyle name="常规 3 11" xfId="1275"/>
    <cellStyle name="强调文字颜色 2 3" xfId="1276"/>
    <cellStyle name="标题 2 6" xfId="1277"/>
    <cellStyle name="好_2007年政法部门业务指标 5" xfId="1278"/>
    <cellStyle name="差_00省级(定稿) 4" xfId="1279"/>
    <cellStyle name="Accent5 - 40% 6" xfId="1280"/>
    <cellStyle name="好_1003牟定县 7" xfId="1281"/>
    <cellStyle name="60% - Accent1" xfId="1282"/>
    <cellStyle name="差_地方配套按人均增幅控制8.30xl 4" xfId="1283"/>
    <cellStyle name="差_基础数据分析 6" xfId="1284"/>
    <cellStyle name="常规 4 6" xfId="1285"/>
    <cellStyle name="好_三季度－表二" xfId="1286"/>
    <cellStyle name="差_卫生部门 4" xfId="1287"/>
    <cellStyle name="差_指标四 9" xfId="1288"/>
    <cellStyle name="检查单元格 3 3" xfId="1289"/>
    <cellStyle name="好_县级公安机关公用经费标准奖励测算方案（定稿） 6" xfId="1290"/>
    <cellStyle name="差_2009年一般性转移支付标准工资_奖励补助测算5.22测试 6" xfId="1291"/>
    <cellStyle name="差 8" xfId="1292"/>
    <cellStyle name="链接单元格 3 6" xfId="1293"/>
    <cellStyle name="适中 5 2" xfId="1294"/>
    <cellStyle name="Accent2 - 20% 2" xfId="1295"/>
    <cellStyle name="差_指标四 8" xfId="1296"/>
    <cellStyle name="差_卫生部门 3" xfId="1297"/>
    <cellStyle name="检查单元格 3 2" xfId="1298"/>
    <cellStyle name="好_0605石屏县 5" xfId="1299"/>
    <cellStyle name="20% - Accent4" xfId="1300"/>
    <cellStyle name="差_指标四 6" xfId="1301"/>
    <cellStyle name="差_2009年一般性转移支付标准工资_~5676413 8" xfId="1302"/>
    <cellStyle name="60% - 强调文字颜色 1 6 2" xfId="1303"/>
    <cellStyle name="强调文字颜色 4 2" xfId="1304"/>
    <cellStyle name="60% - Accent5" xfId="1305"/>
    <cellStyle name="输入 5" xfId="1306"/>
    <cellStyle name="Accent1 - 20% 6" xfId="1307"/>
    <cellStyle name="20% - 强调文字颜色 1 7" xfId="1308"/>
    <cellStyle name="20% - Accent1 6" xfId="1309"/>
    <cellStyle name="差_奖励补助测算5.22测试 8" xfId="1310"/>
    <cellStyle name="40% - 强调文字颜色 1 6 2" xfId="1311"/>
    <cellStyle name="强调文字颜色 1 5" xfId="1312"/>
    <cellStyle name="差_地方配套按人均增幅控制8.30一般预算平均增幅、人均可用财力平均增幅两次控制、社会治安系数调整、案件数调整xl 8" xfId="1313"/>
    <cellStyle name="差_05玉溪 3" xfId="1314"/>
    <cellStyle name="好_汇总-县级财政报表附表 9" xfId="1315"/>
    <cellStyle name="警告文本 5" xfId="1316"/>
    <cellStyle name="警告文本 8 2" xfId="1317"/>
    <cellStyle name="好_2006年基础数据 4" xfId="1318"/>
    <cellStyle name="好_2009年一般性转移支付标准工资_奖励补助测算7.25 (version 1) (version 1) 8" xfId="1319"/>
    <cellStyle name="千位分隔 3 9" xfId="1320"/>
    <cellStyle name="好_县级基础数据" xfId="1321"/>
    <cellStyle name="20% - 强调文字颜色 1 3 6" xfId="1322"/>
    <cellStyle name="Accent5 - 60% 8" xfId="1323"/>
    <cellStyle name="差_2008云南省分县市中小学教职工统计表（教育厅提供） 4" xfId="1324"/>
    <cellStyle name="普通_ 白土" xfId="1325"/>
    <cellStyle name="好_教师绩效工资测算表（离退休按各地上报数测算）2009年1月1日" xfId="1326"/>
    <cellStyle name="好_2006年基础数据 2" xfId="1327"/>
    <cellStyle name="好_2009年一般性转移支付标准工资_奖励补助测算7.25 (version 1) (version 1) 6" xfId="1328"/>
    <cellStyle name="烹拳 [0]_ +Foil &amp; -FOIL &amp; PAPER" xfId="1329"/>
    <cellStyle name="60% - 强调文字颜色 3 3 4" xfId="1330"/>
    <cellStyle name="汇总 9" xfId="1331"/>
    <cellStyle name="差_Book2 9" xfId="1332"/>
    <cellStyle name="好_卫生部门 4" xfId="1333"/>
    <cellStyle name="差_2009年一般性转移支付标准工资_地方配套按人均增幅控制8.31（调整结案率后）xl 3" xfId="1334"/>
    <cellStyle name="常规 3 5" xfId="1335"/>
    <cellStyle name="差_2009年一般性转移支付标准工资_地方配套按人均增幅控制8.30xl 6" xfId="1336"/>
    <cellStyle name="标题 4 4 2" xfId="1337"/>
    <cellStyle name="差_第一部分：综合全" xfId="1338"/>
    <cellStyle name="40% - Accent4 3" xfId="1339"/>
    <cellStyle name="好_Book1 7" xfId="1340"/>
    <cellStyle name="强调文字颜色 5 8" xfId="1341"/>
    <cellStyle name="好_2009年一般性转移支付标准工资_~5676413 4" xfId="1342"/>
    <cellStyle name="HEADING1" xfId="1343"/>
    <cellStyle name="千位分隔[0] 2" xfId="1344"/>
    <cellStyle name="Accent2 - 40% 2" xfId="1345"/>
    <cellStyle name="差_卫生部门 5" xfId="1346"/>
    <cellStyle name="检查单元格 3 4" xfId="1347"/>
    <cellStyle name="40% - Accent5 5" xfId="1348"/>
    <cellStyle name="常规 4 7" xfId="1349"/>
    <cellStyle name="好_丽江汇总" xfId="1350"/>
    <cellStyle name="差_2009年一般性转移支付标准工资_奖励补助测算7.25 5" xfId="1351"/>
    <cellStyle name="差_高中教师人数（教育厅1.6日提供） 4" xfId="1352"/>
    <cellStyle name="20% - 强调文字颜色 6 8" xfId="1353"/>
    <cellStyle name="20% - Accent6 7" xfId="1354"/>
    <cellStyle name="好_2009年一般性转移支付标准工资_地方配套按人均增幅控制8.30xl 6" xfId="1355"/>
    <cellStyle name="好_2009年一般性转移支付标准工资_地方配套按人均增幅控制8.30xl 7" xfId="1356"/>
    <cellStyle name="汇总 10" xfId="1357"/>
    <cellStyle name="千位分隔 2 2 9" xfId="1358"/>
    <cellStyle name="差_11大理 7" xfId="1359"/>
    <cellStyle name="60% - 强调文字颜色 3 3" xfId="1360"/>
    <cellStyle name="常规 2 5 3" xfId="1361"/>
    <cellStyle name="标题 1 9 2" xfId="1362"/>
    <cellStyle name="好_1110洱源县" xfId="1363"/>
    <cellStyle name="差_2007年人员分部门统计表 9" xfId="1364"/>
    <cellStyle name="输出 7" xfId="1365"/>
    <cellStyle name="警告文本 6 2" xfId="1366"/>
    <cellStyle name="40% - Accent4 2" xfId="1367"/>
    <cellStyle name="20% - Accent2 4" xfId="1368"/>
    <cellStyle name="20% - 强调文字颜色 2 5" xfId="1369"/>
    <cellStyle name="差_奖励补助测算5.24冯铸 6" xfId="1370"/>
    <cellStyle name="差_义务教育阶段教职工人数（教育厅提供最终） 9" xfId="1371"/>
    <cellStyle name="Bad 7" xfId="1372"/>
    <cellStyle name="强调文字颜色 6 5 2" xfId="1373"/>
    <cellStyle name="输出 10" xfId="1374"/>
    <cellStyle name="差_财政供养人员 8" xfId="1375"/>
    <cellStyle name="20% - 强调文字颜色 5 8 2" xfId="1376"/>
    <cellStyle name="好_基础数据分析 2" xfId="1377"/>
    <cellStyle name="Accent5 - 20% 9" xfId="1378"/>
    <cellStyle name="0,0_x000d_&#10;NA_x000d_&#10;" xfId="1379"/>
    <cellStyle name="好 9 2" xfId="1380"/>
    <cellStyle name="计算 4" xfId="1381"/>
    <cellStyle name="Neutral 5" xfId="1382"/>
    <cellStyle name="Heading 4 2" xfId="1383"/>
    <cellStyle name="好_业务工作量指标 3" xfId="1384"/>
    <cellStyle name="60% - 强调文字颜色 1 6" xfId="1385"/>
    <cellStyle name="常规 2 3 6" xfId="1386"/>
    <cellStyle name="百分比 5 2" xfId="1387"/>
    <cellStyle name="强调文字颜色 2 5 2" xfId="1388"/>
    <cellStyle name="差_汇总 3" xfId="1389"/>
    <cellStyle name="好_第五部分(才淼、饶永宏） 5" xfId="1390"/>
    <cellStyle name="差_汇总-县级财政报表附表 3" xfId="1391"/>
    <cellStyle name="好_2009年一般性转移支付标准工资_地方配套按人均增幅控制8.31（调整结案率后）xl 5" xfId="1392"/>
    <cellStyle name="Accent2 - 20%" xfId="1393"/>
    <cellStyle name="常规 3 2 3" xfId="1394"/>
    <cellStyle name="适中 5" xfId="1395"/>
    <cellStyle name="60% - 强调文字颜色 2 5" xfId="1396"/>
    <cellStyle name="好_00省级(定稿) 2" xfId="1397"/>
    <cellStyle name="小数 6" xfId="1398"/>
    <cellStyle name="好_03昭通 3" xfId="1399"/>
    <cellStyle name="检查单元格 8" xfId="1400"/>
    <cellStyle name="差_2009年一般性转移支付标准工资_奖励补助测算5.23新" xfId="1401"/>
    <cellStyle name="40% - 强调文字颜色 3 7" xfId="1402"/>
    <cellStyle name="常规_2021259552931" xfId="1403"/>
    <cellStyle name="常规 2 2 4" xfId="1404"/>
    <cellStyle name="好_县级公安机关公用经费标准奖励测算方案（定稿）" xfId="1405"/>
    <cellStyle name="标题 11" xfId="1406"/>
    <cellStyle name="60% - 强调文字颜色 1 3" xfId="1407"/>
    <cellStyle name="常规 2 3 3" xfId="1408"/>
    <cellStyle name="40% - 强调文字颜色 5 3 5" xfId="1409"/>
    <cellStyle name="差_0605石屏县 3" xfId="1410"/>
    <cellStyle name="差_云南省2008年转移支付测算——州市本级考核部分及政策性测算" xfId="1411"/>
    <cellStyle name="20% - Accent2 3" xfId="1412"/>
    <cellStyle name="好_03昭通 9" xfId="1413"/>
    <cellStyle name="20% - 强调文字颜色 2 4" xfId="1414"/>
    <cellStyle name="差_2009年一般性转移支付标准工资" xfId="1415"/>
    <cellStyle name="差_2、土地面积、人口、粮食产量基本情况 3" xfId="1416"/>
    <cellStyle name="钎霖_4岿角利" xfId="1417"/>
    <cellStyle name="好_指标四 4" xfId="1418"/>
    <cellStyle name="百分比 4 5" xfId="1419"/>
    <cellStyle name="常规 2 2 9" xfId="1420"/>
    <cellStyle name="常规 2 3 4" xfId="1421"/>
    <cellStyle name="t_HVAC Equipment (3)" xfId="1422"/>
    <cellStyle name="60% - 强调文字颜色 1 4" xfId="1423"/>
    <cellStyle name="差_云南省2008年中小学教职工情况（教育厅提供20090101加工整理） 7" xfId="1424"/>
    <cellStyle name="差_2006年在职人员情况 4" xfId="1425"/>
    <cellStyle name="40% - 强调文字颜色 1 3 6" xfId="1426"/>
    <cellStyle name="60% - 强调文字颜色 3 7" xfId="1427"/>
    <cellStyle name="常规 2 5 7" xfId="1428"/>
    <cellStyle name="差_2007年政法部门业务指标 3" xfId="1429"/>
    <cellStyle name="差_云南农村义务教育统计表 7" xfId="1430"/>
    <cellStyle name="标题 4 3" xfId="1431"/>
    <cellStyle name="千位分隔 4" xfId="1432"/>
    <cellStyle name="差_2009年一般性转移支付标准工资_~5676413 2" xfId="1433"/>
    <cellStyle name="常规 5 5" xfId="1434"/>
    <cellStyle name="Accent3 - 20%" xfId="1435"/>
    <cellStyle name="差_奖励补助测算5.24冯铸 9" xfId="1436"/>
    <cellStyle name="好_11大理 3" xfId="1437"/>
    <cellStyle name="差_业务工作量指标 8" xfId="1438"/>
    <cellStyle name="差_530623_2006年县级财政报表附表 7" xfId="1439"/>
    <cellStyle name="霓付 [0]_ +Foil &amp; -FOIL &amp; PAPER" xfId="1440"/>
    <cellStyle name="好_地方配套按人均增幅控制8.30xl 6" xfId="1441"/>
    <cellStyle name="强调文字颜色 5 3 6" xfId="1442"/>
    <cellStyle name="好_2009年一般性转移支付标准工资_~4190974" xfId="1443"/>
    <cellStyle name="Accent3 - 60%" xfId="1444"/>
    <cellStyle name="好_地方配套按人均增幅控制8.30一般预算平均增幅、人均可用财力平均增幅两次控制、社会治安系数调整、案件数调整xl" xfId="1445"/>
    <cellStyle name="Explanatory Text 2" xfId="1446"/>
    <cellStyle name="好_0605石屏县 6" xfId="1447"/>
    <cellStyle name="计算 9 2" xfId="1448"/>
    <cellStyle name="Heading 1 2" xfId="1449"/>
    <cellStyle name="标题 3 9" xfId="1450"/>
    <cellStyle name="好_奖励补助测算5.24冯铸 8" xfId="1451"/>
    <cellStyle name="Header1" xfId="1452"/>
    <cellStyle name="好_Book1_1 2" xfId="1453"/>
    <cellStyle name="好_云南农村义务教育统计表 3" xfId="1454"/>
    <cellStyle name="20% - 强调文字颜色 3 3 6" xfId="1455"/>
    <cellStyle name="_Book1_3" xfId="1456"/>
    <cellStyle name="强调文字颜色 6 2" xfId="1457"/>
    <cellStyle name="好_Book2" xfId="1458"/>
    <cellStyle name="20% - 强调文字颜色 6 3 4" xfId="1459"/>
    <cellStyle name="差_530623_2006年县级财政报表附表 3" xfId="1460"/>
    <cellStyle name="差_业务工作量指标 4" xfId="1461"/>
    <cellStyle name="好_地方配套按人均增幅控制8.30xl 2" xfId="1462"/>
    <cellStyle name="20% - 强调文字颜色 5 3 4" xfId="1463"/>
    <cellStyle name="百分比 5" xfId="1464"/>
    <cellStyle name="60% - 强调文字颜色 3 8 2" xfId="1465"/>
    <cellStyle name="小数 8" xfId="1466"/>
    <cellStyle name="好_03昭通 5" xfId="1467"/>
    <cellStyle name="差_汇总" xfId="1468"/>
    <cellStyle name="20% - 强调文字颜色 3 4 2" xfId="1469"/>
    <cellStyle name="适中 9 2" xfId="1470"/>
    <cellStyle name="40% - 强调文字颜色 3 9" xfId="1471"/>
    <cellStyle name="差_0502通海县 7" xfId="1472"/>
    <cellStyle name="强调文字颜色 5 3 2" xfId="1473"/>
    <cellStyle name="60% - Accent5 2" xfId="1474"/>
    <cellStyle name="好_~4190974 6" xfId="1475"/>
    <cellStyle name="差_财政供养人员 4" xfId="1476"/>
    <cellStyle name="Bad 3" xfId="1477"/>
    <cellStyle name="差_义务教育阶段教职工人数（教育厅提供最终） 5" xfId="1478"/>
    <cellStyle name="好_2007年检察院案件数 6" xfId="1479"/>
    <cellStyle name="差_奖励补助测算5.24冯铸 2" xfId="1480"/>
    <cellStyle name="60% - 强调文字颜色 3 5 2" xfId="1481"/>
    <cellStyle name="差_奖励补助测算7.23 8" xfId="1482"/>
    <cellStyle name="差_2007年人员分部门统计表 5" xfId="1483"/>
    <cellStyle name="差_教育厅提供义务教育及高中教师人数（2009年1月6日） 2" xfId="1484"/>
    <cellStyle name="链接单元格 2" xfId="1485"/>
    <cellStyle name="Heading 2 8" xfId="1486"/>
    <cellStyle name="好 7 2" xfId="1487"/>
    <cellStyle name="好_2009年一般性转移支付标准工资_奖励补助测算7.25 9" xfId="1488"/>
    <cellStyle name="强调文字颜色 6 3" xfId="1489"/>
    <cellStyle name="常规 7 4" xfId="1490"/>
    <cellStyle name="标题 3 3 5" xfId="1491"/>
    <cellStyle name="差_2009年一般性转移支付标准工资_地方配套按人均增幅控制8.30一般预算平均增幅、人均可用财力平均增幅两次控制、社会治安系数调整、案件数调整xl 2" xfId="1492"/>
    <cellStyle name="好_2009年一般性转移支付标准工资_奖励补助测算5.23新 6" xfId="1493"/>
    <cellStyle name="差_2009年一般性转移支付标准工资_~4190974" xfId="1494"/>
    <cellStyle name="好_2009年一般性转移支付标准工资_奖励补助测算7.25 8" xfId="1495"/>
    <cellStyle name="标题 2 5 2" xfId="1496"/>
    <cellStyle name="好_2009年一般性转移支付标准工资_奖励补助测算7.25 4" xfId="1497"/>
    <cellStyle name="Heading 3" xfId="1498"/>
    <cellStyle name="强调文字颜色 1 4 2" xfId="1499"/>
    <cellStyle name="40% - 强调文字颜色 2 4" xfId="1500"/>
    <cellStyle name="Heading 3 5" xfId="1501"/>
    <cellStyle name="Input 8" xfId="1502"/>
    <cellStyle name="好_03昭通 2" xfId="1503"/>
    <cellStyle name="小数 5" xfId="1504"/>
    <cellStyle name="检查单元格 7" xfId="1505"/>
    <cellStyle name="常规_2012年3月月报_2014年10月月报" xfId="1506"/>
    <cellStyle name="解释性文本 4 2" xfId="1507"/>
    <cellStyle name="好_2009年一般性转移支付标准工资_奖励补助测算5.24冯铸 9" xfId="1508"/>
    <cellStyle name="强调文字颜色 2 3 7" xfId="1509"/>
    <cellStyle name="差_2009年一般性转移支付标准工资_奖励补助测算5.23新 8" xfId="1510"/>
    <cellStyle name="标题 6 7" xfId="1511"/>
    <cellStyle name="好_2009年一般性转移支付标准工资_奖励补助测算5.23新 3" xfId="1512"/>
    <cellStyle name="强调文字颜色 2 3 5" xfId="1513"/>
    <cellStyle name="差_2009年一般性转移支付标准工资_奖励补助测算5.23新 6" xfId="1514"/>
    <cellStyle name="好_2009年一般性转移支付标准工资_奖励补助测算5.24冯铸 7" xfId="1515"/>
    <cellStyle name="好_~4190974 4" xfId="1516"/>
    <cellStyle name="差_财政供养人员 2" xfId="1517"/>
    <cellStyle name="常规 11 2" xfId="1518"/>
    <cellStyle name="差_义务教育阶段教职工人数（教育厅提供最终） 3" xfId="1519"/>
    <cellStyle name="好_2007年检察院案件数 4" xfId="1520"/>
    <cellStyle name="Accent3 - 20% 4" xfId="1521"/>
    <cellStyle name="差_2009年一般性转移支付标准工资_~4190974 8" xfId="1522"/>
    <cellStyle name="Neutral 3" xfId="1523"/>
    <cellStyle name="适中 3 6" xfId="1524"/>
    <cellStyle name="汇总 5" xfId="1525"/>
    <cellStyle name="差_Book2 5" xfId="1526"/>
    <cellStyle name="Accent5 8" xfId="1527"/>
    <cellStyle name="好_2009年一般性转移支付标准工资_~5676413 8" xfId="1528"/>
    <cellStyle name="标题 4 9 2" xfId="1529"/>
    <cellStyle name="差_地方配套按人均增幅控制8.30xl 5" xfId="1530"/>
    <cellStyle name="差_基础数据分析 7" xfId="1531"/>
    <cellStyle name="20% - 强调文字颜色 2 2" xfId="1532"/>
    <cellStyle name="好_03昭通 7" xfId="1533"/>
    <cellStyle name="好_指标四 2" xfId="1534"/>
    <cellStyle name="百分比 4 3" xfId="1535"/>
    <cellStyle name="常规 2 2 7" xfId="1536"/>
    <cellStyle name="Accent5 7" xfId="1537"/>
    <cellStyle name="汇总 4" xfId="1538"/>
    <cellStyle name="差_Book2 4" xfId="1539"/>
    <cellStyle name="好_2009年一般性转移支付标准工资_~5676413 7" xfId="1540"/>
    <cellStyle name="Accent4 - 40% 5" xfId="1541"/>
    <cellStyle name="60% - 强调文字颜色 1 7" xfId="1542"/>
    <cellStyle name="好_不用软件计算9.1不考虑经费管理评价xl 4" xfId="1543"/>
    <cellStyle name="40% - 强调文字颜色 5 3 3" xfId="1544"/>
    <cellStyle name="好_地方配套按人均增幅控制8.31（调整结案率后）xl 5" xfId="1545"/>
    <cellStyle name="差_Book1 5" xfId="1546"/>
    <cellStyle name="Accent4 8" xfId="1547"/>
    <cellStyle name="好_云南农村义务教育统计表" xfId="1548"/>
    <cellStyle name="好_卫生部门" xfId="1549"/>
    <cellStyle name="警告文本 5 2" xfId="1550"/>
    <cellStyle name="小数" xfId="1551"/>
    <cellStyle name="好_530623_2006年县级财政报表附表 9" xfId="1552"/>
    <cellStyle name="好_2009年一般性转移支付标准工资 5" xfId="1553"/>
    <cellStyle name="适中 7 2" xfId="1554"/>
    <cellStyle name="好_基础数据分析 3" xfId="1555"/>
    <cellStyle name="后继超链接" xfId="1556"/>
    <cellStyle name="差_2、土地面积、人口、粮食产量基本情况 8" xfId="1557"/>
    <cellStyle name="强调文字颜色 3 4 2" xfId="1558"/>
    <cellStyle name="好_指标四 9" xfId="1559"/>
    <cellStyle name="好_高中教师人数（教育厅1.6日提供） 8" xfId="1560"/>
    <cellStyle name="好_~5676413 8" xfId="1561"/>
    <cellStyle name="差_2009年一般性转移支付标准工资_奖励补助测算7.23 3" xfId="1562"/>
    <cellStyle name="常规 5 6" xfId="1563"/>
    <cellStyle name="差_2009年一般性转移支付标准工资_~5676413 3" xfId="1564"/>
    <cellStyle name="20% - 强调文字颜色 3 7 2" xfId="1565"/>
    <cellStyle name="解释性文本 9" xfId="1566"/>
    <cellStyle name="差 6" xfId="1567"/>
    <cellStyle name="差_2009年一般性转移支付标准工资_奖励补助测算5.22测试 4" xfId="1568"/>
    <cellStyle name="Output" xfId="1569"/>
    <cellStyle name="常规 7 6" xfId="1570"/>
    <cellStyle name="常规 33" xfId="1571"/>
    <cellStyle name="常规 28" xfId="1572"/>
    <cellStyle name="40% - 强调文字颜色 3 3 5" xfId="1573"/>
    <cellStyle name="40% - Accent1 7" xfId="1574"/>
    <cellStyle name="差_2009年一般性转移支付标准工资 5" xfId="1575"/>
    <cellStyle name="好_奖励补助测算5.22测试 6" xfId="1576"/>
    <cellStyle name="差_三季度－表二 8" xfId="1577"/>
    <cellStyle name="Accent4 - 20% 7" xfId="1578"/>
    <cellStyle name="60% - 强调文字颜色 6 6" xfId="1579"/>
    <cellStyle name="常规 2 8 6" xfId="1580"/>
    <cellStyle name="千位分隔[0] 2 4" xfId="1581"/>
    <cellStyle name="常规 2 4 5" xfId="1582"/>
    <cellStyle name="好_财政供养人员 8" xfId="1583"/>
    <cellStyle name="好_2、土地面积、人口、粮食产量基本情况 4" xfId="1584"/>
    <cellStyle name="常规 2 8 4" xfId="1585"/>
    <cellStyle name="好_00省级(定稿) 8" xfId="1586"/>
    <cellStyle name="千位分隔[0] 2 2" xfId="1587"/>
    <cellStyle name="好_2006年水利统计指标统计表 2" xfId="1588"/>
    <cellStyle name="好_~5676413 9" xfId="1589"/>
    <cellStyle name="好_高中教师人数（教育厅1.6日提供） 9" xfId="1590"/>
    <cellStyle name="20% - 强调文字颜色 1 2" xfId="1591"/>
    <cellStyle name="计算 8 2" xfId="1592"/>
    <cellStyle name="差_00省级(定稿) 7" xfId="1593"/>
    <cellStyle name="好_2007年政法部门业务指标 8" xfId="1594"/>
    <cellStyle name="标题 2 9" xfId="1595"/>
    <cellStyle name="差_2009年一般性转移支付标准工资_奖励补助测算7.23 4" xfId="1596"/>
    <cellStyle name="差_基础数据分析" xfId="1597"/>
    <cellStyle name="适中 3 7" xfId="1598"/>
    <cellStyle name="强调文字颜色 3 3 6" xfId="1599"/>
    <cellStyle name="常规 2 7 5" xfId="1600"/>
    <cellStyle name="好_不用软件计算9.1不考虑经费管理评价xl 9" xfId="1601"/>
    <cellStyle name="好_三季度－表二 3" xfId="1602"/>
    <cellStyle name="输入 9" xfId="1603"/>
    <cellStyle name="好_云南省2008年转移支付测算——州市本级考核部分及政策性测算 2" xfId="1604"/>
    <cellStyle name="Explanatory Text 5" xfId="1605"/>
    <cellStyle name="好_0605石屏县 9" xfId="1606"/>
    <cellStyle name="检查单元格 3 6" xfId="1607"/>
    <cellStyle name="好_1110洱源县 6" xfId="1608"/>
    <cellStyle name="常规 6 3" xfId="1609"/>
    <cellStyle name="好_财政供养人员" xfId="1610"/>
    <cellStyle name="Heading 1 8" xfId="1611"/>
    <cellStyle name="好_2006年全省财力计算表（中央、决算） 4" xfId="1612"/>
    <cellStyle name="好 6 2" xfId="1613"/>
    <cellStyle name="Total" xfId="1614"/>
    <cellStyle name="常规 8 8" xfId="1615"/>
    <cellStyle name="Neutral" xfId="1616"/>
    <cellStyle name="好_2006年水利统计指标统计表 9" xfId="1617"/>
    <cellStyle name="后继超链接 7" xfId="1618"/>
    <cellStyle name="强调文字颜色 3 6 2" xfId="1619"/>
    <cellStyle name="好_奖励补助测算5.22测试 5" xfId="1620"/>
    <cellStyle name="40% - Accent1 6" xfId="1621"/>
    <cellStyle name="差_2009年一般性转移支付标准工资 4" xfId="1622"/>
    <cellStyle name="差_三季度－表二 7" xfId="1623"/>
    <cellStyle name="Accent4 - 20% 6" xfId="1624"/>
    <cellStyle name="强调文字颜色 4 5" xfId="1625"/>
    <cellStyle name="差_~5676413 7" xfId="1626"/>
    <cellStyle name="好_Book2 3" xfId="1627"/>
    <cellStyle name="好_2009年一般性转移支付标准工资_地方配套按人均增幅控制8.30xl 9" xfId="1628"/>
    <cellStyle name="好_2006年在职人员情况 9" xfId="1629"/>
    <cellStyle name="常规 8 5" xfId="1630"/>
    <cellStyle name="链接单元格 3" xfId="1631"/>
    <cellStyle name="好_2006年在职人员情况 2" xfId="1632"/>
    <cellStyle name="差_教育厅提供义务教育及高中教师人数（2009年1月6日） 3" xfId="1633"/>
    <cellStyle name="差_0502通海县" xfId="1634"/>
    <cellStyle name="60% - 强调文字颜色 2 10" xfId="1635"/>
    <cellStyle name="Heading 2 9" xfId="1636"/>
    <cellStyle name="Neutral 8" xfId="1637"/>
    <cellStyle name="链接单元格 3 7" xfId="1638"/>
    <cellStyle name="40% - Accent3 2" xfId="1639"/>
    <cellStyle name="百分比 3 6" xfId="1640"/>
    <cellStyle name="60% - 强调文字颜色 5 4 2" xfId="1641"/>
    <cellStyle name="好_不用软件计算9.1不考虑经费管理评价xl 7" xfId="1642"/>
    <cellStyle name="常规 2 7 3" xfId="1643"/>
    <cellStyle name="Good" xfId="1644"/>
    <cellStyle name="常规 10" xfId="1645"/>
    <cellStyle name="Accent2 - 60% 3" xfId="1646"/>
    <cellStyle name="好_00省级(打印) 3" xfId="1647"/>
    <cellStyle name="Accent1 - 40% 6" xfId="1648"/>
    <cellStyle name="差_2006年基础数据 6" xfId="1649"/>
    <cellStyle name="Accent1 - 40% 4" xfId="1650"/>
    <cellStyle name="差_2006年基础数据 4" xfId="1651"/>
    <cellStyle name="20% - 强调文字颜色 6 8 2" xfId="1652"/>
    <cellStyle name="后继超链接 8" xfId="1653"/>
    <cellStyle name="20% - Accent1 4" xfId="1654"/>
    <cellStyle name="Accent1 - 20% 4" xfId="1655"/>
    <cellStyle name="20% - 强调文字颜色 1 5" xfId="1656"/>
    <cellStyle name="数字 8" xfId="1657"/>
    <cellStyle name="差_M01-2(州市补助收入) 6" xfId="1658"/>
    <cellStyle name="Accent3 - 40% 3" xfId="1659"/>
    <cellStyle name="Milliers_!!!GO" xfId="1660"/>
    <cellStyle name="40% - 强调文字颜色 2 8" xfId="1661"/>
    <cellStyle name="60% - 强调文字颜色 5 2" xfId="1662"/>
    <cellStyle name="好_03昭通" xfId="1663"/>
    <cellStyle name="Heading 3 7" xfId="1664"/>
    <cellStyle name="输出 3 2" xfId="1665"/>
    <cellStyle name="输入 3 5" xfId="1666"/>
    <cellStyle name="常规 35" xfId="1667"/>
    <cellStyle name="常规 40" xfId="1668"/>
    <cellStyle name="40% - 强调文字颜色 3 3 7" xfId="1669"/>
    <cellStyle name="20% - 强调文字颜色 2 3 2" xfId="1670"/>
    <cellStyle name="标题 1 3 3" xfId="1671"/>
    <cellStyle name="捠壿 [0.00]_Region Orders (2)" xfId="1672"/>
    <cellStyle name="差_地方配套按人均增幅控制8.31（调整结案率后）xl 4" xfId="1673"/>
    <cellStyle name="Accent4 - 60%" xfId="1674"/>
    <cellStyle name="差_奖励补助测算7.23 4" xfId="1675"/>
    <cellStyle name="60% - Accent2 6" xfId="1676"/>
    <cellStyle name="好_Book1_1 4" xfId="1677"/>
    <cellStyle name="Accent1 8" xfId="1678"/>
    <cellStyle name="千位分隔 2 4" xfId="1679"/>
    <cellStyle name="好_2009年一般性转移支付标准工资_不用软件计算9.1不考虑经费管理评价xl 2" xfId="1680"/>
    <cellStyle name="Input [yellow]" xfId="1681"/>
    <cellStyle name="40% - 强调文字颜色 1 4 2" xfId="1682"/>
    <cellStyle name="差_2006年水利统计指标统计表 6" xfId="1683"/>
    <cellStyle name="好_2009年一般性转移支付标准工资_奖励补助测算5.23新 8" xfId="1684"/>
    <cellStyle name="注释 3 5" xfId="1685"/>
    <cellStyle name="好_2009年一般性转移支付标准工资_地方配套按人均增幅控制8.31（调整结案率后）xl" xfId="1686"/>
    <cellStyle name="40% - 强调文字颜色 6 9" xfId="1687"/>
    <cellStyle name="表标题" xfId="1688"/>
    <cellStyle name="40% - Accent6 9" xfId="1689"/>
    <cellStyle name="百分比 10" xfId="1690"/>
    <cellStyle name="标题 3 8 2" xfId="1691"/>
    <cellStyle name="差_2006年全省财力计算表（中央、决算） 6" xfId="1692"/>
    <cellStyle name="好_5334_2006年迪庆县级财政报表附表 7" xfId="1693"/>
    <cellStyle name="20% - 强调文字颜色 1 3 4" xfId="1694"/>
    <cellStyle name="Accent5 - 60% 6" xfId="1695"/>
    <cellStyle name="差_2008云南省分县市中小学教职工统计表（教育厅提供） 2" xfId="1696"/>
    <cellStyle name="好_03昭通 4" xfId="1697"/>
    <cellStyle name="检查单元格 9" xfId="1698"/>
    <cellStyle name="小数 7" xfId="1699"/>
    <cellStyle name="差_5334_2006年迪庆县级财政报表附表 6" xfId="1700"/>
    <cellStyle name="60% - 强调文字颜色 5 7" xfId="1701"/>
    <cellStyle name="60% - 强调文字颜色 4 3 7" xfId="1702"/>
    <cellStyle name="常规 25" xfId="1703"/>
    <cellStyle name="常规 30" xfId="1704"/>
    <cellStyle name="40% - 强调文字颜色 3 3 2" xfId="1705"/>
    <cellStyle name="差_Book1_1 8" xfId="1706"/>
    <cellStyle name="40% - 强调文字颜色 3 9 2" xfId="1707"/>
    <cellStyle name="常规 2 2 3" xfId="1708"/>
    <cellStyle name="20% - 强调文字颜色 3 9 2" xfId="1709"/>
    <cellStyle name="Currency [0]" xfId="1710"/>
    <cellStyle name="20% - 强调文字颜色 4 4" xfId="1711"/>
    <cellStyle name="20% - Accent4 3" xfId="1712"/>
    <cellStyle name="常规 3 3 7" xfId="1713"/>
    <cellStyle name="好_第五部分(才淼、饶永宏） 8" xfId="1714"/>
    <cellStyle name="差_2009年一般性转移支付标准工资_奖励补助测算5.22测试 8" xfId="1715"/>
    <cellStyle name="20% - 强调文字颜色 6 3 2" xfId="1716"/>
    <cellStyle name="差_业务工作量指标 2" xfId="1717"/>
    <cellStyle name="20% - 强调文字颜色 5 3 2" xfId="1718"/>
    <cellStyle name="40% - 强调文字颜色 6 3 7" xfId="1719"/>
    <cellStyle name="百分比 3" xfId="1720"/>
    <cellStyle name="输入 6" xfId="1721"/>
    <cellStyle name="Accent1 - 20% 7" xfId="1722"/>
    <cellStyle name="好_2008云南省分县市中小学教职工统计表（教育厅提供）" xfId="1723"/>
    <cellStyle name="20% - Accent1 7" xfId="1724"/>
    <cellStyle name="20% - 强调文字颜色 1 8" xfId="1725"/>
    <cellStyle name="Accent4 - 60% 7" xfId="1726"/>
    <cellStyle name="差_2006年在职人员情况" xfId="1727"/>
    <cellStyle name="适中 7" xfId="1728"/>
    <cellStyle name="差_2009年一般性转移支付标准工资_不用软件计算9.1不考虑经费管理评价xl 3" xfId="1729"/>
    <cellStyle name="20% - 强调文字颜色 3 2" xfId="1730"/>
    <cellStyle name="常规 3 2 5" xfId="1731"/>
    <cellStyle name="差_1110洱源县 6" xfId="1732"/>
    <cellStyle name="好_11大理 9" xfId="1733"/>
    <cellStyle name="Accent3 - 60% 7" xfId="1734"/>
    <cellStyle name="好_2009年一般性转移支付标准工资_~4190974 7" xfId="1735"/>
    <cellStyle name="好_2009年一般性转移支付标准工资_奖励补助测算7.25" xfId="1736"/>
    <cellStyle name="60% - 强调文字颜色 3 6 2" xfId="1737"/>
    <cellStyle name="t" xfId="1738"/>
    <cellStyle name="好_检验表" xfId="1739"/>
    <cellStyle name="差_~5676413 5" xfId="1740"/>
    <cellStyle name="强调文字颜色 4 3" xfId="1741"/>
    <cellStyle name="60% - Accent6" xfId="1742"/>
    <cellStyle name="60% - Accent5 6" xfId="1743"/>
    <cellStyle name="Dollar (zero dec)" xfId="1744"/>
    <cellStyle name="好_2009年一般性转移支付标准工资_奖励补助测算7.25 5" xfId="1745"/>
    <cellStyle name="_分县1" xfId="1746"/>
    <cellStyle name="好_2、土地面积、人口、粮食产量基本情况" xfId="1747"/>
    <cellStyle name="百分比 2" xfId="1748"/>
    <cellStyle name="40% - 强调文字颜色 6 3 6" xfId="1749"/>
    <cellStyle name="40% - 强调文字颜色 5 4 2" xfId="1750"/>
    <cellStyle name="差_2007年人员分部门统计表 8" xfId="1751"/>
    <cellStyle name="警告文本 3 6" xfId="1752"/>
    <cellStyle name="40% - Accent6 6" xfId="1753"/>
    <cellStyle name="Accent6 - 20%" xfId="1754"/>
    <cellStyle name="差_5334_2006年迪庆县级财政报表附表 3" xfId="1755"/>
    <cellStyle name="60% - 强调文字颜色 4 7 2" xfId="1756"/>
    <cellStyle name="Input Cells" xfId="1757"/>
    <cellStyle name="标题 3 3 3" xfId="1758"/>
    <cellStyle name="40% - Accent4 9" xfId="1759"/>
    <cellStyle name="差_地方配套按人均增幅控制8.30一般预算平均增幅、人均可用财力平均增幅两次控制、社会治安系数调整、案件数调整xl 6" xfId="1760"/>
    <cellStyle name="强调文字颜色 1 3" xfId="1761"/>
    <cellStyle name="好_2、土地面积、人口、粮食产量基本情况 8" xfId="1762"/>
    <cellStyle name="差_1003牟定县" xfId="1763"/>
    <cellStyle name="60% - Accent1 2" xfId="1764"/>
    <cellStyle name="好_2007年政法部门业务指标 2" xfId="1765"/>
    <cellStyle name="标题 2 3" xfId="1766"/>
    <cellStyle name="40% - 强调文字颜色 2 9 2" xfId="1767"/>
    <cellStyle name="20% - 强调文字颜色 5 9 2" xfId="1768"/>
    <cellStyle name="好_2009年一般性转移支付标准工资_地方配套按人均增幅控制8.31（调整结案率后）xl 7" xfId="1769"/>
    <cellStyle name="Accent6 2" xfId="1770"/>
    <cellStyle name="差_2008云南省分县市中小学教职工统计表（教育厅提供） 7" xfId="1771"/>
    <cellStyle name="40% - 强调文字颜色 2 3 4" xfId="1772"/>
    <cellStyle name="常规 2 8 2" xfId="1773"/>
    <cellStyle name="好_00省级(定稿) 6" xfId="1774"/>
    <cellStyle name="Linked Cell 4" xfId="1775"/>
    <cellStyle name="好_0502通海县 8" xfId="1776"/>
    <cellStyle name="60% - 强调文字颜色 5 8 2" xfId="1777"/>
    <cellStyle name="百分比 8" xfId="1778"/>
    <cellStyle name="60% - 强调文字颜色 2 6 2" xfId="1779"/>
    <cellStyle name="PSDate" xfId="1780"/>
    <cellStyle name="好_高中教师人数（教育厅1.6日提供） 7" xfId="1781"/>
    <cellStyle name="好_~5676413 7" xfId="1782"/>
    <cellStyle name="Check Cell 7" xfId="1783"/>
    <cellStyle name="强调文字颜色 6 3 3" xfId="1784"/>
    <cellStyle name="好_云南农村义务教育统计表 4" xfId="1785"/>
    <cellStyle name="差_~5676413 2" xfId="1786"/>
    <cellStyle name="Accent5 - 40% 8" xfId="1787"/>
    <cellStyle name="60% - Accent3" xfId="1788"/>
    <cellStyle name="好_1003牟定县 9" xfId="1789"/>
    <cellStyle name="强调文字颜色 1 3 4" xfId="1790"/>
    <cellStyle name="60% - Accent1 3" xfId="1791"/>
    <cellStyle name="好_2、土地面积、人口、粮食产量基本情况 9" xfId="1792"/>
    <cellStyle name="差_奖励补助测算5.23新 2" xfId="1793"/>
    <cellStyle name="Accent2 - 60% 2" xfId="1794"/>
    <cellStyle name="好_00省级(打印) 2" xfId="1795"/>
    <cellStyle name="差_2006年基础数据 5" xfId="1796"/>
    <cellStyle name="Accent1 - 40% 5" xfId="1797"/>
    <cellStyle name="警告文本 9 2" xfId="1798"/>
    <cellStyle name="Output 7" xfId="1799"/>
    <cellStyle name="好_县级公安机关公用经费标准奖励测算方案（定稿） 3" xfId="1800"/>
    <cellStyle name="差_汇总-县级财政报表附表 6" xfId="1801"/>
    <cellStyle name="差_不用软件计算9.1不考虑经费管理评价xl 8" xfId="1802"/>
    <cellStyle name="60% - Accent3 5" xfId="1803"/>
    <cellStyle name="40% - 强调文字颜色 5 7 2" xfId="1804"/>
    <cellStyle name="20% - Accent6 4" xfId="1805"/>
    <cellStyle name="20% - 强调文字颜色 6 5" xfId="1806"/>
    <cellStyle name="好_2007年人员分部门统计表 7" xfId="1807"/>
    <cellStyle name="标题 1 3" xfId="1808"/>
    <cellStyle name="40% - 强调文字颜色 2 8 2" xfId="1809"/>
    <cellStyle name="60% - 强调文字颜色 1 3 4" xfId="1810"/>
    <cellStyle name="好_2009年一般性转移支付标准工资_不用软件计算9.1不考虑经费管理评价xl 3" xfId="1811"/>
    <cellStyle name="千位分隔 2 5" xfId="1812"/>
    <cellStyle name="强调文字颜色 4 9" xfId="1813"/>
    <cellStyle name="常规 3 2 2" xfId="1814"/>
    <cellStyle name="适中 4" xfId="1815"/>
    <cellStyle name="20% - 强调文字颜色 4 7 2" xfId="1816"/>
    <cellStyle name="输出 5" xfId="1817"/>
    <cellStyle name="强调文字颜色 6 8" xfId="1818"/>
    <cellStyle name="差_530623_2006年县级财政报表附表" xfId="1819"/>
    <cellStyle name="40% - Accent4" xfId="1820"/>
    <cellStyle name="好_汇总-县级财政报表附表 5" xfId="1821"/>
    <cellStyle name="Normal - Style1" xfId="1822"/>
    <cellStyle name="Accent3 - 40% 4" xfId="1823"/>
    <cellStyle name="差_M01-2(州市补助收入) 7" xfId="1824"/>
    <cellStyle name="差_1110洱源县 4" xfId="1825"/>
    <cellStyle name="60% - 强调文字颜色 6 9" xfId="1826"/>
    <cellStyle name="Output 4" xfId="1827"/>
    <cellStyle name="常规 2 8 7" xfId="1828"/>
    <cellStyle name="千位分隔[0] 2 5" xfId="1829"/>
    <cellStyle name="注释 5 2" xfId="1830"/>
    <cellStyle name="60% - 强调文字颜色 6 5" xfId="1831"/>
    <cellStyle name="好_00省级(定稿) 9" xfId="1832"/>
    <cellStyle name="千位分隔[0] 2 3" xfId="1833"/>
    <cellStyle name="常规 2 8 5" xfId="1834"/>
    <cellStyle name="20% - Accent6 6" xfId="1835"/>
    <cellStyle name="常规_yb4000" xfId="1836"/>
    <cellStyle name="差_高中教师人数（教育厅1.6日提供） 3" xfId="1837"/>
    <cellStyle name="好_2007年人员分部门统计表 9" xfId="1838"/>
    <cellStyle name="20% - 强调文字颜色 6 7" xfId="1839"/>
    <cellStyle name="常规 2 3 9" xfId="1840"/>
    <cellStyle name="40% - 强调文字颜色 6 4 2" xfId="1841"/>
    <cellStyle name="好_2009年一般性转移支付标准工资_奖励补助测算7.25 (version 1) (version 1) 7" xfId="1842"/>
    <cellStyle name="差_2007年检察院案件数" xfId="1843"/>
    <cellStyle name="Accent3" xfId="1844"/>
    <cellStyle name="Good 8" xfId="1845"/>
    <cellStyle name="好_2009年一般性转移支付标准工资_奖励补助测算5.22测试 2" xfId="1846"/>
    <cellStyle name="强调文字颜色 6 4 2" xfId="1847"/>
    <cellStyle name="Warning Text" xfId="1848"/>
    <cellStyle name="百分比 10 2" xfId="1849"/>
    <cellStyle name="好_奖励补助测算7.23" xfId="1850"/>
    <cellStyle name="强调文字颜色 5 3" xfId="1851"/>
    <cellStyle name="60% - Accent1 7" xfId="1852"/>
    <cellStyle name="差_奖励补助测算5.23新 6" xfId="1853"/>
    <cellStyle name="差_2006年全省财力计算表（中央、决算） 2" xfId="1854"/>
    <cellStyle name="强调文字颜色 5 3 7" xfId="1855"/>
    <cellStyle name="强调文字颜色 2 7" xfId="1856"/>
    <cellStyle name="好_下半年禁吸戒毒经费1000万元 5" xfId="1857"/>
    <cellStyle name="好_三季度－表二 7" xfId="1858"/>
    <cellStyle name="常规 2 7 9" xfId="1859"/>
    <cellStyle name="常规 3 2 9" xfId="1860"/>
    <cellStyle name="20% - Accent3 5" xfId="1861"/>
    <cellStyle name="20% - 强调文字颜色 3 6" xfId="1862"/>
    <cellStyle name="差_2009年一般性转移支付标准工资_不用软件计算9.1不考虑经费管理评价xl 7" xfId="1863"/>
    <cellStyle name="千分位[0]_ 白土" xfId="1864"/>
    <cellStyle name="Accent5 - 40%" xfId="1865"/>
    <cellStyle name="40% - 强调文字颜色 6 2" xfId="1866"/>
    <cellStyle name="好 3 3" xfId="1867"/>
    <cellStyle name="好_下半年禁毒办案经费分配2544.3万元" xfId="1868"/>
    <cellStyle name="差_05玉溪 5" xfId="1869"/>
    <cellStyle name="警告文本 7" xfId="1870"/>
    <cellStyle name="注释 9 2" xfId="1871"/>
    <cellStyle name="Heading 1" xfId="1872"/>
    <cellStyle name="计算 9" xfId="1873"/>
    <cellStyle name="20% - 强调文字颜色 6 2" xfId="1874"/>
    <cellStyle name="好_2007年人员分部门统计表 4" xfId="1875"/>
    <cellStyle name="差_地方配套按人均增幅控制8.30一般预算平均增幅、人均可用财力平均增幅两次控制、社会治安系数调整、案件数调整xl 7" xfId="1876"/>
    <cellStyle name="强调文字颜色 1 4" xfId="1877"/>
    <cellStyle name="差_0605石屏县 8" xfId="1878"/>
    <cellStyle name="60% - 强调文字颜色 2 3 7" xfId="1879"/>
    <cellStyle name="注释 7" xfId="1880"/>
    <cellStyle name="差_云南省2008年中小学教职工情况（教育厅提供20090101加工整理） 3" xfId="1881"/>
    <cellStyle name="40% - 强调文字颜色 1 3 2" xfId="1882"/>
    <cellStyle name="Accent1 - 60% 7" xfId="1883"/>
    <cellStyle name="好_2008云南省分县市中小学教职工统计表（教育厅提供） 4" xfId="1884"/>
    <cellStyle name="60% - 强调文字颜色 2 4 2" xfId="1885"/>
    <cellStyle name="好_M03 3" xfId="1886"/>
    <cellStyle name="60% - Accent4 7" xfId="1887"/>
    <cellStyle name="差_奖励补助测算7.25 5" xfId="1888"/>
    <cellStyle name="常规 9 2" xfId="1889"/>
    <cellStyle name="40% - 强调文字颜色 1 3" xfId="1890"/>
    <cellStyle name="差_5334_2006年迪庆县级财政报表附表 8" xfId="1891"/>
    <cellStyle name="输入 5 2" xfId="1892"/>
    <cellStyle name="60% - 强调文字颜色 5 9" xfId="1893"/>
    <cellStyle name="标题 10 2" xfId="1894"/>
    <cellStyle name="Accent4 - 20%" xfId="1895"/>
    <cellStyle name="差 7" xfId="1896"/>
    <cellStyle name="0,0_x000d__x000a_NA_x000d__x000a_" xfId="1897"/>
    <cellStyle name="千位分隔[0]_2011年1月份进度表" xfId="1898"/>
    <cellStyle name="60% - Accent3 3" xfId="1899"/>
    <cellStyle name="差_不用软件计算9.1不考虑经费管理评价xl 6" xfId="1900"/>
    <cellStyle name="Heading 1 6" xfId="1901"/>
    <cellStyle name="标题 3 10" xfId="1902"/>
    <cellStyle name="差_三季度－表二 4" xfId="1903"/>
    <cellStyle name="好_奖励补助测算5.23新 9" xfId="1904"/>
    <cellStyle name="好_奖励补助测算5.22测试 2" xfId="1905"/>
    <cellStyle name="40% - Accent1 3" xfId="1906"/>
    <cellStyle name="差_奖励补助测算5.23新 4" xfId="1907"/>
    <cellStyle name="60% - Accent1 5" xfId="1908"/>
    <cellStyle name="60% - Accent4 2" xfId="1909"/>
    <cellStyle name="常规 3" xfId="1910"/>
    <cellStyle name="Heading 4 7" xfId="1911"/>
    <cellStyle name="输出 4 2" xfId="1912"/>
    <cellStyle name="注释 10" xfId="1913"/>
    <cellStyle name="Accent6 - 40% 5" xfId="1914"/>
    <cellStyle name="常规 2 2 8" xfId="1915"/>
    <cellStyle name="百分比 4 4" xfId="1916"/>
    <cellStyle name="好_指标四 3" xfId="1917"/>
    <cellStyle name="差_2、土地面积、人口、粮食产量基本情况 2" xfId="1918"/>
    <cellStyle name="解释性文本 5 2" xfId="1919"/>
    <cellStyle name="60% - Accent2 7" xfId="1920"/>
    <cellStyle name="差_奖励补助测算7.23 5" xfId="1921"/>
    <cellStyle name="Norma,_laroux_4_营业在建 (2)_E21" xfId="1922"/>
    <cellStyle name="Accent3 - 20% 3" xfId="1923"/>
    <cellStyle name="40% - 强调文字颜色 4 4" xfId="1924"/>
    <cellStyle name="好_2009年一般性转移支付标准工资_地方配套按人均增幅控制8.30一般预算平均增幅、人均可用财力平均增幅两次控制、社会治安系数调整、案件数调整xl 9" xfId="1925"/>
    <cellStyle name="60% - 强调文字颜色 4 7" xfId="1926"/>
    <cellStyle name="60% - Accent2 8" xfId="1927"/>
    <cellStyle name="差_奖励补助测算7.23 6" xfId="1928"/>
    <cellStyle name="好_2009年一般性转移支付标准工资_奖励补助测算5.23新 7" xfId="1929"/>
    <cellStyle name="40% - 强调文字颜色 6 8" xfId="1930"/>
    <cellStyle name="注释 3 4" xfId="1931"/>
    <cellStyle name="40% - 强调文字颜色 1 9 2" xfId="1932"/>
    <cellStyle name="40% - 强调文字颜色 5 8" xfId="1933"/>
    <cellStyle name="注释 2 4" xfId="1934"/>
    <cellStyle name="差_2009年一般性转移支付标准工资_奖励补助测算7.25 (version 1) (version 1) 7" xfId="1935"/>
    <cellStyle name="好_基础数据分析" xfId="1936"/>
    <cellStyle name="Accent5 - 40% 5" xfId="1937"/>
    <cellStyle name="好_1003牟定县 6" xfId="1938"/>
    <cellStyle name="Accent4_公安安全支出补充表5.14" xfId="1939"/>
    <cellStyle name="好_义务教育阶段教职工人数（教育厅提供最终） 8" xfId="1940"/>
    <cellStyle name="好_财政供养人员 5" xfId="1941"/>
    <cellStyle name="Neutral 7" xfId="1942"/>
    <cellStyle name="40% - 强调文字颜色 2 5" xfId="1943"/>
    <cellStyle name="Input 9" xfId="1944"/>
    <cellStyle name="好_2007年人员分部门统计表 6" xfId="1945"/>
    <cellStyle name="20% - 强调文字颜色 6 4" xfId="1946"/>
    <cellStyle name="20% - Accent6 3" xfId="1947"/>
    <cellStyle name="强调文字颜色 6 5" xfId="1948"/>
    <cellStyle name="解释性文本 3 5" xfId="1949"/>
    <cellStyle name="好_2006年在职人员情况" xfId="1950"/>
    <cellStyle name="差_0605石屏县 9" xfId="1951"/>
    <cellStyle name="差_M01-2(州市补助收入) 2" xfId="1952"/>
    <cellStyle name="差_2009年一般性转移支付标准工资 7" xfId="1953"/>
    <cellStyle name="40% - Accent1 9" xfId="1954"/>
    <cellStyle name="好_奖励补助测算5.22测试 8" xfId="1955"/>
    <cellStyle name="差_高中教师人数（教育厅1.6日提供） 2" xfId="1956"/>
    <cellStyle name="20% - Accent6 5" xfId="1957"/>
    <cellStyle name="好_2007年人员分部门统计表 8" xfId="1958"/>
    <cellStyle name="20% - 强调文字颜色 6 6" xfId="1959"/>
    <cellStyle name="链接单元格 3 4" xfId="1960"/>
    <cellStyle name="40% - 强调文字颜色 3 6 2" xfId="1961"/>
    <cellStyle name="好_教育厅提供义务教育及高中教师人数（2009年1月6日）" xfId="1962"/>
    <cellStyle name="数字 6" xfId="1963"/>
    <cellStyle name="20% - Accent1 2" xfId="1964"/>
    <cellStyle name="Accent1 - 20% 2" xfId="1965"/>
    <cellStyle name="20% - 强调文字颜色 1 3" xfId="1966"/>
    <cellStyle name="20% - 强调文字颜色 6 3 3" xfId="1967"/>
    <cellStyle name="no dec" xfId="1968"/>
    <cellStyle name="强调文字颜色 6 8 2" xfId="1969"/>
    <cellStyle name="差_业务工作量指标 3" xfId="1970"/>
    <cellStyle name="差_530623_2006年县级财政报表附表 2" xfId="1971"/>
    <cellStyle name="强调文字颜色 4 3 7" xfId="1972"/>
    <cellStyle name="汇总 3 2" xfId="1973"/>
    <cellStyle name="60% - Accent6 7" xfId="1974"/>
    <cellStyle name="好_0502通海县" xfId="1975"/>
    <cellStyle name="Accent4 - 60% 5" xfId="1976"/>
    <cellStyle name="40% - 强调文字颜色 4 8" xfId="1977"/>
    <cellStyle name="Mon閠aire [0]_!!!GO" xfId="1978"/>
    <cellStyle name="差_2009年一般性转移支付标准工资_奖励补助测算7.23 8" xfId="1979"/>
    <cellStyle name="好_11大理" xfId="1980"/>
    <cellStyle name="好_高中教师人数（教育厅1.6日提供） 4" xfId="1981"/>
    <cellStyle name="好_~5676413 4" xfId="1982"/>
    <cellStyle name="注释 4" xfId="1983"/>
    <cellStyle name="60% - 强调文字颜色 2 3 4" xfId="1984"/>
    <cellStyle name="60% - Accent2 2" xfId="1985"/>
    <cellStyle name="40% - 强调文字颜色 5 8 2" xfId="1986"/>
    <cellStyle name="好_奖励补助测算7.25 2" xfId="1987"/>
    <cellStyle name="Accent6 - 60% 5" xfId="1988"/>
    <cellStyle name="Calculation 9" xfId="1989"/>
    <cellStyle name="20% - 强调文字颜色 1 4" xfId="1990"/>
    <cellStyle name="20% - Accent1 3" xfId="1991"/>
    <cellStyle name="Accent1 - 20% 3" xfId="1992"/>
    <cellStyle name="数字 7" xfId="1993"/>
    <cellStyle name="Accent5 - 60% 7" xfId="1994"/>
    <cellStyle name="20% - 强调文字颜色 1 3 5" xfId="1995"/>
    <cellStyle name="差_2008云南省分县市中小学教职工统计表（教育厅提供） 3" xfId="1996"/>
    <cellStyle name="标题 1 4" xfId="1997"/>
    <cellStyle name="Heading 1 9" xfId="1998"/>
    <cellStyle name="常规 3_Book1" xfId="1999"/>
    <cellStyle name="差_Book1 9" xfId="2000"/>
    <cellStyle name="好_地方配套按人均增幅控制8.31（调整结案率后）xl 9" xfId="2001"/>
    <cellStyle name="60% - 强调文字颜色 6 9 2" xfId="2002"/>
    <cellStyle name="汇总 8" xfId="2003"/>
    <cellStyle name="差_Book2 8" xfId="2004"/>
    <cellStyle name="差_2007年检察院案件数 3" xfId="2005"/>
    <cellStyle name="Accent3 3" xfId="2006"/>
    <cellStyle name="标题 6 6" xfId="2007"/>
    <cellStyle name="好_2009年一般性转移支付标准工资_奖励补助测算5.23新 2" xfId="2008"/>
    <cellStyle name="HEADING2" xfId="2009"/>
    <cellStyle name="好_汇总-县级财政报表附表 7" xfId="2010"/>
    <cellStyle name="40% - Accent6" xfId="2011"/>
    <cellStyle name="警告文本 3" xfId="2012"/>
    <cellStyle name="好_2009年一般性转移支付标准工资_奖励补助测算5.24冯铸 8" xfId="2013"/>
    <cellStyle name="强调文字颜色 2 3 6" xfId="2014"/>
    <cellStyle name="差_2009年一般性转移支付标准工资_奖励补助测算5.23新 7" xfId="2015"/>
    <cellStyle name="Accent4 - 60% 8" xfId="2016"/>
    <cellStyle name="40% - 强调文字颜色 6 7 2" xfId="2017"/>
    <cellStyle name="好_00省级(定稿) 3" xfId="2018"/>
    <cellStyle name="40% - 强调文字颜色 5 3" xfId="2019"/>
    <cellStyle name="好_2007年政法部门业务指标 9" xfId="2020"/>
    <cellStyle name="差_00省级(定稿) 8" xfId="2021"/>
    <cellStyle name="适中 9" xfId="2022"/>
    <cellStyle name="差_2009年一般性转移支付标准工资_不用软件计算9.1不考虑经费管理评价xl 5" xfId="2023"/>
    <cellStyle name="20% - 强调文字颜色 3 4" xfId="2024"/>
    <cellStyle name="20% - Accent3 3" xfId="2025"/>
    <cellStyle name="常规 3 2 7" xfId="2026"/>
    <cellStyle name="昗弨_Pacific Region P&amp;L" xfId="2027"/>
    <cellStyle name="60% - 强调文字颜色 3 9 2" xfId="2028"/>
    <cellStyle name="40% - 强调文字颜色 5 9 2" xfId="2029"/>
    <cellStyle name="差_不用软件计算9.1不考虑经费管理评价xl 5" xfId="2030"/>
    <cellStyle name="Bad" xfId="2031"/>
    <cellStyle name="60% - Accent3 2" xfId="2032"/>
    <cellStyle name="Heading 1 5" xfId="2033"/>
    <cellStyle name="好_11大理 8" xfId="2034"/>
    <cellStyle name="Accent3 - 60% 6" xfId="2035"/>
    <cellStyle name="好_2009年一般性转移支付标准工资_~4190974 6" xfId="2036"/>
    <cellStyle name="好_奖励补助测算5.24冯铸 4" xfId="2037"/>
    <cellStyle name="标题 3 5" xfId="2038"/>
    <cellStyle name="强调文字颜色 1 3 3" xfId="2039"/>
    <cellStyle name="好_地方配套按人均增幅控制8.30xl" xfId="2040"/>
    <cellStyle name="差_2006年全省财力计算表（中央、决算） 7" xfId="2041"/>
    <cellStyle name="40% - Accent2 5" xfId="2042"/>
    <cellStyle name="好_2009年一般性转移支付标准工资 9" xfId="2043"/>
    <cellStyle name="差_奖励补助测算5.23新 8" xfId="2044"/>
    <cellStyle name="60% - Accent1 9" xfId="2045"/>
    <cellStyle name="好_2009年一般性转移支付标准工资_奖励补助测算7.23 2" xfId="2046"/>
    <cellStyle name="输出 8 2" xfId="2047"/>
    <cellStyle name="Calc Currency (0)" xfId="2048"/>
    <cellStyle name="常规 2 2 6" xfId="2049"/>
    <cellStyle name="百分比 4 2" xfId="2050"/>
    <cellStyle name="常规 24" xfId="2051"/>
    <cellStyle name="常规 19" xfId="2052"/>
    <cellStyle name="60% - 强调文字颜色 4 3 6" xfId="2053"/>
    <cellStyle name="差_奖励补助测算7.25 (version 1) (version 1) 6" xfId="2054"/>
    <cellStyle name="好_县级公安机关公用经费标准奖励测算方案（定稿） 4" xfId="2055"/>
    <cellStyle name="差_Book1_1" xfId="2056"/>
    <cellStyle name="Output 8" xfId="2057"/>
    <cellStyle name="差_奖励补助测算5.23新 5" xfId="2058"/>
    <cellStyle name="60% - Accent1 6" xfId="2059"/>
    <cellStyle name="20% - 强调文字颜色 6 9" xfId="2060"/>
    <cellStyle name="差_高中教师人数（教育厅1.6日提供） 5" xfId="2061"/>
    <cellStyle name="20% - Accent6 8" xfId="2062"/>
    <cellStyle name="注释 2 9" xfId="2063"/>
    <cellStyle name="好_Book1 3" xfId="2064"/>
    <cellStyle name="Accent4 7" xfId="2065"/>
    <cellStyle name="好_地方配套按人均增幅控制8.31（调整结案率后）xl 4" xfId="2066"/>
    <cellStyle name="差_Book1 4" xfId="2067"/>
    <cellStyle name="60% - 强调文字颜色 1 8 2" xfId="2068"/>
    <cellStyle name="_ET_STYLE_NoName_00__Sheet3" xfId="2069"/>
    <cellStyle name="差_Book1_1 9" xfId="2070"/>
    <cellStyle name="Moneda [0]_96 Risk" xfId="2071"/>
    <cellStyle name="好 3 6" xfId="2072"/>
    <cellStyle name="40% - 强调文字颜色 6 5" xfId="2073"/>
    <cellStyle name="Good 3" xfId="2074"/>
    <cellStyle name="差_2008云南省分县市中小学教职工统计表（教育厅提供） 8" xfId="2075"/>
    <cellStyle name="Accent6 3" xfId="2076"/>
    <cellStyle name="40% - 强调文字颜色 2 6 2" xfId="2077"/>
    <cellStyle name="60% - 强调文字颜色 1 5 2" xfId="2078"/>
    <cellStyle name="Accent3_公安安全支出补充表5.14" xfId="2079"/>
    <cellStyle name="标题 4 3 3" xfId="2080"/>
    <cellStyle name="千位分隔 4 3" xfId="2081"/>
    <cellStyle name="好_2006年分析表" xfId="2082"/>
    <cellStyle name="40% - 强调文字颜色 5 2" xfId="2083"/>
    <cellStyle name="好_0605石屏县 8" xfId="2084"/>
    <cellStyle name="Explanatory Text 4" xfId="2085"/>
    <cellStyle name="Accent6 - 60%" xfId="2086"/>
    <cellStyle name="20% - 强调文字颜色 4 6 2" xfId="2087"/>
    <cellStyle name="差_2009年一般性转移支付标准工资_地方配套按人均增幅控制8.30一般预算平均增幅、人均可用财力平均增幅两次控制、社会治安系数调整、案件数调整xl" xfId="2088"/>
    <cellStyle name="Check Cell 6" xfId="2089"/>
    <cellStyle name="好_云南省2008年中小学教师人数统计表" xfId="2090"/>
    <cellStyle name="强调文字颜色 4 3 5" xfId="2091"/>
    <cellStyle name="60% - Accent6 5" xfId="2092"/>
    <cellStyle name="好_5334_2006年迪庆县级财政报表附表 8" xfId="2093"/>
    <cellStyle name="好_2006年水利统计指标统计表 5" xfId="2094"/>
    <cellStyle name="后继超链接 3" xfId="2095"/>
    <cellStyle name="差_Book1 2" xfId="2096"/>
    <cellStyle name="Accent4 5" xfId="2097"/>
    <cellStyle name="好_地方配套按人均增幅控制8.31（调整结案率后）xl 2" xfId="2098"/>
    <cellStyle name="好_2009年一般性转移支付标准工资_奖励补助测算7.25 2" xfId="2099"/>
    <cellStyle name="60% - Accent3 9" xfId="2100"/>
    <cellStyle name="Standard_AREAS" xfId="2101"/>
    <cellStyle name="差_05玉溪 8" xfId="2102"/>
    <cellStyle name="差_不用软件计算9.1不考虑经费管理评价xl 3" xfId="2103"/>
    <cellStyle name="差_1110洱源县 8" xfId="2104"/>
    <cellStyle name="差_第五部分(才淼、饶永宏） 3" xfId="2105"/>
    <cellStyle name="好_2009年一般性转移支付标准工资_~4190974 9" xfId="2106"/>
    <cellStyle name="Accent3 - 60% 9" xfId="2107"/>
    <cellStyle name="Accent6 8" xfId="2108"/>
    <cellStyle name="Linked Cell 2" xfId="2109"/>
    <cellStyle name="好_0502通海县 6" xfId="2110"/>
    <cellStyle name="Heading 1 3" xfId="2111"/>
    <cellStyle name="20% - 强调文字颜色 1 3 2" xfId="2112"/>
    <cellStyle name="Accent5 - 60% 4" xfId="2113"/>
    <cellStyle name="40% - 强调文字颜色 2 3 7" xfId="2114"/>
    <cellStyle name="差_下半年禁吸戒毒经费1000万元" xfId="2115"/>
    <cellStyle name="40% - 强调文字颜色 2 3 2" xfId="2116"/>
    <cellStyle name="60% - 强调文字颜色 3 3 7" xfId="2117"/>
    <cellStyle name="Accent4 - 40% 7" xfId="2118"/>
    <cellStyle name="样式 1" xfId="2119"/>
    <cellStyle name="20% - 强调文字颜色 2 8" xfId="2120"/>
    <cellStyle name="20% - Accent2 7" xfId="2121"/>
    <cellStyle name="常规 5 2 2" xfId="2122"/>
    <cellStyle name="差_2009年一般性转移支付标准工资_地方配套按人均增幅控制8.30一般预算平均增幅、人均可用财力平均增幅两次控制、社会治安系数调整、案件数调整xl 9" xfId="2123"/>
    <cellStyle name="百分比 4" xfId="2124"/>
    <cellStyle name="20% - 强调文字颜色 5 3 3" xfId="2125"/>
    <cellStyle name="强调文字颜色 5 8 2" xfId="2126"/>
    <cellStyle name="输入 7" xfId="2127"/>
    <cellStyle name="Accent1 - 20% 8" xfId="2128"/>
    <cellStyle name="20% - 强调文字颜色 1 9" xfId="2129"/>
    <cellStyle name="20% - Accent1 8" xfId="2130"/>
    <cellStyle name="差_0502通海县 3" xfId="2131"/>
    <cellStyle name="好_Book1_1 9" xfId="2132"/>
    <cellStyle name="20% - 强调文字颜色 5 3" xfId="2133"/>
    <cellStyle name="20% - Accent5 2" xfId="2134"/>
    <cellStyle name="差_2006年在职人员情况 7" xfId="2135"/>
    <cellStyle name="差_00省级(打印) 8" xfId="2136"/>
    <cellStyle name="40% - Accent3 3" xfId="2137"/>
    <cellStyle name="百分比 3 7" xfId="2138"/>
    <cellStyle name="60% - 强调文字颜色 5 3 4" xfId="2139"/>
    <cellStyle name="好_业务工作量指标 6" xfId="2140"/>
    <cellStyle name="_分县2" xfId="2141"/>
    <cellStyle name="好_2009年一般性转移支付标准工资_奖励补助测算7.25 6" xfId="2142"/>
    <cellStyle name="60% - Accent4 3" xfId="2143"/>
    <cellStyle name="注释 3" xfId="2144"/>
    <cellStyle name="60% - 强调文字颜色 2 3 3" xfId="2145"/>
    <cellStyle name="输入 7 2" xfId="2146"/>
    <cellStyle name="好_奖励补助测算7.25 (version 1) (version 1) 6" xfId="2147"/>
    <cellStyle name="好_汇总 7" xfId="2148"/>
    <cellStyle name="Accent6 - 60% 3" xfId="2149"/>
    <cellStyle name="差_下半年禁吸戒毒经费1000万元 3" xfId="2150"/>
    <cellStyle name="Warning Text 6" xfId="2151"/>
    <cellStyle name="解释性文本 2" xfId="2152"/>
    <cellStyle name="强调文字颜色 6 3 5" xfId="2153"/>
    <cellStyle name="差_业务工作量指标 7" xfId="2154"/>
    <cellStyle name="差_530623_2006年县级财政报表附表 6" xfId="2155"/>
    <cellStyle name="好_11大理 2" xfId="2156"/>
    <cellStyle name="20% - 强调文字颜色 6 3 7" xfId="2157"/>
    <cellStyle name="差_云南省2008年中小学教师人数统计表" xfId="2158"/>
    <cellStyle name="差_2009年一般性转移支付标准工资_奖励补助测算7.25 (version 1) (version 1) 3" xfId="2159"/>
    <cellStyle name="Linked Cells" xfId="2160"/>
    <cellStyle name="60% - Accent6 9" xfId="2161"/>
    <cellStyle name="汇总 3 4" xfId="2162"/>
    <cellStyle name="强调文字颜色 4 3 2" xfId="2163"/>
    <cellStyle name="60% - Accent6 2" xfId="2164"/>
    <cellStyle name="数字 9" xfId="2165"/>
    <cellStyle name="千位分隔 2 2 7" xfId="2166"/>
    <cellStyle name="好_2006年全省财力计算表（中央、决算） 3" xfId="2167"/>
    <cellStyle name="常规_202247145842125" xfId="2168"/>
    <cellStyle name="Accent2 - 40% 7" xfId="2169"/>
    <cellStyle name="百分比 7" xfId="2170"/>
    <cellStyle name="Accent5 - 60% 2" xfId="2171"/>
    <cellStyle name="40% - 强调文字颜色 2 3 5" xfId="2172"/>
    <cellStyle name="差_2009年一般性转移支付标准工资_~5676413 5" xfId="2173"/>
    <cellStyle name="常规 5 8" xfId="2174"/>
    <cellStyle name="差_指标四 3" xfId="2175"/>
    <cellStyle name="40% - 强调文字颜色 2 10" xfId="2176"/>
    <cellStyle name="20% - Accent3 9" xfId="2177"/>
    <cellStyle name="好_文体广播部门" xfId="2178"/>
    <cellStyle name="适中 10" xfId="2179"/>
    <cellStyle name="好_2009年一般性转移支付标准工资_不用软件计算9.1不考虑经费管理评价xl 4" xfId="2180"/>
    <cellStyle name="千位分隔 2 6" xfId="2181"/>
    <cellStyle name="差_2006年水利统计指标统计表 8" xfId="2182"/>
    <cellStyle name="常规 80" xfId="2183"/>
    <cellStyle name="40% - 强调文字颜色 3 4 2" xfId="2184"/>
    <cellStyle name="差_2006年在职人员情况 8" xfId="2185"/>
    <cellStyle name="常规 3 3 8" xfId="2186"/>
    <cellStyle name="20% - 强调文字颜色 4 5" xfId="2187"/>
    <cellStyle name="20% - Accent4 4" xfId="2188"/>
    <cellStyle name="Accent4 9" xfId="2189"/>
    <cellStyle name="差_Book1 6" xfId="2190"/>
    <cellStyle name="好_地方配套按人均增幅控制8.31（调整结案率后）xl 6" xfId="2191"/>
    <cellStyle name="Neutral 4" xfId="2192"/>
    <cellStyle name="差_2009年一般性转移支付标准工资_~4190974 9" xfId="2193"/>
    <cellStyle name="好_下半年禁吸戒毒经费1000万元" xfId="2194"/>
    <cellStyle name="差_2009年一般性转移支付标准工资_奖励补助测算5.22测试 9" xfId="2195"/>
    <cellStyle name="60% - 强调文字颜色 3 3 6" xfId="2196"/>
    <cellStyle name="40% - 强调文字颜色 5 3 4" xfId="2197"/>
    <cellStyle name="Accent4 - 40% 6" xfId="2198"/>
    <cellStyle name="20% - 强调文字颜色 2 7" xfId="2199"/>
    <cellStyle name="20% - Accent2 6" xfId="2200"/>
    <cellStyle name="40% - 强调文字颜色 4 6 2" xfId="2201"/>
    <cellStyle name="Accent2 - 60%" xfId="2202"/>
    <cellStyle name="好_地方配套按人均增幅控制8.30一般预算平均增幅、人均可用财力平均增幅两次控制、社会治安系数调整、案件数调整xl 2" xfId="2203"/>
    <cellStyle name="好_05玉溪 8" xfId="2204"/>
    <cellStyle name="60% - 强调文字颜色 1 9 2" xfId="2205"/>
    <cellStyle name="常规 2 3 7" xfId="2206"/>
    <cellStyle name="差_第五部分(才淼、饶永宏） 2" xfId="2207"/>
    <cellStyle name="好_2009年一般性转移支付标准工资_~4190974 8" xfId="2208"/>
    <cellStyle name="Accent3 - 60% 8" xfId="2209"/>
    <cellStyle name="常规_2011年全省各市主要指标排位" xfId="2210"/>
    <cellStyle name="好_教育厅提供义务教育及高中教师人数（2009年1月6日） 2" xfId="2211"/>
    <cellStyle name="差_05玉溪 2" xfId="2212"/>
    <cellStyle name="표준_0N-HANDLING " xfId="2213"/>
    <cellStyle name="好_汇总-县级财政报表附表 8" xfId="2214"/>
    <cellStyle name="警告文本 4" xfId="2215"/>
    <cellStyle name="Accent5 - 20% 6" xfId="2216"/>
    <cellStyle name="Accent2 - 20% 9" xfId="2217"/>
    <cellStyle name="差_2007年人员分部门统计表 2" xfId="2218"/>
    <cellStyle name="差_03昭通 6" xfId="2219"/>
    <cellStyle name="Accent2 9" xfId="2220"/>
    <cellStyle name="20% - 强调文字颜色 3 9" xfId="2221"/>
    <cellStyle name="60% - 强调文字颜色 3 10" xfId="2222"/>
    <cellStyle name="20% - Accent3 8" xfId="2223"/>
    <cellStyle name="40% - 强调文字颜色 5 5 2" xfId="2224"/>
    <cellStyle name="计算 3 5" xfId="2225"/>
    <cellStyle name="差_1003牟定县 9" xfId="2226"/>
    <cellStyle name="警告文本 3 3" xfId="2227"/>
    <cellStyle name="40% - Accent6 3" xfId="2228"/>
    <cellStyle name="强调文字颜色 2 7 2" xfId="2229"/>
    <cellStyle name="差_汇总-县级财政报表附表 4" xfId="2230"/>
    <cellStyle name="差_2007年检察院案件数 2" xfId="2231"/>
    <cellStyle name="Accent3 2" xfId="2232"/>
    <cellStyle name="好_5334_2006年迪庆县级财政报表附表" xfId="2233"/>
    <cellStyle name="20% - 强调文字颜色 5 6 2" xfId="2234"/>
    <cellStyle name="20% - Accent4 7" xfId="2235"/>
    <cellStyle name="差_1003牟定县 4" xfId="2236"/>
    <cellStyle name="20% - 强调文字颜色 4 8" xfId="2237"/>
    <cellStyle name="Heading 2" xfId="2238"/>
    <cellStyle name="链接单元格 5 2" xfId="2239"/>
    <cellStyle name="60% - Accent6 8" xfId="2240"/>
    <cellStyle name="汇总 3 3" xfId="2241"/>
    <cellStyle name="_ET_STYLE_NoName_00__Book1_1" xfId="2242"/>
    <cellStyle name="强调文字颜色 6 9 2" xfId="2243"/>
    <cellStyle name="Check Cell 8" xfId="2244"/>
    <cellStyle name="40% - Accent5" xfId="2245"/>
    <cellStyle name="好_汇总-县级财政报表附表 6" xfId="2246"/>
    <cellStyle name="警告文本 2" xfId="2247"/>
    <cellStyle name="20% - Accent4 8" xfId="2248"/>
    <cellStyle name="差_1003牟定县 5" xfId="2249"/>
    <cellStyle name="20% - 强调文字颜色 4 9" xfId="2250"/>
    <cellStyle name="Accent2 - 40% 6" xfId="2251"/>
    <cellStyle name="差_卫生部门 9" xfId="2252"/>
    <cellStyle name="输出 9 2" xfId="2253"/>
    <cellStyle name="Accent5 - 20% 5" xfId="2254"/>
    <cellStyle name="20% - Accent4 9" xfId="2255"/>
    <cellStyle name="差_1003牟定县 6" xfId="2256"/>
    <cellStyle name="差_2008云南省分县市中小学教职工统计表（教育厅提供）" xfId="2257"/>
    <cellStyle name="烹拳_ +Foil &amp; -FOIL &amp; PAPER" xfId="2258"/>
    <cellStyle name="强调文字颜色 5 4" xfId="2259"/>
    <cellStyle name="20% - 强调文字颜色 1 7 2" xfId="2260"/>
    <cellStyle name="差_奖励补助测算7.23 2" xfId="2261"/>
    <cellStyle name="60% - Accent2 4" xfId="2262"/>
    <cellStyle name="40% - Accent6 4" xfId="2263"/>
    <cellStyle name="20% - 强调文字颜色 2 9 2" xfId="2264"/>
    <cellStyle name="警告文本 3 4" xfId="2265"/>
    <cellStyle name="60% - 强调文字颜色 3 3 5" xfId="2266"/>
    <cellStyle name="好_2009年一般性转移支付标准工资_奖励补助测算7.25 (version 1) (version 1) 4" xfId="2267"/>
    <cellStyle name="40% - 强调文字颜色 6 5 2" xfId="2268"/>
    <cellStyle name="40% - Accent2 3" xfId="2269"/>
    <cellStyle name="好_2009年一般性转移支付标准工资 7" xfId="2270"/>
    <cellStyle name="差_2006年全省财力计算表（中央、决算） 5" xfId="2271"/>
    <cellStyle name="PSDec" xfId="2272"/>
    <cellStyle name="_计财部审批要件" xfId="2273"/>
    <cellStyle name="强调文字颜色 3 5 2" xfId="2274"/>
    <cellStyle name="Accent2 - 20% 3" xfId="2275"/>
    <cellStyle name="Accent4 - 20% 4" xfId="2276"/>
    <cellStyle name="常规 2 2 2 3" xfId="2277"/>
    <cellStyle name="差_~4190974 8" xfId="2278"/>
    <cellStyle name="Input 2" xfId="2279"/>
    <cellStyle name="标题 5 6" xfId="2280"/>
    <cellStyle name="差_第五部分(才淼、饶永宏） 4" xfId="2281"/>
    <cellStyle name="20% - 强调文字颜色 3 10" xfId="2282"/>
    <cellStyle name="Linked Cell 5" xfId="2283"/>
    <cellStyle name="好_0502通海县 9" xfId="2284"/>
    <cellStyle name="40% - 强调文字颜色 1 10" xfId="2285"/>
    <cellStyle name="Accent1 2" xfId="2286"/>
    <cellStyle name="콤마 [0]_BOILER-CO1" xfId="2287"/>
    <cellStyle name="输出 3 4" xfId="2288"/>
    <cellStyle name="Heading 3 9" xfId="2289"/>
    <cellStyle name="Accent2 - 20% 8" xfId="2290"/>
    <cellStyle name="40% - 强调文字颜色 4 7" xfId="2291"/>
    <cellStyle name="差_奖励补助测算7.25 3" xfId="2292"/>
    <cellStyle name="60% - Accent4 5" xfId="2293"/>
    <cellStyle name="40% - 强调文字颜色 1 5 2" xfId="2294"/>
    <cellStyle name="强调文字颜色 2 8 2" xfId="2295"/>
    <cellStyle name="常规 36" xfId="2296"/>
    <cellStyle name="常规 41" xfId="2297"/>
    <cellStyle name="20% - 强调文字颜色 2 3 3" xfId="2298"/>
    <cellStyle name="输入 2" xfId="2299"/>
    <cellStyle name="常规 2 8" xfId="2300"/>
    <cellStyle name="好_2009年一般性转移支付标准工资_~5676413 5" xfId="2301"/>
    <cellStyle name="Accent1 4" xfId="2302"/>
    <cellStyle name="Fixed" xfId="2303"/>
    <cellStyle name="千位分隔[0] 2 8" xfId="2304"/>
    <cellStyle name="好_2009年一般性转移支付标准工资_奖励补助测算7.25 (version 1) (version 1) 5" xfId="2305"/>
    <cellStyle name="Check Cell 5" xfId="2306"/>
    <cellStyle name="Accent6 - 20% 3" xfId="2307"/>
    <cellStyle name="差_奖励补助测算5.24冯铸 8" xfId="2308"/>
    <cellStyle name="Bad 9" xfId="2309"/>
    <cellStyle name="注释 2 7" xfId="2310"/>
    <cellStyle name="40% - 强调文字颜色 6 8 2" xfId="2311"/>
    <cellStyle name="Calculation 8" xfId="2312"/>
    <cellStyle name="好_2009年一般性转移支付标准工资 2" xfId="2313"/>
    <cellStyle name="好_2009年一般性转移支付标准工资_奖励补助测算5.22测试 3" xfId="2314"/>
    <cellStyle name="Good 9" xfId="2315"/>
    <cellStyle name="Accent4" xfId="2316"/>
    <cellStyle name="20% - Accent5 6" xfId="2317"/>
    <cellStyle name="20% - 强调文字颜色 5 7" xfId="2318"/>
    <cellStyle name="Accent4 - 20% 5" xfId="2319"/>
    <cellStyle name="差_三季度－表二 6" xfId="2320"/>
    <cellStyle name="Warning Text 3" xfId="2321"/>
    <cellStyle name="输出 9" xfId="2322"/>
    <cellStyle name="差_2009年一般性转移支付标准工资_不用软件计算9.1不考虑经费管理评价xl 4" xfId="2323"/>
    <cellStyle name="适中 8" xfId="2324"/>
    <cellStyle name="标题 2 8" xfId="2325"/>
    <cellStyle name="好_2007年政法部门业务指标 7" xfId="2326"/>
    <cellStyle name="差_00省级(定稿) 6" xfId="2327"/>
    <cellStyle name="20% - 强调文字颜色 1 9 2" xfId="2328"/>
    <cellStyle name="好_Book1" xfId="2329"/>
    <cellStyle name="Heading 1 7" xfId="2330"/>
    <cellStyle name="常规 2 6" xfId="2331"/>
    <cellStyle name="好_2、土地面积、人口、粮食产量基本情况 5" xfId="2332"/>
    <cellStyle name="好_检验表（调整后）" xfId="2333"/>
    <cellStyle name="好_财政供养人员 9" xfId="2334"/>
    <cellStyle name="常规 2 6 7" xfId="2335"/>
    <cellStyle name="强调文字颜色 3 7 2" xfId="2336"/>
    <cellStyle name="Check Cell 9" xfId="2337"/>
    <cellStyle name="标题 2 2" xfId="2338"/>
    <cellStyle name="好_2009年一般性转移支付标准工资_地方配套按人均增幅控制8.31（调整结案率后）xl 2" xfId="2339"/>
    <cellStyle name="40% - 强调文字颜色 6 9 2" xfId="2340"/>
    <cellStyle name="常规 5 2 3" xfId="2341"/>
    <cellStyle name="好_2006年基础数据" xfId="2342"/>
    <cellStyle name="标题 2 3 4" xfId="2343"/>
    <cellStyle name="检查单元格 2" xfId="2344"/>
    <cellStyle name="差_奖励补助测算7.25 9" xfId="2345"/>
    <cellStyle name="40% - 强调文字颜色 4 9 2" xfId="2346"/>
    <cellStyle name="差_03昭通 4" xfId="2347"/>
    <cellStyle name="Accent2 7" xfId="2348"/>
    <cellStyle name="好_卫生部门 5" xfId="2349"/>
    <cellStyle name="差_2009年一般性转移支付标准工资_地方配套按人均增幅控制8.31（调整结案率后）xl 4" xfId="2350"/>
    <cellStyle name="好_2009年一般性转移支付标准工资_地方配套按人均增幅控制8.30xl 2" xfId="2351"/>
    <cellStyle name="差_云南省2008年中小学教职工情况（教育厅提供20090101加工整理） 2" xfId="2352"/>
    <cellStyle name="60% - 强调文字颜色 2 3 6" xfId="2353"/>
    <cellStyle name="注释 6" xfId="2354"/>
    <cellStyle name="Output 2" xfId="2355"/>
    <cellStyle name="好_第五部分(才淼、饶永宏） 9" xfId="2356"/>
    <cellStyle name="好_2009年一般性转移支付标准工资_奖励补助测算7.23" xfId="2357"/>
    <cellStyle name="标题 5 8" xfId="2358"/>
    <cellStyle name="Input 4" xfId="2359"/>
    <cellStyle name="好_义务教育阶段教职工人数（教育厅提供最终） 9" xfId="2360"/>
    <cellStyle name="20% - 强调文字颜色 5 10" xfId="2361"/>
    <cellStyle name="Input 7" xfId="2362"/>
    <cellStyle name="Normal_3H8" xfId="2363"/>
    <cellStyle name="好_汇总-县级财政报表附表" xfId="2364"/>
    <cellStyle name="差_2006年分析表" xfId="2365"/>
    <cellStyle name="差 9" xfId="2366"/>
    <cellStyle name="差_11大理 8" xfId="2367"/>
    <cellStyle name="60% - 强调文字颜色 3 4" xfId="2368"/>
    <cellStyle name="常规 2 5 4" xfId="2369"/>
    <cellStyle name="好_地方配套按人均增幅控制8.30一般预算平均增幅、人均可用财力平均增幅两次控制、社会治安系数调整、案件数调整xl 3" xfId="2370"/>
    <cellStyle name="好_05玉溪 9" xfId="2371"/>
    <cellStyle name="好_义务教育阶段教职工人数（教育厅提供最终） 5" xfId="2372"/>
    <cellStyle name="好_高中教师人数（教育厅1.6日提供） 3" xfId="2373"/>
    <cellStyle name="好_~5676413 3" xfId="2374"/>
    <cellStyle name="差 4 2" xfId="2375"/>
    <cellStyle name="解释性文本 7 2" xfId="2376"/>
    <cellStyle name="差 3 6" xfId="2377"/>
    <cellStyle name="好_Book1 9" xfId="2378"/>
    <cellStyle name="40% - 强调文字颜色 4 2" xfId="2379"/>
    <cellStyle name="差_05玉溪 6" xfId="2380"/>
    <cellStyle name="差_1110洱源县 7" xfId="2381"/>
    <cellStyle name="Accent5 - 40% 7" xfId="2382"/>
    <cellStyle name="60% - Accent2" xfId="2383"/>
    <cellStyle name="好_1003牟定县 8" xfId="2384"/>
    <cellStyle name="Input 3" xfId="2385"/>
    <cellStyle name="标题 5 7" xfId="2386"/>
    <cellStyle name="千位分隔 2 2" xfId="2387"/>
    <cellStyle name="好_2009年一般性转移支付标准工资_奖励补助测算5.24冯铸 4" xfId="2388"/>
    <cellStyle name="差_5334_2006年迪庆县级财政报表附表 9" xfId="2389"/>
    <cellStyle name="差_云南省2008年中小学教职工情况（教育厅提供20090101加工整理） 4" xfId="2390"/>
    <cellStyle name="注释 8" xfId="2391"/>
    <cellStyle name="40% - 强调文字颜色 1 3 3" xfId="2392"/>
    <cellStyle name="差_M03 7" xfId="2393"/>
    <cellStyle name="差_11大理 4" xfId="2394"/>
    <cellStyle name="差_奖励补助测算5.22测试 9" xfId="2395"/>
    <cellStyle name="常规 2 6 5" xfId="2396"/>
    <cellStyle name="千位分隔[0] 2 9" xfId="2397"/>
    <cellStyle name="Accent1 5" xfId="2398"/>
    <cellStyle name="好_530623_2006年县级财政报表附表 6" xfId="2399"/>
    <cellStyle name="40% - 强调文字颜色 6 3 4" xfId="2400"/>
    <cellStyle name="60% - 强调文字颜色 1 3 5" xfId="2401"/>
    <cellStyle name="差_03昭通 5" xfId="2402"/>
    <cellStyle name="Accent2 8" xfId="2403"/>
    <cellStyle name="强调文字颜色 5 6" xfId="2404"/>
    <cellStyle name="好_2009年一般性转移支付标准工资_奖励补助测算7.23 3" xfId="2405"/>
    <cellStyle name="差_奖励补助测算5.23新 9" xfId="2406"/>
    <cellStyle name="好_530629_2006年县级财政报表附表 8" xfId="2407"/>
    <cellStyle name="40% - Accent4 8" xfId="2408"/>
    <cellStyle name="差_汇总-县级财政报表附表 5" xfId="2409"/>
    <cellStyle name="60% - Accent3 4" xfId="2410"/>
    <cellStyle name="商品名称" xfId="2411"/>
    <cellStyle name="好_不用软件计算9.1不考虑经费管理评价xl 3" xfId="2412"/>
    <cellStyle name="Accent4 - 40% 4" xfId="2413"/>
    <cellStyle name="差_下半年禁吸戒毒经费1000万元 4" xfId="2414"/>
    <cellStyle name="解释性文本 3" xfId="2415"/>
    <cellStyle name="Warning Text 7" xfId="2416"/>
    <cellStyle name="20% - 强调文字颜色 2 10" xfId="2417"/>
    <cellStyle name="20% - Accent4 5" xfId="2418"/>
    <cellStyle name="20% - 强调文字颜色 4 6" xfId="2419"/>
    <cellStyle name="常规 3 3 9" xfId="2420"/>
    <cellStyle name="差_1003牟定县 2" xfId="2421"/>
    <cellStyle name="20% - 强调文字颜色 1 10" xfId="2422"/>
    <cellStyle name="差_奖励补助测算7.25 7" xfId="2423"/>
    <cellStyle name="60% - Accent4 9" xfId="2424"/>
    <cellStyle name="好_M03 5" xfId="2425"/>
    <cellStyle name="差_2009年一般性转移支付标准工资_奖励补助测算5.24冯铸 9" xfId="2426"/>
    <cellStyle name="常规_2012年3月月报_2015年8月月报" xfId="2427"/>
    <cellStyle name="Accent2 - 20% 6" xfId="2428"/>
    <cellStyle name="Accent6 4" xfId="2429"/>
    <cellStyle name="差_2008云南省分县市中小学教职工统计表（教育厅提供） 9" xfId="2430"/>
    <cellStyle name="强调文字颜色 2 6 2" xfId="2431"/>
    <cellStyle name="Accent1 - 60%" xfId="2432"/>
    <cellStyle name="差_Book1 3" xfId="2433"/>
    <cellStyle name="Accent4 6" xfId="2434"/>
    <cellStyle name="好_地方配套按人均增幅控制8.31（调整结案率后）xl 3" xfId="2435"/>
    <cellStyle name="Accent5 5" xfId="2436"/>
    <cellStyle name="汇总 2" xfId="2437"/>
    <cellStyle name="差_Book2 2" xfId="2438"/>
    <cellStyle name="好_业务工作量指标 5" xfId="2439"/>
    <cellStyle name="60% - 强调文字颜色 5 3 3" xfId="2440"/>
    <cellStyle name="Heading 4 4" xfId="2441"/>
    <cellStyle name="20% - 强调文字颜色 1 6 2" xfId="2442"/>
    <cellStyle name="输入 4 2" xfId="2443"/>
    <cellStyle name="60% - Accent1 4" xfId="2444"/>
    <cellStyle name="差_奖励补助测算5.23新 3" xfId="2445"/>
    <cellStyle name="差_高中教师人数（教育厅1.6日提供）" xfId="2446"/>
    <cellStyle name="链接单元格 8 2" xfId="2447"/>
    <cellStyle name="Accent3 - 60% 5" xfId="2448"/>
    <cellStyle name="好_2009年一般性转移支付标准工资_~4190974 5" xfId="2449"/>
    <cellStyle name="好_00省级(打印) 8" xfId="2450"/>
    <cellStyle name="Accent4 - 40%" xfId="2451"/>
    <cellStyle name="标题 12 2" xfId="2452"/>
    <cellStyle name="好_第五部分(才淼、饶永宏） 6" xfId="2453"/>
    <cellStyle name="常规 3 3 5" xfId="2454"/>
    <cellStyle name="20% - 强调文字颜色 4 2" xfId="2455"/>
    <cellStyle name="20% - 强调文字颜色 5 3 5" xfId="2456"/>
    <cellStyle name="强调文字颜色 5 3 3" xfId="2457"/>
    <cellStyle name="常规 2 3" xfId="2458"/>
    <cellStyle name="60% - 强调文字颜色 5 10" xfId="2459"/>
    <cellStyle name="强调文字颜色 1 7 2" xfId="2460"/>
    <cellStyle name="好_奖励补助测算7.25" xfId="2461"/>
    <cellStyle name="警告文本 8" xfId="2462"/>
    <cellStyle name="好_2009年一般性转移支付标准工资_奖励补助测算7.23 7" xfId="2463"/>
    <cellStyle name="60% - Accent6 6" xfId="2464"/>
    <cellStyle name="强调文字颜色 4 3 6" xfId="2465"/>
    <cellStyle name="差_2009年一般性转移支付标准工资_奖励补助测算7.25 (version 1) (version 1)" xfId="2466"/>
    <cellStyle name="Heading 3 4" xfId="2467"/>
    <cellStyle name="差_2009年一般性转移支付标准工资_~5676413" xfId="2468"/>
    <cellStyle name="sstot" xfId="2469"/>
    <cellStyle name="Accent3 - 40% 6" xfId="2470"/>
    <cellStyle name="差_M01-2(州市补助收入) 9" xfId="2471"/>
    <cellStyle name="注释 8 2" xfId="2472"/>
    <cellStyle name="常规 3 3 2" xfId="2473"/>
    <cellStyle name="40% - 强调文字颜色 1 3 4" xfId="2474"/>
    <cellStyle name="差_云南省2008年中小学教职工情况（教育厅提供20090101加工整理） 5" xfId="2475"/>
    <cellStyle name="注释 9" xfId="2476"/>
    <cellStyle name="差_2006年在职人员情况 2" xfId="2477"/>
    <cellStyle name="百分比 3 2" xfId="2478"/>
    <cellStyle name="好_1003牟定县 3" xfId="2479"/>
    <cellStyle name="Accent5 - 40% 2" xfId="2480"/>
    <cellStyle name="强调文字颜色 3 10" xfId="2481"/>
    <cellStyle name="Accent4 - 20% 9" xfId="2482"/>
    <cellStyle name="40% - 强调文字颜色 2 4 2" xfId="2483"/>
    <cellStyle name="千位分隔 2 3" xfId="2484"/>
    <cellStyle name="好_奖励补助测算7.23 5" xfId="2485"/>
    <cellStyle name="百分比 9" xfId="2486"/>
    <cellStyle name="Accent1 - 20% 9" xfId="2487"/>
    <cellStyle name="20% - Accent1 9" xfId="2488"/>
    <cellStyle name="Accent2 4" xfId="2489"/>
    <cellStyle name="差_M01-2(州市补助收入)" xfId="2490"/>
    <cellStyle name="Heading 1 4" xfId="2491"/>
    <cellStyle name="强调文字颜色 3 3 5" xfId="2492"/>
    <cellStyle name="20% - 强调文字颜色 3 3 7" xfId="2493"/>
    <cellStyle name="Accent2 - 60% 9" xfId="2494"/>
    <cellStyle name="Accent1 - 40% 2" xfId="2495"/>
    <cellStyle name="差_2006年基础数据 2" xfId="2496"/>
    <cellStyle name="Accent4 - 20% 8" xfId="2497"/>
    <cellStyle name="40% - 强调文字颜色 2 7 2" xfId="2498"/>
    <cellStyle name="60% - 强调文字颜色 5 3 7" xfId="2499"/>
    <cellStyle name="40% - 强调文字颜色 4 3 2" xfId="2500"/>
    <cellStyle name="好_0502通海县 4" xfId="2501"/>
    <cellStyle name="20% - 强调文字颜色 3 5" xfId="2502"/>
    <cellStyle name="差_M03" xfId="2503"/>
    <cellStyle name="常规 3 2 8" xfId="2504"/>
    <cellStyle name="20% - Accent3 4" xfId="2505"/>
    <cellStyle name="差_2006年全省财力计算表（中央、决算）" xfId="2506"/>
    <cellStyle name="Accent6 6" xfId="2507"/>
    <cellStyle name="Heading 2 3" xfId="2508"/>
    <cellStyle name="差_0605石屏县 2" xfId="2509"/>
    <cellStyle name="20% - 强调文字颜色 4 7" xfId="2510"/>
    <cellStyle name="差_1003牟定县 3" xfId="2511"/>
    <cellStyle name="20% - Accent4 6" xfId="2512"/>
    <cellStyle name="Accent1_公安安全支出补充表5.14" xfId="2513"/>
    <cellStyle name="差_M03 9" xfId="2514"/>
    <cellStyle name="60% - 强调文字颜色 3 2" xfId="2515"/>
    <cellStyle name="差_11大理 6" xfId="2516"/>
    <cellStyle name="好_云南省2008年中小学教职工情况（教育厅提供20090101加工整理） 4" xfId="2517"/>
    <cellStyle name="Linked Cell 6" xfId="2518"/>
    <cellStyle name="好_2007年人员分部门统计表 5" xfId="2519"/>
    <cellStyle name="20% - 强调文字颜色 6 3" xfId="2520"/>
    <cellStyle name="差_业务工作量指标" xfId="2521"/>
    <cellStyle name="20% - Accent6 2" xfId="2522"/>
    <cellStyle name="标题 2 3 3" xfId="2523"/>
    <cellStyle name="差_奖励补助测算7.25 8" xfId="2524"/>
    <cellStyle name="Accent4 - 20% 3" xfId="2525"/>
    <cellStyle name="60% - 强调文字颜色 3 7 2" xfId="2526"/>
    <cellStyle name="常规_2001-2002年报表制度" xfId="2527"/>
    <cellStyle name="20% - 强调文字颜色 4 5 2" xfId="2528"/>
    <cellStyle name="好_汇总 8" xfId="2529"/>
    <cellStyle name="_20100326高清市院遂宁检察院1080P配置清单26日改" xfId="2530"/>
    <cellStyle name="40% - 强调文字颜色 4 3 3" xfId="2531"/>
    <cellStyle name="好_2006年水利统计指标统计表 6" xfId="2532"/>
    <cellStyle name="后继超链接 4" xfId="2533"/>
    <cellStyle name="Accent1" xfId="2534"/>
    <cellStyle name="Good 6" xfId="2535"/>
    <cellStyle name="60% - 强调文字颜色 5 3 6" xfId="2536"/>
    <cellStyle name="好_业务工作量指标 8" xfId="2537"/>
    <cellStyle name="40% - Accent3 9" xfId="2538"/>
    <cellStyle name="好_汇总 2" xfId="2539"/>
    <cellStyle name="_ET_STYLE_NoName_00__Book1" xfId="2540"/>
    <cellStyle name="40% - 强调文字颜色 3 8 2" xfId="2541"/>
    <cellStyle name="Heading 4" xfId="2542"/>
    <cellStyle name="Warning Text 5" xfId="2543"/>
    <cellStyle name="差_下半年禁吸戒毒经费1000万元 2" xfId="2544"/>
    <cellStyle name="40% - 强调文字颜色 1 9" xfId="2545"/>
    <cellStyle name="Accent6 - 20% 9" xfId="2546"/>
    <cellStyle name="好_05玉溪" xfId="2547"/>
    <cellStyle name="差 3 7" xfId="2548"/>
    <cellStyle name="20% - 强调文字颜色 4 3 7" xfId="2549"/>
    <cellStyle name="好_2009年一般性转移支付标准工资_奖励补助测算7.23 6" xfId="2550"/>
    <cellStyle name="New Times Roman" xfId="2551"/>
    <cellStyle name="标题 2 7 2" xfId="2552"/>
    <cellStyle name="检查单元格 5" xfId="2553"/>
    <cellStyle name="小数 3" xfId="2554"/>
    <cellStyle name="Accent5 - 60% 5" xfId="2555"/>
    <cellStyle name="20% - 强调文字颜色 1 3 3" xfId="2556"/>
    <cellStyle name="强调文字颜色 1 8 2" xfId="2557"/>
    <cellStyle name="Accent3 4" xfId="2558"/>
    <cellStyle name="差_2007年检察院案件数 4" xfId="2559"/>
    <cellStyle name="60% - 强调文字颜色 4 4" xfId="2560"/>
    <cellStyle name="好_2009年一般性转移支付标准工资_地方配套按人均增幅控制8.30一般预算平均增幅、人均可用财力平均增幅两次控制、社会治安系数调整、案件数调整xl 6" xfId="2561"/>
    <cellStyle name="差_05玉溪 4" xfId="2562"/>
    <cellStyle name="链接单元格 6 2" xfId="2563"/>
    <cellStyle name="Accent2 - 60% 4" xfId="2564"/>
    <cellStyle name="Accent3 - 20% 6" xfId="2565"/>
    <cellStyle name="好_2009年一般性转移支付标准工资_奖励补助测算7.23 8" xfId="2566"/>
    <cellStyle name="好_00省级(定稿) 4" xfId="2567"/>
    <cellStyle name="常规 6" xfId="2568"/>
    <cellStyle name="통화_BOILER-CO1" xfId="2569"/>
    <cellStyle name="comma zerodec" xfId="2570"/>
    <cellStyle name="差_县级公安机关公用经费标准奖励测算方案（定稿） 7" xfId="2571"/>
    <cellStyle name="标题 3 9 2" xfId="2572"/>
    <cellStyle name="20% - Accent5" xfId="2573"/>
    <cellStyle name="差_2009年一般性转移支付标准工资_~5676413 9" xfId="2574"/>
    <cellStyle name="40% - 强调文字颜色 6 6 2" xfId="2575"/>
    <cellStyle name="差_2006年水利统计指标统计表 3" xfId="2576"/>
    <cellStyle name="百分比 2 7" xfId="2577"/>
    <cellStyle name="差_00省级(打印) 5" xfId="2578"/>
    <cellStyle name="好_M01-2(州市补助收入) 7" xfId="2579"/>
    <cellStyle name="注释 3 7" xfId="2580"/>
    <cellStyle name="差_三季度－表二" xfId="2581"/>
    <cellStyle name="好_云南省2008年中小学教职工情况（教育厅提供20090101加工整理） 3" xfId="2582"/>
    <cellStyle name="常规 3 3 6" xfId="2583"/>
    <cellStyle name="20% - Accent4 2" xfId="2584"/>
    <cellStyle name="20% - 强调文字颜色 4 3" xfId="2585"/>
    <cellStyle name="差_0502通海县 4" xfId="2586"/>
    <cellStyle name="Accent4 - 60% 9" xfId="2587"/>
    <cellStyle name="好_2006年全省财力计算表（中央、决算） 5" xfId="2588"/>
    <cellStyle name="Accent4 4" xfId="2589"/>
    <cellStyle name="Accent5 - 20%" xfId="2590"/>
    <cellStyle name="强调文字颜色 4 3 4" xfId="2591"/>
    <cellStyle name="Explanatory Text" xfId="2592"/>
    <cellStyle name="60% - Accent6 4" xfId="2593"/>
    <cellStyle name="标题 3 7 2" xfId="2594"/>
    <cellStyle name="好_高中教师人数（教育厅1.6日提供） 6" xfId="2595"/>
    <cellStyle name="好_~5676413 6" xfId="2596"/>
    <cellStyle name="差_2007年人员分部门统计表 3" xfId="2597"/>
    <cellStyle name="60% - 强调文字颜色 6 4 2" xfId="2598"/>
    <cellStyle name="常规 2 5 2" xfId="2599"/>
    <cellStyle name="常规 2 6 4" xfId="2600"/>
    <cellStyle name="60% - 强调文字颜色 3 3 3" xfId="2601"/>
    <cellStyle name="Accent2 - 60% 8" xfId="2602"/>
    <cellStyle name="差_M01-2(州市补助收入) 3" xfId="2603"/>
    <cellStyle name="解释性文本 3 6" xfId="2604"/>
    <cellStyle name="检查单元格 3 5" xfId="2605"/>
    <cellStyle name="Accent6 - 40% 6" xfId="2606"/>
    <cellStyle name="标题 3 6 2" xfId="2607"/>
    <cellStyle name="20% - 强调文字颜色 4 3 6" xfId="2608"/>
    <cellStyle name="20% - 强调文字颜色 1 4 2" xfId="2609"/>
    <cellStyle name="差_2009年一般性转移支付标准工资_~4190974 6" xfId="2610"/>
    <cellStyle name="20% - 强调文字颜色 6 5 2" xfId="2611"/>
    <cellStyle name="适中 3 4" xfId="2612"/>
    <cellStyle name="PSHeading" xfId="2613"/>
    <cellStyle name="差_2009年一般性转移支付标准工资_~5676413 4" xfId="2614"/>
    <cellStyle name="常规 5 7" xfId="2615"/>
    <cellStyle name="60% - 强调文字颜色 6 8 2" xfId="2616"/>
    <cellStyle name="差_2009年一般性转移支付标准工资_奖励补助测算5.22测试 5" xfId="2617"/>
    <cellStyle name="强调文字颜色 3 3 3" xfId="2618"/>
    <cellStyle name="好_11大理 7" xfId="2619"/>
    <cellStyle name="标题 6 5" xfId="2620"/>
    <cellStyle name="Accent3 - 40% 9" xfId="2621"/>
    <cellStyle name="强调文字颜色 2 9 2" xfId="2622"/>
    <cellStyle name="40% - Accent1 5" xfId="2623"/>
    <cellStyle name="好_奖励补助测算5.22测试 4" xfId="2624"/>
    <cellStyle name="差_2009年一般性转移支付标准工资 3" xfId="2625"/>
    <cellStyle name="Heading 3 6" xfId="2626"/>
    <cellStyle name="Accent2 - 20% 7" xfId="2627"/>
    <cellStyle name="Accent2 - 20% 4" xfId="2628"/>
    <cellStyle name="数量" xfId="2629"/>
    <cellStyle name="40% - 强调文字颜色 4 3 5" xfId="2630"/>
    <cellStyle name="好_第五部分(才淼、饶永宏） 7" xfId="2631"/>
    <cellStyle name="标题 1 8 2" xfId="2632"/>
    <cellStyle name="常规 3 6" xfId="2633"/>
    <cellStyle name="Comma [0]" xfId="2634"/>
    <cellStyle name="差_2009年一般性转移支付标准工资_地方配套按人均增幅控制8.30xl 7" xfId="2635"/>
    <cellStyle name="Accent5 - 60% 3" xfId="2636"/>
    <cellStyle name="40% - 强调文字颜色 2 3 6" xfId="2637"/>
    <cellStyle name="Accent1 - 20%" xfId="2638"/>
    <cellStyle name="好_2006年基础数据 7" xfId="2639"/>
    <cellStyle name="20% - Accent1" xfId="2640"/>
    <cellStyle name="强调文字颜色 1 3 2" xfId="2641"/>
    <cellStyle name="40% - Accent5 9" xfId="2642"/>
    <cellStyle name="好_不用软件计算9.1不考虑经费管理评价xl 2" xfId="2643"/>
    <cellStyle name="好_云南农村义务教育统计表 9" xfId="2644"/>
    <cellStyle name="40% - 强调文字颜色 6 3 2" xfId="2645"/>
    <cellStyle name="60% - 强调文字颜色 1 3 3" xfId="2646"/>
    <cellStyle name="差_03昭通 3" xfId="2647"/>
    <cellStyle name="Accent2 6" xfId="2648"/>
    <cellStyle name="60% - 强调文字颜色 5 7 2" xfId="2649"/>
    <cellStyle name="Accent4 - 40% 3" xfId="2650"/>
    <cellStyle name="差_县级基础数据" xfId="2651"/>
    <cellStyle name="差_奖励补助测算5.23新" xfId="2652"/>
    <cellStyle name="日期" xfId="2653"/>
    <cellStyle name="60% - 强调文字颜色 6 3 2" xfId="2654"/>
    <cellStyle name="Accent3 - 20% 8" xfId="2655"/>
    <cellStyle name="差_2009年一般性转移支付标准工资_奖励补助测算7.25 (version 1) (version 1) 6" xfId="2656"/>
    <cellStyle name="差_Book2 7" xfId="2657"/>
    <cellStyle name="汇总 7" xfId="2658"/>
    <cellStyle name="好_2006年基础数据 3" xfId="2659"/>
    <cellStyle name="常规 37" xfId="2660"/>
    <cellStyle name="常规 42" xfId="2661"/>
    <cellStyle name="20% - 强调文字颜色 2 3 4" xfId="2662"/>
    <cellStyle name="强调文字颜色 3 3 4" xfId="2663"/>
    <cellStyle name="标题 2 6 2" xfId="2664"/>
    <cellStyle name="60% - 强调文字颜色 6 7 2" xfId="2665"/>
    <cellStyle name="差_03昭通 9" xfId="2666"/>
    <cellStyle name="链接单元格 3 5" xfId="2667"/>
    <cellStyle name="强调文字颜色 6 3 6" xfId="2668"/>
    <cellStyle name="标题 1 2" xfId="2669"/>
    <cellStyle name="好_1003牟定县" xfId="2670"/>
    <cellStyle name="40% - 强调文字颜色 2 7" xfId="2671"/>
    <cellStyle name="差_下半年禁毒办案经费分配2544.3万元" xfId="2672"/>
    <cellStyle name="好_2、土地面积、人口、粮食产量基本情况 2" xfId="2673"/>
    <cellStyle name="好_财政供养人员 6" xfId="2674"/>
    <cellStyle name="差_5334_2006年迪庆县级财政报表附表 7" xfId="2675"/>
    <cellStyle name="好_M01-2(州市补助收入)" xfId="2676"/>
    <cellStyle name="Good 2" xfId="2677"/>
    <cellStyle name="常规 10 2" xfId="2678"/>
    <cellStyle name="好_2006年全省财力计算表（中央、决算） 2" xfId="2679"/>
    <cellStyle name="Accent4 - 60% 6" xfId="2680"/>
    <cellStyle name="千位分隔 3 6" xfId="2681"/>
    <cellStyle name="计算 3" xfId="2682"/>
    <cellStyle name="好_义务教育阶段教职工人数（教育厅提供最终）" xfId="2683"/>
    <cellStyle name="好 10" xfId="2684"/>
    <cellStyle name="Heading 4 6" xfId="2685"/>
    <cellStyle name="常规 2" xfId="2686"/>
    <cellStyle name="差_2006年水利统计指标统计表 5" xfId="2687"/>
    <cellStyle name="百分比 2 9" xfId="2688"/>
    <cellStyle name="差_2007年政法部门业务指标 8" xfId="2689"/>
    <cellStyle name="警告文本 3 7" xfId="2690"/>
    <cellStyle name="40% - Accent6 7" xfId="2691"/>
    <cellStyle name="捠壿_Region Orders (2)" xfId="2692"/>
    <cellStyle name="差_5334_2006年迪庆县级财政报表附表 4" xfId="2693"/>
    <cellStyle name="标题 3 3 4" xfId="2694"/>
    <cellStyle name="Note 4" xfId="2695"/>
    <cellStyle name="常规 5 2 7" xfId="2696"/>
    <cellStyle name="差_第五部分(才淼、饶永宏）" xfId="2697"/>
    <cellStyle name="差_奖励补助测算5.22测试 7" xfId="2698"/>
    <cellStyle name="输出 6 2" xfId="2699"/>
    <cellStyle name="好_教育厅提供义务教育及高中教师人数（2009年1月6日） 5" xfId="2700"/>
    <cellStyle name="Warning Text 4" xfId="2701"/>
    <cellStyle name="Accent5 3" xfId="2702"/>
    <cellStyle name="好_云南农村义务教育统计表 7" xfId="2703"/>
    <cellStyle name="Heading 2 5" xfId="2704"/>
    <cellStyle name="差_0605石屏县 4" xfId="2705"/>
    <cellStyle name="好_2009年一般性转移支付标准工资_地方配套按人均增幅控制8.31（调整结案率后）xl 3" xfId="2706"/>
    <cellStyle name="差_5334_2006年迪庆县级财政报表附表" xfId="2707"/>
    <cellStyle name="标题 7" xfId="2708"/>
    <cellStyle name="40% - 强调文字颜色 5 3 7" xfId="2709"/>
    <cellStyle name="20% - 强调文字颜色 4 3 2" xfId="2710"/>
    <cellStyle name="Accent4 - 40% 2" xfId="2711"/>
    <cellStyle name="60% - 强调文字颜色 4 9" xfId="2712"/>
    <cellStyle name="输入 4" xfId="2713"/>
    <cellStyle name="20% - Accent1 5" xfId="2714"/>
    <cellStyle name="Accent1 - 20% 5" xfId="2715"/>
    <cellStyle name="20% - 强调文字颜色 1 6" xfId="2716"/>
    <cellStyle name="好_2、土地面积、人口、粮食产量基本情况 3" xfId="2717"/>
    <cellStyle name="好_财政供养人员 7" xfId="2718"/>
    <cellStyle name="差_第五部分(才淼、饶永宏） 8" xfId="2719"/>
    <cellStyle name="百分比 2 5" xfId="2720"/>
    <cellStyle name="60% - Accent4 8" xfId="2721"/>
    <cellStyle name="差_奖励补助测算7.25 6" xfId="2722"/>
    <cellStyle name="好_M03 4" xfId="2723"/>
    <cellStyle name="20% - 强调文字颜色 4 3 4" xfId="2724"/>
    <cellStyle name="60% - 强调文字颜色 5 9 2" xfId="2725"/>
    <cellStyle name="差_1110洱源县 5" xfId="2726"/>
    <cellStyle name="警告文本 3 2" xfId="2727"/>
    <cellStyle name="40% - Accent6 2" xfId="2728"/>
    <cellStyle name="常规_分市5" xfId="2729"/>
    <cellStyle name="好_~4190974 2" xfId="2730"/>
    <cellStyle name="差_县级公安机关公用经费标准奖励测算方案（定稿）" xfId="2731"/>
    <cellStyle name="差_云南农村义务教育统计表 3" xfId="2732"/>
    <cellStyle name="好_奖励补助测算7.25 3" xfId="2733"/>
    <cellStyle name="Accent6 - 60% 6" xfId="2734"/>
    <cellStyle name="强调文字颜色 1 3 6" xfId="2735"/>
    <cellStyle name="标题 3 2" xfId="2736"/>
    <cellStyle name="解释性文本 3 2" xfId="2737"/>
    <cellStyle name="Calculation 2" xfId="2738"/>
    <cellStyle name="40% - 强调文字颜色 5 5" xfId="2739"/>
    <cellStyle name="差_0605石屏县 7" xfId="2740"/>
    <cellStyle name="好_2009年一般性转移支付标准工资_地方配套按人均增幅控制8.31（调整结案率后）xl 6" xfId="2741"/>
    <cellStyle name="好_奖励补助测算7.25 (version 1) (version 1) 9" xfId="2742"/>
    <cellStyle name="常规 2 4" xfId="2743"/>
    <cellStyle name="Explanatory Text 6" xfId="2744"/>
    <cellStyle name="40% - Accent6 8" xfId="2745"/>
    <cellStyle name="Accent4 - 40% 9" xfId="2746"/>
    <cellStyle name="20% - Accent2 9" xfId="2747"/>
    <cellStyle name="常规 2 7 4" xfId="2748"/>
    <cellStyle name="好_三季度－表二 2" xfId="2749"/>
    <cellStyle name="好_不用软件计算9.1不考虑经费管理评价xl 8" xfId="2750"/>
    <cellStyle name="常规 2 4 3" xfId="2751"/>
    <cellStyle name="好_530629_2006年县级财政报表附表 6" xfId="2752"/>
    <cellStyle name="PSInt" xfId="2753"/>
    <cellStyle name="强调文字颜色 3 2" xfId="2754"/>
    <cellStyle name="好_Book2 4" xfId="2755"/>
    <cellStyle name="20% - 强调文字颜色 2 3" xfId="2756"/>
    <cellStyle name="20% - Accent2 2" xfId="2757"/>
    <cellStyle name="好_03昭通 8" xfId="2758"/>
    <cellStyle name="好_00省级(打印) 9" xfId="2759"/>
    <cellStyle name="标题 6 3" xfId="2760"/>
    <cellStyle name="Accent3 - 40% 7" xfId="2761"/>
    <cellStyle name="60% - 强调文字颜色 2 8 2" xfId="2762"/>
    <cellStyle name="适中 3" xfId="2763"/>
    <cellStyle name="输入 10" xfId="2764"/>
    <cellStyle name="强调文字颜色 4 8" xfId="2765"/>
    <cellStyle name="好_Book2 2" xfId="2766"/>
    <cellStyle name="好_2009年一般性转移支付标准工资_地方配套按人均增幅控制8.30xl 8" xfId="2767"/>
    <cellStyle name="链接单元格 9" xfId="2768"/>
    <cellStyle name="常规 8 4" xfId="2769"/>
    <cellStyle name="好_2006年在职人员情况 8" xfId="2770"/>
    <cellStyle name="Accent5 - 20% 3" xfId="2771"/>
    <cellStyle name="常规 2 4 6" xfId="2772"/>
    <cellStyle name="百分比 6 2" xfId="2773"/>
    <cellStyle name="好_2006年全省财力计算表（中央、决算） 8" xfId="2774"/>
    <cellStyle name="Calculation" xfId="2775"/>
    <cellStyle name="差_地方配套按人均增幅控制8.31（调整结案率后）xl 5" xfId="2776"/>
    <cellStyle name="注释 2 6" xfId="2777"/>
    <cellStyle name="差_2009年一般性转移支付标准工资_~5676413 7" xfId="2778"/>
    <cellStyle name="好_2006年基础数据 9" xfId="2779"/>
    <cellStyle name="20% - Accent3" xfId="2780"/>
    <cellStyle name="60% - 强调文字颜色 1 3 2" xfId="2781"/>
    <cellStyle name="20% - 强调文字颜色 4 9 2" xfId="2782"/>
    <cellStyle name="好_奖励补助测算5.23新 5" xfId="2783"/>
    <cellStyle name="常规 6 9" xfId="2784"/>
    <cellStyle name="差_2009年一般性转移支付标准工资_不用软件计算9.1不考虑经费管理评价xl" xfId="2785"/>
    <cellStyle name="差_~5676413 3" xfId="2786"/>
    <cellStyle name="Accent4 - 20% 2" xfId="2787"/>
    <cellStyle name="好_奖励补助测算5.23新 8" xfId="2788"/>
    <cellStyle name="差_三季度－表二 3" xfId="2789"/>
    <cellStyle name="差_2006年基础数据" xfId="2790"/>
    <cellStyle name="强调文字颜色 2 4 2" xfId="2791"/>
    <cellStyle name="Accent1 - 40%" xfId="2792"/>
    <cellStyle name="好_2009年一般性转移支付标准工资_地方配套按人均增幅控制8.31（调整结案率后）xl 9" xfId="2793"/>
    <cellStyle name="60% - 强调文字颜色 4 4 2" xfId="2794"/>
    <cellStyle name="常规 65" xfId="2795"/>
    <cellStyle name="注释 2 5" xfId="2796"/>
    <cellStyle name="40% - 强调文字颜色 5 9" xfId="2797"/>
    <cellStyle name="标题 5 3" xfId="2798"/>
    <cellStyle name="差_~4190974 5" xfId="2799"/>
    <cellStyle name="Accent2 - 60% 6" xfId="2800"/>
    <cellStyle name="强调文字颜色 3 3 2" xfId="2801"/>
    <cellStyle name="_Book1_1" xfId="2802"/>
    <cellStyle name="20% - 强调文字颜色 3 3 4" xfId="2803"/>
    <cellStyle name="汇总 8 2" xfId="2804"/>
    <cellStyle name="强调文字颜色 6 6" xfId="2805"/>
    <cellStyle name="Accent6 7" xfId="2806"/>
    <cellStyle name="好_0502通海县 5" xfId="2807"/>
    <cellStyle name="好_奖励补助测算5.23新 2" xfId="2808"/>
    <cellStyle name="差_义务教育阶段教职工人数（教育厅提供最终）" xfId="2809"/>
    <cellStyle name="Accent5 - 20% 2" xfId="2810"/>
    <cellStyle name="Accent5 4" xfId="2811"/>
    <cellStyle name="60% - 强调文字颜色 3 3 2" xfId="2812"/>
    <cellStyle name="好_奖励补助测算7.25 (version 1) (version 1) 7" xfId="2813"/>
    <cellStyle name="Good 5" xfId="2814"/>
    <cellStyle name="标题 9" xfId="2815"/>
    <cellStyle name="注释 3 3" xfId="2816"/>
    <cellStyle name="40% - 强调文字颜色 6 7" xfId="2817"/>
    <cellStyle name="Note 8" xfId="2818"/>
    <cellStyle name="后继超链接 2" xfId="2819"/>
    <cellStyle name="好_2006年水利统计指标统计表 4" xfId="2820"/>
    <cellStyle name="差_M01-2(州市补助收入) 5" xfId="2821"/>
    <cellStyle name="Accent3 - 40% 2" xfId="2822"/>
    <cellStyle name="强调文字颜色 1 6 2" xfId="2823"/>
    <cellStyle name="好_2009年一般性转移支付标准工资_地方配套按人均增幅控制8.30一般预算平均增幅、人均可用财力平均增幅两次控制、社会治安系数调整、案件数调整xl 8" xfId="2824"/>
    <cellStyle name="60% - 强调文字颜色 4 6" xfId="2825"/>
    <cellStyle name="标题 4 5 2" xfId="2826"/>
    <cellStyle name="差_2006年在职人员情况 6" xfId="2827"/>
    <cellStyle name="差_云南省2008年中小学教职工情况（教育厅提供20090101加工整理） 9" xfId="2828"/>
    <cellStyle name="60% - Accent5 3" xfId="2829"/>
    <cellStyle name="60% - Accent5 5" xfId="2830"/>
    <cellStyle name="Heading 2 4" xfId="2831"/>
    <cellStyle name="20% - 强调文字颜色 6 9 2" xfId="2832"/>
    <cellStyle name="60% - Accent2 3" xfId="2833"/>
    <cellStyle name="60% - 强调文字颜色 2 6" xfId="2834"/>
    <cellStyle name="40% - 强调文字颜色 2 5 2" xfId="2835"/>
    <cellStyle name="千位分隔 3 3" xfId="2836"/>
    <cellStyle name="60% - 强调文字颜色 1 4 2" xfId="2837"/>
    <cellStyle name="差_2007年检察院案件数 5" xfId="2838"/>
    <cellStyle name="Accent3 5" xfId="2839"/>
    <cellStyle name="40% - Accent1 2" xfId="2840"/>
    <cellStyle name="计算 6" xfId="2841"/>
    <cellStyle name="差_地方配套按人均增幅控制8.30xl" xfId="2842"/>
    <cellStyle name="20% - 强调文字颜色 6 4 2" xfId="2843"/>
    <cellStyle name="40% - 强调文字颜色 3 5" xfId="2844"/>
    <cellStyle name="好_云南农村义务教育统计表 8" xfId="2845"/>
    <cellStyle name="60% - 强调文字颜色 4 8" xfId="2846"/>
    <cellStyle name="差_2、土地面积、人口、粮食产量基本情况" xfId="2847"/>
    <cellStyle name="Accent4 2" xfId="2848"/>
    <cellStyle name="好_M03 8" xfId="2849"/>
    <cellStyle name="差_汇总 4" xfId="2850"/>
    <cellStyle name="20% - 强调文字颜色 5 7 2" xfId="2851"/>
    <cellStyle name="标题 6 4" xfId="2852"/>
    <cellStyle name="差_2009年一般性转移支付标准工资_地方配套按人均增幅控制8.31（调整结案率后）xl" xfId="2853"/>
    <cellStyle name="Accent3 - 40% 8" xfId="2854"/>
    <cellStyle name="差_2006年在职人员情况 9" xfId="2855"/>
    <cellStyle name="好_财政供养人员 3" xfId="2856"/>
    <cellStyle name="差_2009年一般性转移支付标准工资_奖励补助测算7.23 5" xfId="2857"/>
    <cellStyle name="数字 2" xfId="2858"/>
    <cellStyle name="Calculation 4" xfId="2859"/>
    <cellStyle name="60% - Accent5 8" xfId="2860"/>
    <cellStyle name="好_义务教育阶段教职工人数（教育厅提供最终） 3" xfId="2861"/>
    <cellStyle name="标题 13" xfId="2862"/>
    <cellStyle name="6mal" xfId="2863"/>
    <cellStyle name="差_M03 8" xfId="2864"/>
    <cellStyle name="差_11大理 5" xfId="2865"/>
    <cellStyle name="差_2007年政法部门业务指标 9" xfId="2866"/>
    <cellStyle name="Heading 2 2" xfId="2867"/>
    <cellStyle name="好_05玉溪 5" xfId="2868"/>
    <cellStyle name="差_云南农村义务教育统计表 2" xfId="2869"/>
    <cellStyle name="好_汇总-县级财政报表附表 2" xfId="2870"/>
    <cellStyle name="40% - Accent1" xfId="2871"/>
    <cellStyle name="输出 2" xfId="2872"/>
    <cellStyle name="60% - 强调文字颜色 3 4 2" xfId="2873"/>
    <cellStyle name="注释 2 8" xfId="2874"/>
    <cellStyle name="Heading 2 7" xfId="2875"/>
    <cellStyle name="20% - Accent5 4" xfId="2876"/>
    <cellStyle name="20% - 强调文字颜色 5 5" xfId="2877"/>
    <cellStyle name="40% - 强调文字颜色 5 6 2" xfId="2878"/>
    <cellStyle name="20% - Accent3 2" xfId="2879"/>
    <cellStyle name="20% - 强调文字颜色 3 3" xfId="2880"/>
    <cellStyle name="常规 3 2 6" xfId="2881"/>
    <cellStyle name="百分比 2 2" xfId="2882"/>
    <cellStyle name="强调文字颜色 5 3 5" xfId="2883"/>
    <cellStyle name="输出 7 2" xfId="2884"/>
    <cellStyle name="Title 7" xfId="2885"/>
    <cellStyle name="好_M01-2(州市补助收入) 2" xfId="2886"/>
    <cellStyle name="好_奖励补助测算5.23新 6" xfId="2887"/>
    <cellStyle name="百分比 3 8" xfId="2888"/>
    <cellStyle name="20% - 强调文字颜色 2 6 2" xfId="2889"/>
    <cellStyle name="40% - Accent3 4" xfId="2890"/>
    <cellStyle name="差_2009年一般性转移支付标准工资_地方配套按人均增幅控制8.31（调整结案率后）xl 9" xfId="2891"/>
    <cellStyle name="标题 1 4 2" xfId="2892"/>
    <cellStyle name="注释 2" xfId="2893"/>
    <cellStyle name="60% - 强调文字颜色 2 3 2" xfId="2894"/>
    <cellStyle name="PSSpacer" xfId="2895"/>
    <cellStyle name="Accent4 - 60% 3" xfId="2896"/>
    <cellStyle name="20% - 强调文字颜色 1 8 2" xfId="2897"/>
    <cellStyle name="标题 1 8" xfId="2898"/>
    <cellStyle name="好_2008云南省分县市中小学教职工统计表（教育厅提供） 2" xfId="2899"/>
    <cellStyle name="40% - 强调文字颜色 4 6" xfId="2900"/>
    <cellStyle name="标题 6 2" xfId="2901"/>
    <cellStyle name="差_指标四 5" xfId="2902"/>
    <cellStyle name="差_奖励补助测算7.25 (version 1) (version 1) 7" xfId="2903"/>
    <cellStyle name="差_00省级(打印) 9" xfId="2904"/>
    <cellStyle name="60% - Accent4 6" xfId="2905"/>
    <cellStyle name="差_奖励补助测算7.25 4" xfId="2906"/>
    <cellStyle name="好_M03 2" xfId="2907"/>
    <cellStyle name="Accent3 - 40% 5" xfId="2908"/>
    <cellStyle name="差_M01-2(州市补助收入) 8" xfId="2909"/>
    <cellStyle name="好_汇总-县级财政报表附表 4" xfId="2910"/>
    <cellStyle name="40% - Accent3" xfId="2911"/>
    <cellStyle name="Accent6 5" xfId="2912"/>
    <cellStyle name="好_0502通海县 3" xfId="2913"/>
    <cellStyle name="60% - 强调文字颜色 5 5" xfId="2914"/>
    <cellStyle name="Note 9" xfId="2915"/>
    <cellStyle name="常规 19 2" xfId="2916"/>
    <cellStyle name="好_530629_2006年县级财政报表附表" xfId="2917"/>
    <cellStyle name="常规 2 4 4" xfId="2918"/>
    <cellStyle name="60% - 强调文字颜色 2 4" xfId="2919"/>
    <cellStyle name="好_2009年一般性转移支付标准工资_地方配套按人均增幅控制8.31（调整结案率后）xl 8" xfId="2920"/>
    <cellStyle name="好_2008云南省分县市中小学教职工统计表（教育厅提供） 5" xfId="2921"/>
    <cellStyle name="好_汇总-县级财政报表附表 3" xfId="2922"/>
    <cellStyle name="40% - Accent2" xfId="2923"/>
    <cellStyle name="好_0502通海县 2" xfId="2924"/>
    <cellStyle name="差_1110洱源县 2" xfId="2925"/>
    <cellStyle name="60% - 强调文字颜色 6 7" xfId="2926"/>
    <cellStyle name="Accent3 - 20% 9" xfId="2927"/>
    <cellStyle name="20% - 强调文字颜色 6 6 2" xfId="2928"/>
    <cellStyle name="计算 3 6" xfId="2929"/>
    <cellStyle name="差_县级公安机关公用经费标准奖励测算方案（定稿） 4" xfId="2930"/>
    <cellStyle name="Accent6 9" xfId="2931"/>
    <cellStyle name="标题 8" xfId="2932"/>
    <cellStyle name="20% - Accent2" xfId="2933"/>
    <cellStyle name="好_2006年基础数据 8" xfId="2934"/>
    <cellStyle name="Date" xfId="2935"/>
    <cellStyle name="常规 5 9" xfId="2936"/>
    <cellStyle name="差_2009年一般性转移支付标准工资_~5676413 6" xfId="2937"/>
    <cellStyle name="20% - 强调文字颜色 5 4 2" xfId="2938"/>
    <cellStyle name="差_地方配套按人均增幅控制8.30xl 7" xfId="2939"/>
    <cellStyle name="Linked Cell 7" xfId="2940"/>
    <cellStyle name="好_云南省2008年中小学教职工情况（教育厅提供20090101加工整理） 5" xfId="2941"/>
    <cellStyle name="差_2009年一般性转移支付标准工资 9" xfId="2942"/>
    <cellStyle name="好_2009年一般性转移支付标准工资_不用软件计算9.1不考虑经费管理评价xl" xfId="2943"/>
    <cellStyle name="Output 9" xfId="2944"/>
    <cellStyle name="好_县级公安机关公用经费标准奖励测算方案（定稿） 5" xfId="2945"/>
    <cellStyle name="常规_农业生产情况" xfId="2946"/>
    <cellStyle name="强调文字颜色 4 3 3" xfId="2947"/>
    <cellStyle name="60% - Accent6 3" xfId="2948"/>
    <cellStyle name="差_地方配套按人均增幅控制8.30一般预算平均增幅、人均可用财力平均增幅两次控制、社会治安系数调整、案件数调整xl 4" xfId="2949"/>
    <cellStyle name="40% - Accent4 7" xfId="2950"/>
    <cellStyle name="Accent6 - 60% 2" xfId="2951"/>
    <cellStyle name="好_第五部分(才淼、饶永宏） 4" xfId="2952"/>
    <cellStyle name="常规 2 4 7" xfId="2953"/>
    <cellStyle name="好_2、土地面积、人口、粮食产量基本情况 6" xfId="2954"/>
    <cellStyle name="60% - 强调文字颜色 2 7" xfId="2955"/>
    <cellStyle name="Accent1 - 60% 2" xfId="2956"/>
    <cellStyle name="标题 1 5" xfId="2957"/>
    <cellStyle name="强调文字颜色 6 3 2" xfId="2958"/>
    <cellStyle name="好_义务教育阶段教职工人数（教育厅提供最终） 6" xfId="2959"/>
    <cellStyle name="差_指标四 2" xfId="2960"/>
    <cellStyle name="20% - 强调文字颜色 3 3 2" xfId="2961"/>
    <cellStyle name="40% - 强调文字颜色 4 3 7" xfId="2962"/>
    <cellStyle name="差_检验表" xfId="2963"/>
    <cellStyle name="20% - Accent5 5" xfId="2964"/>
    <cellStyle name="20% - 强调文字颜色 5 6" xfId="2965"/>
    <cellStyle name="Accent5 2" xfId="2966"/>
    <cellStyle name="差_M03 2" xfId="2967"/>
    <cellStyle name="好_云南省2008年中小学教职工情况（教育厅提供20090101加工整理） 6" xfId="2968"/>
    <cellStyle name="20% - 强调文字颜色 3 5 2" xfId="2969"/>
    <cellStyle name="Accent2 - 20% 5" xfId="2970"/>
    <cellStyle name="好 3 5" xfId="2971"/>
    <cellStyle name="40% - 强调文字颜色 6 4" xfId="2972"/>
    <cellStyle name="差_Book1_1 6" xfId="2973"/>
    <cellStyle name="Mon閠aire_!!!GO" xfId="2974"/>
    <cellStyle name="60% - 强调文字颜色 4 3 3" xfId="2975"/>
    <cellStyle name="常规 21" xfId="2976"/>
    <cellStyle name="常规 16" xfId="2977"/>
    <cellStyle name="20% - 强调文字颜色 5 9" xfId="2978"/>
    <cellStyle name="强调 2" xfId="2979"/>
    <cellStyle name="20% - Accent5 8" xfId="2980"/>
    <cellStyle name="强调文字颜色 3 3" xfId="2981"/>
    <cellStyle name="常规 2 10" xfId="2982"/>
    <cellStyle name="常规 7 7" xfId="2983"/>
    <cellStyle name="40% - 强调文字颜色 2 3 3" xfId="2984"/>
    <cellStyle name="Note 6" xfId="2985"/>
    <cellStyle name="常规 5 2 9" xfId="2986"/>
    <cellStyle name="强调文字颜色 5 5" xfId="2987"/>
    <cellStyle name="好_Book1 4" xfId="2988"/>
    <cellStyle name="常规 3 10" xfId="2989"/>
    <cellStyle name="40% - 强调文字颜色 2 2" xfId="2990"/>
    <cellStyle name="40% - 强调文字颜色 6 10" xfId="2991"/>
    <cellStyle name="Input 6" xfId="2992"/>
    <cellStyle name="强调文字颜色 2 2" xfId="2993"/>
    <cellStyle name="40% - 强调文字颜色 1 3 7" xfId="2994"/>
    <cellStyle name="差_2006年在职人员情况 5" xfId="2995"/>
    <cellStyle name="差_云南省2008年中小学教职工情况（教育厅提供20090101加工整理） 8" xfId="2996"/>
    <cellStyle name="Linked Cell 8" xfId="2997"/>
    <cellStyle name="常规 73" xfId="2998"/>
    <cellStyle name="强调文字颜色 6 3 4" xfId="2999"/>
    <cellStyle name="差_530623_2006年县级财政报表附表 5" xfId="3000"/>
    <cellStyle name="借出原因" xfId="3001"/>
    <cellStyle name="差_业务工作量指标 6" xfId="3002"/>
    <cellStyle name="20% - 强调文字颜色 6 3 6" xfId="3003"/>
    <cellStyle name="好_汇总 6" xfId="3004"/>
    <cellStyle name="好_奖励补助测算7.25 (version 1) (version 1) 5" xfId="3005"/>
    <cellStyle name="好 3 4" xfId="3006"/>
    <cellStyle name="40% - 强调文字颜色 6 3" xfId="3007"/>
    <cellStyle name="强调文字颜色 5 2" xfId="3008"/>
    <cellStyle name="60% - 强调文字颜色 5 8" xfId="3009"/>
    <cellStyle name="好_三季度－表二 6" xfId="3010"/>
    <cellStyle name="常规 2 7 8" xfId="3011"/>
    <cellStyle name="Accent2 - 60% 5" xfId="3012"/>
    <cellStyle name="强调文字颜色 3 8 2" xfId="3013"/>
    <cellStyle name="20% - 强调文字颜色 3 3 3" xfId="3014"/>
    <cellStyle name="好_00省级(打印) 5" xfId="3015"/>
    <cellStyle name="Accent1 - 40% 8" xfId="3016"/>
    <cellStyle name="差_2006年基础数据 8" xfId="3017"/>
    <cellStyle name="Heading 4 8" xfId="3018"/>
    <cellStyle name="常规 4" xfId="3019"/>
    <cellStyle name="Accent6_公安安全支出补充表5.14" xfId="3020"/>
    <cellStyle name="好_业务工作量指标 9" xfId="3021"/>
    <cellStyle name="差_530629_2006年县级财政报表附表 6" xfId="3022"/>
    <cellStyle name="计算 3 4" xfId="3023"/>
    <cellStyle name="差_1003牟定县 8" xfId="3024"/>
    <cellStyle name="40% - 强调文字颜色 2 9" xfId="3025"/>
    <cellStyle name="好_2007年政法部门业务指标" xfId="3026"/>
    <cellStyle name="标题 3 4 2" xfId="3027"/>
    <cellStyle name="Heading 3 3" xfId="3028"/>
    <cellStyle name="常规 6 8" xfId="3029"/>
    <cellStyle name="好_2007年检察院案件数 2" xfId="3030"/>
    <cellStyle name="数字 5" xfId="3031"/>
    <cellStyle name="Calculation 7" xfId="3032"/>
    <cellStyle name="40% - 强调文字颜色 4 8 2" xfId="3033"/>
    <cellStyle name="Accent1 7" xfId="3034"/>
    <cellStyle name="好_奖励补助测算5.24冯铸 9" xfId="3035"/>
    <cellStyle name="好_2009年一般性转移支付标准工资_奖励补助测算7.23 4" xfId="3036"/>
    <cellStyle name="20% - 强调文字颜色 4 3 5" xfId="3037"/>
    <cellStyle name="40% - 强调文字颜色 2 3" xfId="3038"/>
    <cellStyle name="强调文字颜色 5 9 2" xfId="3039"/>
    <cellStyle name="Accent2 - 60% 7" xfId="3040"/>
    <cellStyle name="差_2006年全省财力计算表（中央、决算） 4" xfId="3041"/>
    <cellStyle name="差_云南省2008年转移支付测算——州市本级考核部分及政策性测算 3" xfId="3042"/>
    <cellStyle name="Title 5" xfId="3043"/>
    <cellStyle name="检查单元格 3 7" xfId="3044"/>
    <cellStyle name="计算 3 7" xfId="3045"/>
    <cellStyle name="警告文本 3 5" xfId="3046"/>
    <cellStyle name="40% - Accent6 5" xfId="3047"/>
    <cellStyle name="好_2009年一般性转移支付标准工资_地方配套按人均增幅控制8.31（调整结案率后）xl 4" xfId="3048"/>
    <cellStyle name="差_0605石屏县 5" xfId="3049"/>
    <cellStyle name="60% - 强调文字颜色 3 5" xfId="3050"/>
    <cellStyle name="差_11大理 9" xfId="3051"/>
    <cellStyle name="Pourcentage_pldt" xfId="3052"/>
    <cellStyle name="Note 2" xfId="3053"/>
    <cellStyle name="常规 5 2 5" xfId="3054"/>
    <cellStyle name="Accent3 - 20% 5" xfId="3055"/>
    <cellStyle name="标题 4 10" xfId="3056"/>
    <cellStyle name="Percent [2]" xfId="3057"/>
    <cellStyle name="好_云南省2008年转移支付测算——州市本级考核部分及政策性测算 8" xfId="3058"/>
    <cellStyle name="差_2、土地面积、人口、粮食产量基本情况 9" xfId="3059"/>
    <cellStyle name="常规 7 5" xfId="3060"/>
    <cellStyle name="20% - 强调文字颜色 6 7 2" xfId="3061"/>
    <cellStyle name="Accent4 3" xfId="3062"/>
    <cellStyle name="Accent4 - 60% 4" xfId="3063"/>
    <cellStyle name="好_Book2 5" xfId="3064"/>
    <cellStyle name="Accent2 - 40% 8" xfId="3065"/>
    <cellStyle name="40% - 强调文字颜色 3 6" xfId="3066"/>
    <cellStyle name="差_2009年一般性转移支付标准工资_不用软件计算9.1不考虑经费管理评价xl 6" xfId="3067"/>
    <cellStyle name="20% - 强调文字颜色 2 7 2" xfId="3068"/>
    <cellStyle name="40% - Accent4 4" xfId="3069"/>
    <cellStyle name="40% - 强调文字颜色 5 3 6" xfId="3070"/>
    <cellStyle name="20% - 强调文字颜色 2 9" xfId="3071"/>
    <cellStyle name="20% - Accent2 8" xfId="3072"/>
    <cellStyle name="60% - 强调文字颜色 2 9" xfId="3073"/>
    <cellStyle name="常规 2 4 9" xfId="3074"/>
    <cellStyle name="差_奖励补助测算7.23 3" xfId="3075"/>
    <cellStyle name="60% - Accent2 5" xfId="3076"/>
    <cellStyle name="20% - Accent6" xfId="3077"/>
    <cellStyle name="20% - 强调文字颜色 2 3 7" xfId="3078"/>
    <cellStyle name="常规 45" xfId="3079"/>
    <cellStyle name="好_2009年一般性转移支付标准工资 3" xfId="3080"/>
    <cellStyle name="40% - 强调文字颜色 3 5 2" xfId="3081"/>
    <cellStyle name="好_530623_2006年县级财政报表附表 7" xfId="3082"/>
    <cellStyle name="标题 2 3 2" xfId="3083"/>
    <cellStyle name="差_2009年一般性转移支付标准工资_奖励补助测算5.24冯铸 8" xfId="3084"/>
    <cellStyle name="差_教育厅提供义务教育及高中教师人数（2009年1月6日） 9" xfId="3085"/>
    <cellStyle name="好_530623_2006年县级财政报表附表 3" xfId="3086"/>
    <cellStyle name="寘嬫愗傝 [0.00]_Region Orders (2)" xfId="3087"/>
    <cellStyle name="差_云南省2008年转移支付测算——州市本级考核部分及政策性测算 5" xfId="3088"/>
    <cellStyle name="Accent1 - 60% 9" xfId="3089"/>
    <cellStyle name="好_2009年一般性转移支付标准工资_奖励补助测算7.23 9" xfId="3090"/>
    <cellStyle name="20% - Accent6 9" xfId="3091"/>
    <cellStyle name="差_高中教师人数（教育厅1.6日提供） 6" xfId="3092"/>
    <cellStyle name="60% - 强调文字颜色 5 3 5" xfId="3093"/>
    <cellStyle name="好_业务工作量指标 7" xfId="3094"/>
    <cellStyle name="40% - 强调文字颜色 1 8" xfId="3095"/>
    <cellStyle name="强调文字颜色 2 10" xfId="3096"/>
    <cellStyle name="Accent6 - 20% 8" xfId="3097"/>
    <cellStyle name="差_汇总-县级财政报表附表 7" xfId="3098"/>
    <cellStyle name="60% - Accent3 6" xfId="3099"/>
    <cellStyle name="差_不用软件计算9.1不考虑经费管理评价xl 9" xfId="3100"/>
    <cellStyle name="好_奖励补助测算7.25 (version 1) (version 1)" xfId="3101"/>
    <cellStyle name="Accent6 - 40%" xfId="3102"/>
    <cellStyle name="Calculation 6" xfId="3103"/>
    <cellStyle name="数字 4" xfId="3104"/>
    <cellStyle name="好_地方配套按人均增幅控制8.30xl 5" xfId="3105"/>
    <cellStyle name="20% - 强调文字颜色 5 3 7" xfId="3106"/>
    <cellStyle name="常规 5 2 4" xfId="3107"/>
    <cellStyle name="百分比 3 5" xfId="3108"/>
    <cellStyle name="差_11大理" xfId="3109"/>
    <cellStyle name="数字 3" xfId="3110"/>
    <cellStyle name="Calculation 5" xfId="3111"/>
    <cellStyle name="20% - 强调文字颜色 5 3 6" xfId="3112"/>
    <cellStyle name="标题 4 6 2" xfId="3113"/>
    <cellStyle name="好_地方配套按人均增幅控制8.30xl 4" xfId="3114"/>
    <cellStyle name="Title 2" xfId="3115"/>
    <cellStyle name="好_义务教育阶段教职工人数（教育厅提供最终） 7" xfId="3116"/>
    <cellStyle name="输入 6 2" xfId="3117"/>
    <cellStyle name="好_财政供养人员 2" xfId="3118"/>
    <cellStyle name="差_2006年全省财力计算表（中央、决算） 3" xfId="3119"/>
    <cellStyle name="Output 5" xfId="3120"/>
    <cellStyle name="60% - 强调文字颜色 4 6 2" xfId="3121"/>
    <cellStyle name="_ET_STYLE_NoName_00_" xfId="3122"/>
    <cellStyle name="60% - 强调文字颜色 5 4" xfId="3123"/>
    <cellStyle name="60% - 强调文字颜色 6 4" xfId="3124"/>
    <cellStyle name="常规 2 6 3" xfId="3125"/>
    <cellStyle name="差_~5676413 9" xfId="3126"/>
    <cellStyle name="常规 29" xfId="3127"/>
    <cellStyle name="常规 34" xfId="3128"/>
    <cellStyle name="40% - 强调文字颜色 3 3 6" xfId="3129"/>
    <cellStyle name="常规 5 2 8" xfId="3130"/>
    <cellStyle name="Note 5" xfId="3131"/>
    <cellStyle name="常规 4 9" xfId="3132"/>
    <cellStyle name="Accent2 - 40% 4" xfId="3133"/>
    <cellStyle name="差_卫生部门 7" xfId="3134"/>
    <cellStyle name="Accent6 - 20% 4" xfId="3135"/>
    <cellStyle name="强调文字颜色 6 7 2" xfId="3136"/>
    <cellStyle name="40% - 强调文字颜色 1 4" xfId="3137"/>
    <cellStyle name="40% - Accent5 7" xfId="3138"/>
    <cellStyle name="好_教育厅提供义务教育及高中教师人数（2009年1月6日） 6" xfId="3139"/>
    <cellStyle name="解释性文本 10" xfId="3140"/>
    <cellStyle name="千分位_ 白土" xfId="3141"/>
    <cellStyle name="好_2009年一般性转移支付标准工资_不用软件计算9.1不考虑经费管理评价xl 9" xfId="3142"/>
    <cellStyle name="好_县级公安机关公用经费标准奖励测算方案（定稿） 7" xfId="3143"/>
    <cellStyle name="常规 2 2 5" xfId="3144"/>
    <cellStyle name="40% - 强调文字颜色 3 8" xfId="3145"/>
    <cellStyle name="标题 2 3 7" xfId="3146"/>
    <cellStyle name="好_云南省2008年转移支付测算——州市本级考核部分及政策性测算 3" xfId="3147"/>
    <cellStyle name="标题 10" xfId="3148"/>
    <cellStyle name="差_汇总 6" xfId="3149"/>
    <cellStyle name="差_奖励补助测算7.25 (version 1) (version 1) 3" xfId="3150"/>
    <cellStyle name="Neutral 9" xfId="3151"/>
    <cellStyle name="40% - 强调文字颜色 4 3" xfId="3152"/>
    <cellStyle name="差_指标四 4" xfId="3153"/>
    <cellStyle name="差_2009年一般性转移支付标准工资_奖励补助测算5.22测试 7" xfId="3154"/>
    <cellStyle name="Title 4" xfId="3155"/>
    <cellStyle name="常规 3 2" xfId="3156"/>
    <cellStyle name="差_2009年一般性转移支付标准工资_地方配套按人均增幅控制8.30xl 3" xfId="3157"/>
    <cellStyle name="强调文字颜色 6 6 2" xfId="3158"/>
    <cellStyle name="差_云南省2008年转移支付测算——州市本级考核部分及政策性测算 2" xfId="3159"/>
    <cellStyle name="千位分隔 2 2 8" xfId="3160"/>
    <cellStyle name="强调文字颜色 4 10" xfId="3161"/>
    <cellStyle name="60% - 强调文字颜色 1 10" xfId="3162"/>
    <cellStyle name="差_Book1_1 7" xfId="3163"/>
    <cellStyle name="差_县级公安机关公用经费标准奖励测算方案（定稿） 8" xfId="3164"/>
    <cellStyle name="差_~5676413 4" xfId="3165"/>
  </cellStyles>
  <tableStyles count="0" defaultTableStyle="TableStyleMedium9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4" Type="http://schemas.openxmlformats.org/officeDocument/2006/relationships/sharedStrings" Target="sharedStrings.xml"/><Relationship Id="rId43" Type="http://schemas.openxmlformats.org/officeDocument/2006/relationships/styles" Target="styles.xml"/><Relationship Id="rId42" Type="http://schemas.openxmlformats.org/officeDocument/2006/relationships/theme" Target="theme/theme1.xml"/><Relationship Id="rId41" Type="http://schemas.openxmlformats.org/officeDocument/2006/relationships/externalLink" Target="externalLinks/externalLink5.xml"/><Relationship Id="rId4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3.xml"/><Relationship Id="rId38" Type="http://schemas.openxmlformats.org/officeDocument/2006/relationships/externalLink" Target="externalLinks/externalLink2.xml"/><Relationship Id="rId37" Type="http://schemas.openxmlformats.org/officeDocument/2006/relationships/externalLink" Target="externalLinks/externalLink1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http:\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A:\WINDOWS.000\Desktop\&#25105;&#30340;&#20844;&#25991;&#21253;\&#36213;&#21746;&#36132;&#25991;&#20214;&#22841;\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L34"/>
  <sheetViews>
    <sheetView zoomScale="80" zoomScaleNormal="80" workbookViewId="0">
      <pane xSplit="2" ySplit="3" topLeftCell="C10" activePane="bottomRight" state="frozen"/>
      <selection/>
      <selection pane="topRight"/>
      <selection pane="bottomLeft"/>
      <selection pane="bottomRight" activeCell="H26" sqref="H26"/>
    </sheetView>
  </sheetViews>
  <sheetFormatPr defaultColWidth="9" defaultRowHeight="14.25"/>
  <cols>
    <col min="1" max="1" width="29.625" style="268" customWidth="1"/>
    <col min="2" max="2" width="10.625" style="268" customWidth="1"/>
    <col min="3" max="3" width="11.0916666666667" style="268" customWidth="1"/>
    <col min="4" max="4" width="10.775" style="268" customWidth="1"/>
    <col min="5" max="5" width="11.0916666666667" style="268" customWidth="1"/>
    <col min="6" max="6" width="10.775" style="268" customWidth="1"/>
    <col min="7" max="7" width="11.0916666666667" style="268" customWidth="1"/>
    <col min="8" max="8" width="10.775" style="268" customWidth="1"/>
    <col min="9" max="9" width="9" style="268"/>
    <col min="10" max="10" width="10.375" style="268"/>
    <col min="11" max="11" width="9" style="268"/>
    <col min="12" max="12" width="10.375" style="268"/>
    <col min="13" max="16384" width="9" style="268"/>
  </cols>
  <sheetData>
    <row r="1" ht="24.95" customHeight="1" spans="1:12">
      <c r="A1" s="135" t="s">
        <v>197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="277" customFormat="1" ht="21" customHeight="1" spans="1:12">
      <c r="A2" s="136" t="s">
        <v>1</v>
      </c>
      <c r="B2" s="245" t="s">
        <v>94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  <c r="K2" s="137" t="s">
        <v>7</v>
      </c>
      <c r="L2" s="138"/>
    </row>
    <row r="3" s="277" customFormat="1" ht="21" customHeight="1" spans="1:12">
      <c r="A3" s="139"/>
      <c r="B3" s="246"/>
      <c r="C3" s="140" t="s">
        <v>8</v>
      </c>
      <c r="D3" s="141" t="s">
        <v>9</v>
      </c>
      <c r="E3" s="140" t="s">
        <v>8</v>
      </c>
      <c r="F3" s="141" t="s">
        <v>9</v>
      </c>
      <c r="G3" s="140" t="s">
        <v>8</v>
      </c>
      <c r="H3" s="141" t="s">
        <v>9</v>
      </c>
      <c r="I3" s="140" t="s">
        <v>8</v>
      </c>
      <c r="J3" s="141" t="s">
        <v>9</v>
      </c>
      <c r="K3" s="140" t="s">
        <v>8</v>
      </c>
      <c r="L3" s="141" t="s">
        <v>9</v>
      </c>
    </row>
    <row r="4" ht="18" customHeight="1" spans="1:12">
      <c r="A4" s="271" t="s">
        <v>198</v>
      </c>
      <c r="B4" s="272" t="s">
        <v>104</v>
      </c>
      <c r="C4" s="254">
        <v>354.56695</v>
      </c>
      <c r="D4" s="147">
        <v>-12.2</v>
      </c>
      <c r="E4" s="254">
        <v>51.13823</v>
      </c>
      <c r="F4" s="147">
        <v>-7.5</v>
      </c>
      <c r="G4" s="254">
        <v>79.9</v>
      </c>
      <c r="H4" s="147">
        <v>-5.2</v>
      </c>
      <c r="I4" s="254">
        <v>108</v>
      </c>
      <c r="J4" s="147">
        <v>-2.2</v>
      </c>
      <c r="K4" s="254">
        <v>139.09959</v>
      </c>
      <c r="L4" s="147">
        <v>0.4</v>
      </c>
    </row>
    <row r="5" ht="18" customHeight="1" spans="1:12">
      <c r="A5" s="271" t="s">
        <v>199</v>
      </c>
      <c r="B5" s="272" t="s">
        <v>104</v>
      </c>
      <c r="C5" s="254">
        <v>42</v>
      </c>
      <c r="D5" s="147">
        <v>3.2</v>
      </c>
      <c r="E5" s="254">
        <v>7</v>
      </c>
      <c r="F5" s="147">
        <v>43.8</v>
      </c>
      <c r="G5" s="254">
        <v>12</v>
      </c>
      <c r="H5" s="147">
        <v>61.7</v>
      </c>
      <c r="I5" s="254">
        <v>15</v>
      </c>
      <c r="J5" s="147">
        <v>40.2</v>
      </c>
      <c r="K5" s="254">
        <v>19.07</v>
      </c>
      <c r="L5" s="147">
        <v>41.6</v>
      </c>
    </row>
    <row r="6" ht="18" customHeight="1" spans="1:12">
      <c r="A6" s="271" t="s">
        <v>200</v>
      </c>
      <c r="B6" s="272" t="s">
        <v>104</v>
      </c>
      <c r="C6" s="254">
        <v>77.31182</v>
      </c>
      <c r="D6" s="147">
        <v>-6.1</v>
      </c>
      <c r="E6" s="254">
        <v>27.10919</v>
      </c>
      <c r="F6" s="147">
        <v>-6.7</v>
      </c>
      <c r="G6" s="254">
        <v>30</v>
      </c>
      <c r="H6" s="147">
        <v>-16.7</v>
      </c>
      <c r="I6" s="254">
        <v>31</v>
      </c>
      <c r="J6" s="147">
        <v>-24.6</v>
      </c>
      <c r="K6" s="254">
        <v>32.95162</v>
      </c>
      <c r="L6" s="147">
        <v>-27.5</v>
      </c>
    </row>
    <row r="7" ht="18" customHeight="1" spans="1:12">
      <c r="A7" s="271" t="s">
        <v>201</v>
      </c>
      <c r="B7" s="272" t="s">
        <v>202</v>
      </c>
      <c r="C7" s="254">
        <v>85080</v>
      </c>
      <c r="D7" s="147">
        <v>-26.1</v>
      </c>
      <c r="E7" s="254">
        <v>137</v>
      </c>
      <c r="F7" s="147">
        <v>-99.4</v>
      </c>
      <c r="G7" s="254">
        <v>137</v>
      </c>
      <c r="H7" s="147">
        <v>-99.6</v>
      </c>
      <c r="I7" s="254">
        <v>137</v>
      </c>
      <c r="J7" s="147">
        <v>-99.7</v>
      </c>
      <c r="K7" s="254">
        <v>137</v>
      </c>
      <c r="L7" s="147">
        <v>-99.7</v>
      </c>
    </row>
    <row r="8" ht="18" customHeight="1" spans="1:12">
      <c r="A8" s="271" t="s">
        <v>203</v>
      </c>
      <c r="B8" s="272" t="s">
        <v>202</v>
      </c>
      <c r="C8" s="254">
        <v>125239.4</v>
      </c>
      <c r="D8" s="147">
        <v>1</v>
      </c>
      <c r="E8" s="254">
        <v>15907</v>
      </c>
      <c r="F8" s="147">
        <v>-14.3</v>
      </c>
      <c r="G8" s="254">
        <v>25635</v>
      </c>
      <c r="H8" s="147">
        <v>0.7</v>
      </c>
      <c r="I8" s="254">
        <v>37475</v>
      </c>
      <c r="J8" s="147">
        <v>10.2</v>
      </c>
      <c r="K8" s="254">
        <v>47511.4</v>
      </c>
      <c r="L8" s="147">
        <v>3.3</v>
      </c>
    </row>
    <row r="9" ht="18" customHeight="1" spans="1:12">
      <c r="A9" s="271" t="s">
        <v>204</v>
      </c>
      <c r="B9" s="272" t="s">
        <v>202</v>
      </c>
      <c r="C9" s="254">
        <v>296.4</v>
      </c>
      <c r="D9" s="147">
        <v>-83.5</v>
      </c>
      <c r="E9" s="254">
        <v>57</v>
      </c>
      <c r="F9" s="147">
        <v>-26.9</v>
      </c>
      <c r="G9" s="254">
        <v>92</v>
      </c>
      <c r="H9" s="147">
        <v>1.4</v>
      </c>
      <c r="I9" s="254">
        <v>136</v>
      </c>
      <c r="J9" s="147">
        <v>7.5</v>
      </c>
      <c r="K9" s="254">
        <v>171.4</v>
      </c>
      <c r="L9" s="147">
        <v>18.3</v>
      </c>
    </row>
    <row r="10" ht="18" customHeight="1" spans="1:12">
      <c r="A10" s="271" t="s">
        <v>205</v>
      </c>
      <c r="B10" s="272" t="s">
        <v>202</v>
      </c>
      <c r="C10" s="254">
        <v>124943</v>
      </c>
      <c r="D10" s="147">
        <v>2.2</v>
      </c>
      <c r="E10" s="254">
        <v>15850</v>
      </c>
      <c r="F10" s="147">
        <v>-14.2</v>
      </c>
      <c r="G10" s="254">
        <v>25543</v>
      </c>
      <c r="H10" s="147">
        <v>0.7</v>
      </c>
      <c r="I10" s="254">
        <v>37339</v>
      </c>
      <c r="J10" s="147">
        <v>10.2</v>
      </c>
      <c r="K10" s="254">
        <v>47340</v>
      </c>
      <c r="L10" s="147">
        <v>3.3</v>
      </c>
    </row>
    <row r="11" ht="18" customHeight="1" spans="1:12">
      <c r="A11" s="271" t="s">
        <v>206</v>
      </c>
      <c r="B11" s="272" t="s">
        <v>104</v>
      </c>
      <c r="C11" s="254">
        <v>42</v>
      </c>
      <c r="D11" s="147">
        <v>-3.7</v>
      </c>
      <c r="E11" s="254">
        <v>5</v>
      </c>
      <c r="F11" s="147">
        <v>-10.4</v>
      </c>
      <c r="G11" s="254">
        <v>9</v>
      </c>
      <c r="H11" s="147">
        <v>-0.5</v>
      </c>
      <c r="I11" s="254">
        <v>13</v>
      </c>
      <c r="J11" s="147">
        <v>1.2</v>
      </c>
      <c r="K11" s="254">
        <v>16</v>
      </c>
      <c r="L11" s="147">
        <v>2.2</v>
      </c>
    </row>
    <row r="12" ht="18" customHeight="1" spans="1:12">
      <c r="A12" s="271" t="s">
        <v>207</v>
      </c>
      <c r="B12" s="272" t="s">
        <v>104</v>
      </c>
      <c r="C12" s="254">
        <v>34</v>
      </c>
      <c r="D12" s="147">
        <v>-4.3</v>
      </c>
      <c r="E12" s="254">
        <v>4</v>
      </c>
      <c r="F12" s="147">
        <v>8.3</v>
      </c>
      <c r="G12" s="254">
        <v>6</v>
      </c>
      <c r="H12" s="147">
        <v>13.6</v>
      </c>
      <c r="I12" s="254">
        <v>9</v>
      </c>
      <c r="J12" s="147">
        <v>5.3</v>
      </c>
      <c r="K12" s="254">
        <v>11</v>
      </c>
      <c r="L12" s="147">
        <v>0.7</v>
      </c>
    </row>
    <row r="13" ht="18" customHeight="1" spans="1:12">
      <c r="A13" s="271" t="s">
        <v>208</v>
      </c>
      <c r="B13" s="272" t="s">
        <v>209</v>
      </c>
      <c r="C13" s="254">
        <v>114</v>
      </c>
      <c r="D13" s="147">
        <v>-1.7</v>
      </c>
      <c r="E13" s="254">
        <v>24</v>
      </c>
      <c r="F13" s="147">
        <v>45.6</v>
      </c>
      <c r="G13" s="254">
        <v>40</v>
      </c>
      <c r="H13" s="147">
        <v>20.4</v>
      </c>
      <c r="I13" s="254">
        <v>49</v>
      </c>
      <c r="J13" s="147">
        <v>10.9</v>
      </c>
      <c r="K13" s="254">
        <v>59.489</v>
      </c>
      <c r="L13" s="147">
        <v>6.6</v>
      </c>
    </row>
    <row r="14" ht="18" customHeight="1" spans="1:12">
      <c r="A14" s="271" t="s">
        <v>210</v>
      </c>
      <c r="B14" s="272" t="s">
        <v>211</v>
      </c>
      <c r="C14" s="254">
        <v>9500.6</v>
      </c>
      <c r="D14" s="147">
        <v>-20.2</v>
      </c>
      <c r="E14" s="254">
        <v>1178.3</v>
      </c>
      <c r="F14" s="147">
        <v>-33.1</v>
      </c>
      <c r="G14" s="254">
        <v>2089</v>
      </c>
      <c r="H14" s="147">
        <v>-24</v>
      </c>
      <c r="I14" s="254">
        <v>3005</v>
      </c>
      <c r="J14" s="147">
        <v>-22.9</v>
      </c>
      <c r="K14" s="254">
        <v>3940.1</v>
      </c>
      <c r="L14" s="147">
        <v>-10.7</v>
      </c>
    </row>
    <row r="15" ht="18" customHeight="1" spans="1:12">
      <c r="A15" s="271" t="s">
        <v>212</v>
      </c>
      <c r="B15" s="272" t="s">
        <v>213</v>
      </c>
      <c r="C15" s="254">
        <v>474.7</v>
      </c>
      <c r="D15" s="147">
        <v>-64.9</v>
      </c>
      <c r="E15" s="254">
        <v>44.3</v>
      </c>
      <c r="F15" s="147">
        <v>-47.4</v>
      </c>
      <c r="G15" s="254">
        <v>73</v>
      </c>
      <c r="H15" s="147">
        <v>-49.1</v>
      </c>
      <c r="I15" s="254">
        <v>99</v>
      </c>
      <c r="J15" s="147">
        <v>-55.5</v>
      </c>
      <c r="K15" s="254">
        <v>122.9</v>
      </c>
      <c r="L15" s="147">
        <v>-52.5</v>
      </c>
    </row>
    <row r="16" ht="18" customHeight="1" spans="1:12">
      <c r="A16" s="271" t="s">
        <v>214</v>
      </c>
      <c r="B16" s="272" t="s">
        <v>104</v>
      </c>
      <c r="C16" s="254">
        <v>69</v>
      </c>
      <c r="D16" s="147">
        <v>-4.6</v>
      </c>
      <c r="E16" s="254">
        <v>12</v>
      </c>
      <c r="F16" s="147">
        <v>15.5</v>
      </c>
      <c r="G16" s="254">
        <v>18</v>
      </c>
      <c r="H16" s="147">
        <v>17.1</v>
      </c>
      <c r="I16" s="254">
        <v>25</v>
      </c>
      <c r="J16" s="147">
        <v>22.3</v>
      </c>
      <c r="K16" s="254">
        <v>28.4262</v>
      </c>
      <c r="L16" s="147">
        <v>7.5</v>
      </c>
    </row>
    <row r="17" ht="18" customHeight="1" spans="1:12">
      <c r="A17" s="271" t="s">
        <v>215</v>
      </c>
      <c r="B17" s="272" t="s">
        <v>216</v>
      </c>
      <c r="C17" s="254">
        <v>82</v>
      </c>
      <c r="D17" s="147">
        <v>-25.3</v>
      </c>
      <c r="E17" s="254">
        <v>7</v>
      </c>
      <c r="F17" s="147">
        <v>-53.7</v>
      </c>
      <c r="G17" s="254">
        <v>11</v>
      </c>
      <c r="H17" s="147">
        <v>-54.2</v>
      </c>
      <c r="I17" s="254">
        <v>16</v>
      </c>
      <c r="J17" s="147">
        <v>-53.1</v>
      </c>
      <c r="K17" s="254">
        <v>21.88129</v>
      </c>
      <c r="L17" s="147">
        <v>-49.4</v>
      </c>
    </row>
    <row r="18" ht="18" customHeight="1" spans="1:12">
      <c r="A18" s="271" t="s">
        <v>217</v>
      </c>
      <c r="B18" s="272" t="s">
        <v>213</v>
      </c>
      <c r="C18" s="254">
        <v>137</v>
      </c>
      <c r="D18" s="147">
        <v>-52</v>
      </c>
      <c r="E18" s="254">
        <v>18</v>
      </c>
      <c r="F18" s="147">
        <v>-59.8</v>
      </c>
      <c r="G18" s="254">
        <v>27</v>
      </c>
      <c r="H18" s="147">
        <v>-49.3</v>
      </c>
      <c r="I18" s="254">
        <v>35</v>
      </c>
      <c r="J18" s="147">
        <v>-44.9</v>
      </c>
      <c r="K18" s="254">
        <v>46.5909</v>
      </c>
      <c r="L18" s="147">
        <v>-38.4</v>
      </c>
    </row>
    <row r="19" ht="18" customHeight="1" spans="1:12">
      <c r="A19" s="271" t="s">
        <v>218</v>
      </c>
      <c r="B19" s="272" t="s">
        <v>104</v>
      </c>
      <c r="C19" s="254">
        <v>214.11327</v>
      </c>
      <c r="D19" s="147">
        <v>-5.5</v>
      </c>
      <c r="E19" s="254">
        <v>29</v>
      </c>
      <c r="F19" s="147">
        <v>-17.5</v>
      </c>
      <c r="G19" s="254">
        <v>49</v>
      </c>
      <c r="H19" s="147">
        <v>-10.4</v>
      </c>
      <c r="I19" s="254">
        <v>68</v>
      </c>
      <c r="J19" s="147">
        <v>-2.8</v>
      </c>
      <c r="K19" s="254">
        <v>82.41073</v>
      </c>
      <c r="L19" s="147">
        <v>-9</v>
      </c>
    </row>
    <row r="20" ht="18" customHeight="1" spans="1:12">
      <c r="A20" s="271" t="s">
        <v>219</v>
      </c>
      <c r="B20" s="272" t="s">
        <v>104</v>
      </c>
      <c r="C20" s="254">
        <v>31.13669</v>
      </c>
      <c r="D20" s="147">
        <v>-2.5</v>
      </c>
      <c r="E20" s="254">
        <v>5</v>
      </c>
      <c r="F20" s="147">
        <v>-6.7</v>
      </c>
      <c r="G20" s="254">
        <v>9</v>
      </c>
      <c r="H20" s="147">
        <v>13</v>
      </c>
      <c r="I20" s="254">
        <v>12</v>
      </c>
      <c r="J20" s="147">
        <v>16.8</v>
      </c>
      <c r="K20" s="254">
        <v>14.16931</v>
      </c>
      <c r="L20" s="147">
        <v>15.2</v>
      </c>
    </row>
    <row r="21" ht="18" customHeight="1" spans="1:12">
      <c r="A21" s="271" t="s">
        <v>220</v>
      </c>
      <c r="B21" s="272" t="s">
        <v>104</v>
      </c>
      <c r="C21" s="254">
        <v>1424.4725</v>
      </c>
      <c r="D21" s="147">
        <v>-5.2823</v>
      </c>
      <c r="E21" s="254">
        <v>220.8535</v>
      </c>
      <c r="F21" s="147">
        <v>-9.6</v>
      </c>
      <c r="G21" s="254">
        <v>336.2173</v>
      </c>
      <c r="H21" s="147">
        <v>-9.2</v>
      </c>
      <c r="I21" s="254">
        <v>464.049822</v>
      </c>
      <c r="J21" s="147">
        <v>-4.55291942979437</v>
      </c>
      <c r="K21" s="254">
        <v>596.0586</v>
      </c>
      <c r="L21" s="147">
        <v>-1.0172</v>
      </c>
    </row>
    <row r="22" ht="18" customHeight="1" spans="1:12">
      <c r="A22" s="271" t="s">
        <v>221</v>
      </c>
      <c r="B22" s="272" t="s">
        <v>104</v>
      </c>
      <c r="C22" s="254">
        <v>442.0692</v>
      </c>
      <c r="D22" s="147">
        <v>-4.4636</v>
      </c>
      <c r="E22" s="254">
        <v>70.8621</v>
      </c>
      <c r="F22" s="147">
        <v>-5.1052</v>
      </c>
      <c r="G22" s="254">
        <v>106.4123</v>
      </c>
      <c r="H22" s="147">
        <v>-5.6</v>
      </c>
      <c r="I22" s="254">
        <v>142.763325</v>
      </c>
      <c r="J22" s="147">
        <v>-2.6498667361858</v>
      </c>
      <c r="K22" s="254">
        <v>179.3334</v>
      </c>
      <c r="L22" s="147">
        <v>-0.7199</v>
      </c>
    </row>
    <row r="23" ht="18" customHeight="1" spans="1:12">
      <c r="A23" s="271" t="s">
        <v>222</v>
      </c>
      <c r="B23" s="272" t="s">
        <v>104</v>
      </c>
      <c r="C23" s="254">
        <v>442.6033</v>
      </c>
      <c r="D23" s="147">
        <v>-2.6878</v>
      </c>
      <c r="E23" s="254">
        <v>70.1814</v>
      </c>
      <c r="F23" s="147">
        <v>5.3881</v>
      </c>
      <c r="G23" s="254">
        <v>104.9237</v>
      </c>
      <c r="H23" s="147">
        <v>-0.7</v>
      </c>
      <c r="I23" s="254">
        <v>145.435839</v>
      </c>
      <c r="J23" s="147">
        <v>5.39725858989041</v>
      </c>
      <c r="K23" s="254">
        <v>187.4086</v>
      </c>
      <c r="L23" s="147">
        <v>7.5199</v>
      </c>
    </row>
    <row r="24" ht="18" customHeight="1" spans="1:12">
      <c r="A24" s="271" t="s">
        <v>223</v>
      </c>
      <c r="B24" s="272" t="s">
        <v>104</v>
      </c>
      <c r="C24" s="254">
        <v>64</v>
      </c>
      <c r="D24" s="147">
        <v>-27.2615</v>
      </c>
      <c r="E24" s="254">
        <v>4.9287</v>
      </c>
      <c r="F24" s="147">
        <v>-44.2758</v>
      </c>
      <c r="G24" s="254">
        <v>9.8161</v>
      </c>
      <c r="H24" s="147">
        <v>-33.6</v>
      </c>
      <c r="I24" s="254">
        <v>19.117705</v>
      </c>
      <c r="J24" s="147">
        <v>-14.9178865718389</v>
      </c>
      <c r="K24" s="254">
        <v>27.9884</v>
      </c>
      <c r="L24" s="147">
        <v>-8.6922</v>
      </c>
    </row>
    <row r="25" ht="18" customHeight="1" spans="1:12">
      <c r="A25" s="271" t="s">
        <v>224</v>
      </c>
      <c r="B25" s="272" t="s">
        <v>104</v>
      </c>
      <c r="C25" s="254">
        <v>28</v>
      </c>
      <c r="D25" s="147">
        <v>-52.7</v>
      </c>
      <c r="E25" s="254">
        <v>5.0376</v>
      </c>
      <c r="F25" s="147">
        <v>-55.2536</v>
      </c>
      <c r="G25" s="254">
        <v>6.3077</v>
      </c>
      <c r="H25" s="147">
        <v>-64.3</v>
      </c>
      <c r="I25" s="254">
        <v>9.49085</v>
      </c>
      <c r="J25" s="147">
        <v>-60.8025287662608</v>
      </c>
      <c r="K25" s="254">
        <v>13.098</v>
      </c>
      <c r="L25" s="147">
        <v>-53.877</v>
      </c>
    </row>
    <row r="26" ht="18" customHeight="1" spans="1:12">
      <c r="A26" s="271" t="s">
        <v>225</v>
      </c>
      <c r="B26" s="272" t="s">
        <v>104</v>
      </c>
      <c r="C26" s="254">
        <v>57</v>
      </c>
      <c r="D26" s="147">
        <v>-7.3</v>
      </c>
      <c r="E26" s="254">
        <v>9.3023</v>
      </c>
      <c r="F26" s="147">
        <v>-13.85</v>
      </c>
      <c r="G26" s="254">
        <v>14.3813</v>
      </c>
      <c r="H26" s="147">
        <v>-6.3</v>
      </c>
      <c r="I26" s="254">
        <v>19.36937</v>
      </c>
      <c r="J26" s="147">
        <v>-2.40944654884242</v>
      </c>
      <c r="K26" s="254">
        <v>26.0586</v>
      </c>
      <c r="L26" s="147">
        <v>7.4252</v>
      </c>
    </row>
    <row r="27" ht="18" customHeight="1" spans="1:12">
      <c r="A27" s="271" t="s">
        <v>226</v>
      </c>
      <c r="B27" s="272" t="s">
        <v>104</v>
      </c>
      <c r="C27" s="281">
        <v>666.44148</v>
      </c>
      <c r="D27" s="282">
        <v>-11.5</v>
      </c>
      <c r="E27" s="281">
        <v>70</v>
      </c>
      <c r="F27" s="282">
        <v>-11.4</v>
      </c>
      <c r="G27" s="281">
        <v>125</v>
      </c>
      <c r="H27" s="282">
        <v>-8.6</v>
      </c>
      <c r="I27" s="281">
        <v>174</v>
      </c>
      <c r="J27" s="282">
        <v>-10.2</v>
      </c>
      <c r="K27" s="281">
        <v>219.93453</v>
      </c>
      <c r="L27" s="282">
        <v>-10.2</v>
      </c>
    </row>
    <row r="28" ht="18" customHeight="1" spans="1:12">
      <c r="A28" s="249" t="s">
        <v>227</v>
      </c>
      <c r="B28" s="250" t="s">
        <v>228</v>
      </c>
      <c r="C28" s="254">
        <v>915.1734</v>
      </c>
      <c r="D28" s="147">
        <v>-23.4</v>
      </c>
      <c r="E28" s="254">
        <v>139</v>
      </c>
      <c r="F28" s="147">
        <v>-1.5</v>
      </c>
      <c r="G28" s="254">
        <v>217</v>
      </c>
      <c r="H28" s="147">
        <v>-0.6</v>
      </c>
      <c r="I28" s="254">
        <v>295</v>
      </c>
      <c r="J28" s="147">
        <v>-15.2</v>
      </c>
      <c r="K28" s="254">
        <v>377.35347</v>
      </c>
      <c r="L28" s="147">
        <v>-2.8</v>
      </c>
    </row>
    <row r="29" ht="18" customHeight="1" spans="1:12">
      <c r="A29" s="249" t="s">
        <v>229</v>
      </c>
      <c r="B29" s="250" t="s">
        <v>104</v>
      </c>
      <c r="C29" s="254">
        <v>1223.1725</v>
      </c>
      <c r="D29" s="147">
        <v>45.5</v>
      </c>
      <c r="E29" s="254">
        <v>193.3965</v>
      </c>
      <c r="F29" s="147">
        <v>7.4</v>
      </c>
      <c r="G29" s="254">
        <v>300</v>
      </c>
      <c r="H29" s="147">
        <v>5.2</v>
      </c>
      <c r="I29" s="254">
        <v>403</v>
      </c>
      <c r="J29" s="147">
        <v>3.5</v>
      </c>
      <c r="K29" s="254">
        <v>509.3334</v>
      </c>
      <c r="L29" s="147">
        <v>2.5</v>
      </c>
    </row>
    <row r="30" ht="18" customHeight="1" spans="1:12">
      <c r="A30" s="273" t="s">
        <v>230</v>
      </c>
      <c r="B30" s="274" t="s">
        <v>104</v>
      </c>
      <c r="C30" s="254">
        <v>1282.7462</v>
      </c>
      <c r="D30" s="147">
        <v>40.1</v>
      </c>
      <c r="E30" s="254">
        <v>207.0964</v>
      </c>
      <c r="F30" s="147">
        <v>8.9</v>
      </c>
      <c r="G30" s="254">
        <v>315</v>
      </c>
      <c r="H30" s="147">
        <v>4.9</v>
      </c>
      <c r="I30" s="254">
        <v>421</v>
      </c>
      <c r="J30" s="147">
        <v>2.7</v>
      </c>
      <c r="K30" s="254">
        <v>531.6226</v>
      </c>
      <c r="L30" s="147">
        <v>1.8</v>
      </c>
    </row>
    <row r="31" ht="18" customHeight="1" spans="1:12">
      <c r="A31" s="273" t="s">
        <v>231</v>
      </c>
      <c r="B31" s="274" t="s">
        <v>104</v>
      </c>
      <c r="C31" s="254">
        <v>1204.27421</v>
      </c>
      <c r="D31" s="147">
        <v>41.6</v>
      </c>
      <c r="E31" s="254">
        <v>194.0191</v>
      </c>
      <c r="F31" s="147">
        <v>13</v>
      </c>
      <c r="G31" s="254">
        <v>291</v>
      </c>
      <c r="H31" s="147">
        <v>6.6</v>
      </c>
      <c r="I31" s="254">
        <v>393</v>
      </c>
      <c r="J31" s="147">
        <v>4.5</v>
      </c>
      <c r="K31" s="254">
        <v>495.42615</v>
      </c>
      <c r="L31" s="147">
        <v>3.4</v>
      </c>
    </row>
    <row r="32" ht="18" customHeight="1" spans="1:12">
      <c r="A32" s="273" t="s">
        <v>232</v>
      </c>
      <c r="B32" s="274" t="s">
        <v>233</v>
      </c>
      <c r="C32" s="254">
        <v>2763.7564</v>
      </c>
      <c r="D32" s="147">
        <v>-12.8</v>
      </c>
      <c r="E32" s="254">
        <v>406.2474</v>
      </c>
      <c r="F32" s="147">
        <v>4.2</v>
      </c>
      <c r="G32" s="254">
        <v>711</v>
      </c>
      <c r="H32" s="147">
        <v>6.6</v>
      </c>
      <c r="I32" s="254">
        <v>956</v>
      </c>
      <c r="J32" s="147">
        <v>3.9</v>
      </c>
      <c r="K32" s="254">
        <v>1202.8298</v>
      </c>
      <c r="L32" s="147">
        <v>4</v>
      </c>
    </row>
    <row r="33" ht="18" customHeight="1" spans="1:12">
      <c r="A33" s="273" t="s">
        <v>234</v>
      </c>
      <c r="B33" s="274" t="s">
        <v>235</v>
      </c>
      <c r="C33" s="254">
        <v>254.7608</v>
      </c>
      <c r="D33" s="147">
        <v>-0.9</v>
      </c>
      <c r="E33" s="254">
        <v>19.7983</v>
      </c>
      <c r="F33" s="147">
        <v>-51.1</v>
      </c>
      <c r="G33" s="254">
        <v>32</v>
      </c>
      <c r="H33" s="147">
        <v>-51.1</v>
      </c>
      <c r="I33" s="254">
        <v>53</v>
      </c>
      <c r="J33" s="147">
        <v>-43</v>
      </c>
      <c r="K33" s="254">
        <v>73.0848</v>
      </c>
      <c r="L33" s="147">
        <v>-39.2</v>
      </c>
    </row>
    <row r="34" ht="18" customHeight="1" spans="1:12">
      <c r="A34" s="275" t="s">
        <v>236</v>
      </c>
      <c r="B34" s="276" t="s">
        <v>63</v>
      </c>
      <c r="C34" s="286">
        <v>375.6332</v>
      </c>
      <c r="D34" s="165">
        <v>2.7535</v>
      </c>
      <c r="E34" s="286">
        <v>54.6577</v>
      </c>
      <c r="F34" s="165">
        <v>-7.1</v>
      </c>
      <c r="G34" s="286">
        <v>89.5092</v>
      </c>
      <c r="H34" s="165">
        <v>-1.2</v>
      </c>
      <c r="I34" s="286">
        <v>124.839061</v>
      </c>
      <c r="J34" s="165">
        <v>2.11891052928817</v>
      </c>
      <c r="K34" s="286">
        <v>156.7618</v>
      </c>
      <c r="L34" s="165">
        <v>5.9203</v>
      </c>
    </row>
  </sheetData>
  <mergeCells count="8">
    <mergeCell ref="A1:L1"/>
    <mergeCell ref="C2:D2"/>
    <mergeCell ref="E2:F2"/>
    <mergeCell ref="G2:H2"/>
    <mergeCell ref="I2:J2"/>
    <mergeCell ref="K2:L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K29"/>
  <sheetViews>
    <sheetView zoomScale="90" zoomScaleNormal="90" workbookViewId="0">
      <pane xSplit="1" ySplit="3" topLeftCell="B16" activePane="bottomRight" state="frozen"/>
      <selection/>
      <selection pane="topRight"/>
      <selection pane="bottomLeft"/>
      <selection pane="bottomRight" activeCell="A1" sqref="A1:K1"/>
    </sheetView>
  </sheetViews>
  <sheetFormatPr defaultColWidth="9" defaultRowHeight="14.25"/>
  <cols>
    <col min="1" max="1" width="28.625" style="268" customWidth="1"/>
    <col min="2" max="2" width="11.625" style="268"/>
    <col min="3" max="3" width="10.4166666666667" style="268" customWidth="1"/>
    <col min="4" max="4" width="11.625" style="268"/>
    <col min="5" max="5" width="10.825" style="268" customWidth="1"/>
    <col min="6" max="6" width="10.375" style="268"/>
    <col min="7" max="7" width="9.85833333333333" style="268" customWidth="1"/>
    <col min="8" max="8" width="10.375" style="268"/>
    <col min="9" max="9" width="9.71666666666667" style="268" customWidth="1"/>
    <col min="10" max="10" width="10.375" style="268"/>
    <col min="11" max="11" width="9.71666666666667" style="268" customWidth="1"/>
    <col min="12" max="16384" width="9" style="268"/>
  </cols>
  <sheetData>
    <row r="1" ht="24.95" customHeight="1" spans="1:11">
      <c r="A1" s="135" t="s">
        <v>237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="277" customFormat="1" ht="21" customHeight="1" spans="1:11">
      <c r="A2" s="278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</row>
    <row r="3" s="277" customFormat="1" ht="30" customHeight="1" spans="1:11">
      <c r="A3" s="279"/>
      <c r="B3" s="140" t="s">
        <v>8</v>
      </c>
      <c r="C3" s="141" t="s">
        <v>9</v>
      </c>
      <c r="D3" s="140" t="s">
        <v>8</v>
      </c>
      <c r="E3" s="141" t="s">
        <v>9</v>
      </c>
      <c r="F3" s="140" t="s">
        <v>8</v>
      </c>
      <c r="G3" s="141" t="s">
        <v>9</v>
      </c>
      <c r="H3" s="140" t="s">
        <v>8</v>
      </c>
      <c r="I3" s="141" t="s">
        <v>9</v>
      </c>
      <c r="J3" s="140" t="s">
        <v>8</v>
      </c>
      <c r="K3" s="141" t="s">
        <v>9</v>
      </c>
    </row>
    <row r="4" ht="23.45" customHeight="1" spans="1:11">
      <c r="A4" s="247" t="s">
        <v>238</v>
      </c>
      <c r="B4" s="222">
        <v>2105.1</v>
      </c>
      <c r="C4" s="200">
        <v>11.5</v>
      </c>
      <c r="D4" s="222">
        <v>350.75</v>
      </c>
      <c r="E4" s="200">
        <v>6.7</v>
      </c>
      <c r="F4" s="222">
        <v>546.05</v>
      </c>
      <c r="G4" s="200">
        <v>4.8</v>
      </c>
      <c r="H4" s="222">
        <v>758.03</v>
      </c>
      <c r="I4" s="200">
        <v>9.3</v>
      </c>
      <c r="J4" s="222">
        <v>952.68</v>
      </c>
      <c r="K4" s="200">
        <v>10.8</v>
      </c>
    </row>
    <row r="5" ht="23.45" customHeight="1" spans="1:11">
      <c r="A5" s="249" t="s">
        <v>239</v>
      </c>
      <c r="B5" s="146">
        <v>62.24</v>
      </c>
      <c r="C5" s="147">
        <v>-8.8</v>
      </c>
      <c r="D5" s="146">
        <v>11.24</v>
      </c>
      <c r="E5" s="147">
        <v>11</v>
      </c>
      <c r="F5" s="146">
        <v>16.72</v>
      </c>
      <c r="G5" s="147">
        <v>8.3</v>
      </c>
      <c r="H5" s="146">
        <v>22.2</v>
      </c>
      <c r="I5" s="147">
        <v>8.5</v>
      </c>
      <c r="J5" s="146">
        <v>28.11</v>
      </c>
      <c r="K5" s="147">
        <v>10.6</v>
      </c>
    </row>
    <row r="6" ht="23.45" customHeight="1" spans="1:11">
      <c r="A6" s="249" t="s">
        <v>240</v>
      </c>
      <c r="B6" s="146">
        <v>1651.05</v>
      </c>
      <c r="C6" s="147">
        <v>18.4</v>
      </c>
      <c r="D6" s="146">
        <v>290.69</v>
      </c>
      <c r="E6" s="147">
        <v>10.7</v>
      </c>
      <c r="F6" s="146">
        <v>442.15</v>
      </c>
      <c r="G6" s="147">
        <v>6.8</v>
      </c>
      <c r="H6" s="146">
        <v>612.66</v>
      </c>
      <c r="I6" s="147">
        <v>11.9</v>
      </c>
      <c r="J6" s="146">
        <v>771.1</v>
      </c>
      <c r="K6" s="147">
        <v>12.3</v>
      </c>
    </row>
    <row r="7" ht="23.45" customHeight="1" spans="1:11">
      <c r="A7" s="249" t="s">
        <v>241</v>
      </c>
      <c r="B7" s="146">
        <v>391.81</v>
      </c>
      <c r="C7" s="147">
        <v>-7.7</v>
      </c>
      <c r="D7" s="146">
        <v>48.82</v>
      </c>
      <c r="E7" s="147">
        <v>-12.9</v>
      </c>
      <c r="F7" s="146">
        <v>87.19</v>
      </c>
      <c r="G7" s="147">
        <v>-4.9</v>
      </c>
      <c r="H7" s="146">
        <v>123.17</v>
      </c>
      <c r="I7" s="147">
        <v>-2.3</v>
      </c>
      <c r="J7" s="146">
        <v>153.47</v>
      </c>
      <c r="K7" s="147">
        <v>4</v>
      </c>
    </row>
    <row r="8" ht="23.45" customHeight="1" spans="1:11">
      <c r="A8" s="251" t="s">
        <v>242</v>
      </c>
      <c r="B8" s="222">
        <v>1884.37</v>
      </c>
      <c r="C8" s="200">
        <v>14.4</v>
      </c>
      <c r="D8" s="222">
        <v>308.07</v>
      </c>
      <c r="E8" s="200">
        <v>8.5</v>
      </c>
      <c r="F8" s="222">
        <v>485.54</v>
      </c>
      <c r="G8" s="200">
        <v>6.6</v>
      </c>
      <c r="H8" s="222">
        <v>680.9</v>
      </c>
      <c r="I8" s="200">
        <v>11</v>
      </c>
      <c r="J8" s="222">
        <v>859.6</v>
      </c>
      <c r="K8" s="200">
        <v>12.7</v>
      </c>
    </row>
    <row r="9" ht="23.45" customHeight="1" spans="1:11">
      <c r="A9" s="249" t="s">
        <v>147</v>
      </c>
      <c r="B9" s="146">
        <v>583.13</v>
      </c>
      <c r="C9" s="147">
        <v>8.3</v>
      </c>
      <c r="D9" s="146">
        <v>103.85</v>
      </c>
      <c r="E9" s="147">
        <v>19.7</v>
      </c>
      <c r="F9" s="146">
        <v>157.77</v>
      </c>
      <c r="G9" s="147">
        <v>8.6</v>
      </c>
      <c r="H9" s="146">
        <v>208.21</v>
      </c>
      <c r="I9" s="147">
        <v>8.6</v>
      </c>
      <c r="J9" s="146">
        <v>264.61</v>
      </c>
      <c r="K9" s="147">
        <v>10.3</v>
      </c>
    </row>
    <row r="10" ht="23.45" customHeight="1" spans="1:11">
      <c r="A10" s="280" t="s">
        <v>243</v>
      </c>
      <c r="B10" s="146">
        <v>26.06</v>
      </c>
      <c r="C10" s="147">
        <v>44.4</v>
      </c>
      <c r="D10" s="146">
        <v>3.79</v>
      </c>
      <c r="E10" s="147">
        <v>-11.2</v>
      </c>
      <c r="F10" s="146">
        <v>5.87</v>
      </c>
      <c r="G10" s="147">
        <v>-11.6</v>
      </c>
      <c r="H10" s="146">
        <v>33.63</v>
      </c>
      <c r="I10" s="147">
        <v>280.2</v>
      </c>
      <c r="J10" s="146">
        <v>42.67</v>
      </c>
      <c r="K10" s="147">
        <v>279.6</v>
      </c>
    </row>
    <row r="11" ht="23.45" customHeight="1" spans="1:11">
      <c r="A11" s="249" t="s">
        <v>244</v>
      </c>
      <c r="B11" s="146">
        <v>37.74</v>
      </c>
      <c r="C11" s="147">
        <v>9.4</v>
      </c>
      <c r="D11" s="146">
        <v>3.68</v>
      </c>
      <c r="E11" s="147">
        <v>-35.7</v>
      </c>
      <c r="F11" s="146">
        <v>7.43</v>
      </c>
      <c r="G11" s="147">
        <v>-17.9</v>
      </c>
      <c r="H11" s="146">
        <v>10.78</v>
      </c>
      <c r="I11" s="147">
        <v>-8.8</v>
      </c>
      <c r="J11" s="146">
        <v>14.57</v>
      </c>
      <c r="K11" s="147">
        <v>-5.4</v>
      </c>
    </row>
    <row r="12" ht="23.45" customHeight="1" spans="1:11">
      <c r="A12" s="249" t="s">
        <v>245</v>
      </c>
      <c r="B12" s="146">
        <v>847.29</v>
      </c>
      <c r="C12" s="147">
        <v>33.8</v>
      </c>
      <c r="D12" s="146">
        <v>148.2</v>
      </c>
      <c r="E12" s="147">
        <v>12.8</v>
      </c>
      <c r="F12" s="146">
        <v>227.67</v>
      </c>
      <c r="G12" s="147">
        <v>12</v>
      </c>
      <c r="H12" s="146">
        <v>305.66</v>
      </c>
      <c r="I12" s="147">
        <v>11</v>
      </c>
      <c r="J12" s="146">
        <v>384.95</v>
      </c>
      <c r="K12" s="147">
        <v>10.2</v>
      </c>
    </row>
    <row r="13" ht="23.45" customHeight="1" spans="1:11">
      <c r="A13" s="249" t="s">
        <v>246</v>
      </c>
      <c r="B13" s="146">
        <v>0.06</v>
      </c>
      <c r="C13" s="147">
        <v>2302.3</v>
      </c>
      <c r="D13" s="146">
        <v>0.01</v>
      </c>
      <c r="E13" s="147">
        <v>-36.3</v>
      </c>
      <c r="F13" s="146">
        <v>0.02</v>
      </c>
      <c r="G13" s="147">
        <v>-72.6</v>
      </c>
      <c r="H13" s="146">
        <v>0.03</v>
      </c>
      <c r="I13" s="147">
        <v>-34</v>
      </c>
      <c r="J13" s="146">
        <v>0.05</v>
      </c>
      <c r="K13" s="147">
        <v>-22.4</v>
      </c>
    </row>
    <row r="14" ht="23.45" customHeight="1" spans="1:11">
      <c r="A14" s="249" t="s">
        <v>247</v>
      </c>
      <c r="B14" s="146">
        <v>390.11</v>
      </c>
      <c r="C14" s="147">
        <v>-7.7</v>
      </c>
      <c r="D14" s="146">
        <v>48.54</v>
      </c>
      <c r="E14" s="147">
        <v>-13</v>
      </c>
      <c r="F14" s="146">
        <v>86.77</v>
      </c>
      <c r="G14" s="147">
        <v>-4.9</v>
      </c>
      <c r="H14" s="146">
        <v>122.59</v>
      </c>
      <c r="I14" s="147">
        <v>-2.3</v>
      </c>
      <c r="J14" s="146">
        <v>152.73</v>
      </c>
      <c r="K14" s="147">
        <v>4</v>
      </c>
    </row>
    <row r="15" ht="23.45" customHeight="1" spans="1:11">
      <c r="A15" s="251" t="s">
        <v>248</v>
      </c>
      <c r="B15" s="253">
        <v>1247166.13</v>
      </c>
      <c r="C15" s="200">
        <v>14.9</v>
      </c>
      <c r="D15" s="253">
        <v>189422.42</v>
      </c>
      <c r="E15" s="200">
        <v>0.1</v>
      </c>
      <c r="F15" s="253">
        <v>295185.64</v>
      </c>
      <c r="G15" s="200">
        <v>0.3</v>
      </c>
      <c r="H15" s="253">
        <v>401325.68</v>
      </c>
      <c r="I15" s="200">
        <v>0.8</v>
      </c>
      <c r="J15" s="253">
        <v>508103.91</v>
      </c>
      <c r="K15" s="200">
        <v>1.3</v>
      </c>
    </row>
    <row r="16" ht="23.45" customHeight="1" spans="1:11">
      <c r="A16" s="249" t="s">
        <v>147</v>
      </c>
      <c r="B16" s="281">
        <v>263291.07</v>
      </c>
      <c r="C16" s="282">
        <v>3.1</v>
      </c>
      <c r="D16" s="281">
        <v>41135.94</v>
      </c>
      <c r="E16" s="282">
        <v>1</v>
      </c>
      <c r="F16" s="281">
        <v>61713.62</v>
      </c>
      <c r="G16" s="282">
        <v>-0.3</v>
      </c>
      <c r="H16" s="281">
        <v>83385.08</v>
      </c>
      <c r="I16" s="282">
        <v>0.3</v>
      </c>
      <c r="J16" s="281">
        <v>106332.95</v>
      </c>
      <c r="K16" s="282">
        <v>1.6</v>
      </c>
    </row>
    <row r="17" ht="23.45" customHeight="1" spans="1:11">
      <c r="A17" s="249" t="s">
        <v>243</v>
      </c>
      <c r="B17" s="254">
        <v>138286.54</v>
      </c>
      <c r="C17" s="147">
        <v>24.5</v>
      </c>
      <c r="D17" s="254">
        <v>21156.38</v>
      </c>
      <c r="E17" s="147">
        <v>-2.6</v>
      </c>
      <c r="F17" s="254">
        <v>33151.65</v>
      </c>
      <c r="G17" s="147">
        <v>-1.9</v>
      </c>
      <c r="H17" s="254">
        <v>45120.17</v>
      </c>
      <c r="I17" s="147">
        <v>-0.6</v>
      </c>
      <c r="J17" s="254">
        <v>56690.49</v>
      </c>
      <c r="K17" s="147">
        <v>-1</v>
      </c>
    </row>
    <row r="18" ht="23.45" customHeight="1" spans="1:11">
      <c r="A18" s="249" t="s">
        <v>244</v>
      </c>
      <c r="B18" s="254">
        <v>60860.03</v>
      </c>
      <c r="C18" s="147">
        <v>-1.7</v>
      </c>
      <c r="D18" s="254">
        <v>6111.6</v>
      </c>
      <c r="E18" s="147">
        <v>-32</v>
      </c>
      <c r="F18" s="254">
        <v>12216.88</v>
      </c>
      <c r="G18" s="147">
        <v>-10.5</v>
      </c>
      <c r="H18" s="254">
        <v>17302.09</v>
      </c>
      <c r="I18" s="147">
        <v>-6.6</v>
      </c>
      <c r="J18" s="254">
        <v>22117.57</v>
      </c>
      <c r="K18" s="147">
        <v>-7</v>
      </c>
    </row>
    <row r="19" ht="23.45" customHeight="1" spans="1:11">
      <c r="A19" s="249" t="s">
        <v>245</v>
      </c>
      <c r="B19" s="254">
        <v>635485.06</v>
      </c>
      <c r="C19" s="147">
        <v>23.8</v>
      </c>
      <c r="D19" s="254">
        <v>100415.33</v>
      </c>
      <c r="E19" s="147">
        <v>3.2</v>
      </c>
      <c r="F19" s="254">
        <v>153866.12</v>
      </c>
      <c r="G19" s="147">
        <v>1.3</v>
      </c>
      <c r="H19" s="254">
        <v>208081.56</v>
      </c>
      <c r="I19" s="147">
        <v>1.1</v>
      </c>
      <c r="J19" s="254">
        <v>263393.89</v>
      </c>
      <c r="K19" s="147">
        <v>1</v>
      </c>
    </row>
    <row r="20" ht="23.45" customHeight="1" spans="1:11">
      <c r="A20" s="249" t="s">
        <v>246</v>
      </c>
      <c r="B20" s="254">
        <v>448.21</v>
      </c>
      <c r="C20" s="147">
        <v>2302</v>
      </c>
      <c r="D20" s="254">
        <v>57.48</v>
      </c>
      <c r="E20" s="147">
        <v>-30.8</v>
      </c>
      <c r="F20" s="254">
        <v>98.92</v>
      </c>
      <c r="G20" s="147">
        <v>-14.9</v>
      </c>
      <c r="H20" s="254">
        <v>147.87</v>
      </c>
      <c r="I20" s="147">
        <v>-16.4</v>
      </c>
      <c r="J20" s="254">
        <v>191.96</v>
      </c>
      <c r="K20" s="147">
        <v>-14.9</v>
      </c>
    </row>
    <row r="21" ht="23.45" customHeight="1" spans="1:11">
      <c r="A21" s="273" t="s">
        <v>247</v>
      </c>
      <c r="B21" s="254">
        <v>148795.22</v>
      </c>
      <c r="C21" s="147">
        <v>3.6</v>
      </c>
      <c r="D21" s="254">
        <v>20545.69</v>
      </c>
      <c r="E21" s="147">
        <v>1</v>
      </c>
      <c r="F21" s="254">
        <v>34138.45</v>
      </c>
      <c r="G21" s="147">
        <v>3.9</v>
      </c>
      <c r="H21" s="254">
        <v>47288.91</v>
      </c>
      <c r="I21" s="147">
        <v>4.3</v>
      </c>
      <c r="J21" s="254">
        <v>59377.05</v>
      </c>
      <c r="K21" s="147">
        <v>8.2</v>
      </c>
    </row>
    <row r="22" ht="23.45" customHeight="1" spans="1:11">
      <c r="A22" s="283" t="s">
        <v>249</v>
      </c>
      <c r="B22" s="222">
        <v>597.46</v>
      </c>
      <c r="C22" s="200">
        <v>2.5</v>
      </c>
      <c r="D22" s="222">
        <v>86.19</v>
      </c>
      <c r="E22" s="200">
        <v>-9.5</v>
      </c>
      <c r="F22" s="222">
        <v>133.15</v>
      </c>
      <c r="G22" s="200">
        <v>-10.1</v>
      </c>
      <c r="H22" s="222">
        <v>183.66</v>
      </c>
      <c r="I22" s="200">
        <v>-7</v>
      </c>
      <c r="J22" s="222">
        <v>233.53</v>
      </c>
      <c r="K22" s="200">
        <v>-5.2</v>
      </c>
    </row>
    <row r="23" ht="23.45" customHeight="1" spans="1:11">
      <c r="A23" s="273" t="s">
        <v>147</v>
      </c>
      <c r="B23" s="146">
        <v>351.241370732106</v>
      </c>
      <c r="C23" s="147">
        <v>-10.5558558558559</v>
      </c>
      <c r="D23" s="146">
        <v>50.5976958868257</v>
      </c>
      <c r="E23" s="147">
        <v>-13.397590338</v>
      </c>
      <c r="F23" s="146">
        <v>77.34</v>
      </c>
      <c r="G23" s="147">
        <v>-14.3</v>
      </c>
      <c r="H23" s="146">
        <v>106.31</v>
      </c>
      <c r="I23" s="147">
        <v>-9.6774194</v>
      </c>
      <c r="J23" s="146">
        <v>135.199410615821</v>
      </c>
      <c r="K23" s="147">
        <v>-5.1</v>
      </c>
    </row>
    <row r="24" ht="23.45" customHeight="1" spans="1:11">
      <c r="A24" s="273" t="s">
        <v>243</v>
      </c>
      <c r="B24" s="146">
        <v>43.3332937824424</v>
      </c>
      <c r="C24" s="147">
        <v>27.1307307307307</v>
      </c>
      <c r="D24" s="146">
        <v>6.3054188220685</v>
      </c>
      <c r="E24" s="147">
        <v>5.18750000907812</v>
      </c>
      <c r="F24" s="146">
        <v>9.64</v>
      </c>
      <c r="G24" s="147">
        <v>6.5</v>
      </c>
      <c r="H24" s="146">
        <v>12.78</v>
      </c>
      <c r="I24" s="147">
        <v>4.54666664544889</v>
      </c>
      <c r="J24" s="146">
        <v>15.830616254443</v>
      </c>
      <c r="K24" s="147">
        <v>-5.5</v>
      </c>
    </row>
    <row r="25" ht="23.45" customHeight="1" spans="1:11">
      <c r="A25" s="273" t="s">
        <v>244</v>
      </c>
      <c r="B25" s="146">
        <v>19.6614272668735</v>
      </c>
      <c r="C25" s="147">
        <v>-4.15995995995996</v>
      </c>
      <c r="D25" s="146">
        <v>2.4632609232668</v>
      </c>
      <c r="E25" s="147">
        <v>-9.15662649</v>
      </c>
      <c r="F25" s="146">
        <v>4.16</v>
      </c>
      <c r="G25" s="147">
        <v>0.7</v>
      </c>
      <c r="H25" s="146">
        <v>5.78</v>
      </c>
      <c r="I25" s="147">
        <v>-1.838709686</v>
      </c>
      <c r="J25" s="146">
        <v>7.38348537047016</v>
      </c>
      <c r="K25" s="147">
        <v>-1.3</v>
      </c>
    </row>
    <row r="26" ht="23.45" customHeight="1" spans="1:11">
      <c r="A26" s="273" t="s">
        <v>245</v>
      </c>
      <c r="B26" s="146">
        <v>131.07558888906</v>
      </c>
      <c r="C26" s="147">
        <v>28.1147147147147</v>
      </c>
      <c r="D26" s="146">
        <v>19.4325484701344</v>
      </c>
      <c r="E26" s="147">
        <v>-5.590361436</v>
      </c>
      <c r="F26" s="146">
        <v>29.73</v>
      </c>
      <c r="G26" s="147">
        <v>-9</v>
      </c>
      <c r="H26" s="146">
        <v>41.09</v>
      </c>
      <c r="I26" s="147">
        <v>-8.322580684</v>
      </c>
      <c r="J26" s="146">
        <v>52.2356728548496</v>
      </c>
      <c r="K26" s="147">
        <v>-7.7</v>
      </c>
    </row>
    <row r="27" ht="23.45" customHeight="1" spans="1:11">
      <c r="A27" s="273" t="s">
        <v>246</v>
      </c>
      <c r="B27" s="146">
        <v>0.088486892423367</v>
      </c>
      <c r="C27" s="147">
        <v>83.8082082082082</v>
      </c>
      <c r="D27" s="146">
        <v>0.0093374462826</v>
      </c>
      <c r="E27" s="147">
        <v>-30.457831272</v>
      </c>
      <c r="F27" s="146">
        <v>0.02</v>
      </c>
      <c r="G27" s="147">
        <v>-29</v>
      </c>
      <c r="H27" s="146">
        <v>0.02</v>
      </c>
      <c r="I27" s="147">
        <v>-30.193548528</v>
      </c>
      <c r="J27" s="146">
        <v>0.028418771478825</v>
      </c>
      <c r="K27" s="147">
        <v>-33.6</v>
      </c>
    </row>
    <row r="28" ht="23.45" customHeight="1" spans="1:11">
      <c r="A28" s="284" t="s">
        <v>247</v>
      </c>
      <c r="B28" s="176">
        <v>52.055197060896</v>
      </c>
      <c r="C28" s="177">
        <v>6.66386386386387</v>
      </c>
      <c r="D28" s="176">
        <v>7.3773113490802</v>
      </c>
      <c r="E28" s="177">
        <v>-4.433734932</v>
      </c>
      <c r="F28" s="176">
        <v>12.26</v>
      </c>
      <c r="G28" s="177">
        <v>-0.3</v>
      </c>
      <c r="H28" s="176">
        <v>17.68</v>
      </c>
      <c r="I28" s="177">
        <v>4.3</v>
      </c>
      <c r="J28" s="176">
        <v>22.8506866202073</v>
      </c>
      <c r="K28" s="177">
        <v>7.9</v>
      </c>
    </row>
    <row r="29" ht="31.5" customHeight="1" spans="1:5">
      <c r="A29" s="285" t="s">
        <v>250</v>
      </c>
      <c r="B29" s="285"/>
      <c r="C29" s="285"/>
      <c r="D29" s="285"/>
      <c r="E29" s="285"/>
    </row>
  </sheetData>
  <mergeCells count="8">
    <mergeCell ref="A1:K1"/>
    <mergeCell ref="B2:C2"/>
    <mergeCell ref="D2:E2"/>
    <mergeCell ref="F2:G2"/>
    <mergeCell ref="H2:I2"/>
    <mergeCell ref="J2:K2"/>
    <mergeCell ref="A29:E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L27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A1" sqref="A1:L1"/>
    </sheetView>
  </sheetViews>
  <sheetFormatPr defaultColWidth="9" defaultRowHeight="14.25"/>
  <cols>
    <col min="1" max="1" width="33.125" style="268" customWidth="1"/>
    <col min="2" max="2" width="9.625" style="268" customWidth="1"/>
    <col min="3" max="3" width="11.5" style="268"/>
    <col min="4" max="4" width="10.375" style="268"/>
    <col min="5" max="5" width="11.5" style="268"/>
    <col min="6" max="7" width="10.375" style="268"/>
    <col min="8" max="8" width="9.375" style="268"/>
    <col min="9" max="12" width="10.375" style="268"/>
    <col min="13" max="16384" width="9" style="268"/>
  </cols>
  <sheetData>
    <row r="1" ht="24.95" customHeight="1" spans="1:12">
      <c r="A1" s="135" t="s">
        <v>251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="267" customFormat="1" ht="21" customHeight="1" spans="1:12">
      <c r="A2" s="136" t="s">
        <v>1</v>
      </c>
      <c r="B2" s="245" t="s">
        <v>94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  <c r="K2" s="137" t="s">
        <v>7</v>
      </c>
      <c r="L2" s="138"/>
    </row>
    <row r="3" s="267" customFormat="1" ht="37" customHeight="1" spans="1:12">
      <c r="A3" s="139"/>
      <c r="B3" s="246"/>
      <c r="C3" s="140" t="s">
        <v>8</v>
      </c>
      <c r="D3" s="141" t="s">
        <v>9</v>
      </c>
      <c r="E3" s="140" t="s">
        <v>8</v>
      </c>
      <c r="F3" s="141" t="s">
        <v>9</v>
      </c>
      <c r="G3" s="140" t="s">
        <v>8</v>
      </c>
      <c r="H3" s="141" t="s">
        <v>9</v>
      </c>
      <c r="I3" s="140" t="s">
        <v>8</v>
      </c>
      <c r="J3" s="141" t="s">
        <v>9</v>
      </c>
      <c r="K3" s="140" t="s">
        <v>8</v>
      </c>
      <c r="L3" s="141" t="s">
        <v>9</v>
      </c>
    </row>
    <row r="4" ht="26.1" customHeight="1" spans="1:12">
      <c r="A4" s="269" t="s">
        <v>252</v>
      </c>
      <c r="B4" s="270"/>
      <c r="C4" s="215"/>
      <c r="D4" s="209"/>
      <c r="E4" s="215"/>
      <c r="F4" s="209"/>
      <c r="G4" s="215"/>
      <c r="H4" s="209"/>
      <c r="I4" s="215"/>
      <c r="J4" s="209"/>
      <c r="K4" s="215"/>
      <c r="L4" s="209"/>
    </row>
    <row r="5" ht="26.1" customHeight="1" spans="1:12">
      <c r="A5" s="271" t="s">
        <v>253</v>
      </c>
      <c r="B5" s="272" t="s">
        <v>104</v>
      </c>
      <c r="C5" s="146">
        <v>25375.9891</v>
      </c>
      <c r="D5" s="147">
        <v>-0.699064641215252</v>
      </c>
      <c r="E5" s="146">
        <v>4252.4245</v>
      </c>
      <c r="F5" s="147">
        <v>2.56403051645819</v>
      </c>
      <c r="G5" s="146">
        <v>6786.79</v>
      </c>
      <c r="H5" s="147">
        <v>5.8</v>
      </c>
      <c r="I5" s="146">
        <v>9461.1542</v>
      </c>
      <c r="J5" s="147">
        <v>8.41319179460385</v>
      </c>
      <c r="K5" s="146">
        <v>11986.61</v>
      </c>
      <c r="L5" s="147">
        <v>8</v>
      </c>
    </row>
    <row r="6" ht="26.1" customHeight="1" spans="1:12">
      <c r="A6" s="271" t="s">
        <v>254</v>
      </c>
      <c r="B6" s="272" t="s">
        <v>104</v>
      </c>
      <c r="C6" s="254">
        <v>10138</v>
      </c>
      <c r="D6" s="147">
        <v>-9.92447800977343</v>
      </c>
      <c r="E6" s="254">
        <v>1502</v>
      </c>
      <c r="F6" s="147">
        <v>-9.95203836930456</v>
      </c>
      <c r="G6" s="254">
        <v>2440</v>
      </c>
      <c r="H6" s="147">
        <v>-1.7</v>
      </c>
      <c r="I6" s="254">
        <v>3401</v>
      </c>
      <c r="J6" s="147">
        <v>-1.21986639558525</v>
      </c>
      <c r="K6" s="254">
        <v>4411</v>
      </c>
      <c r="L6" s="147">
        <v>1.7</v>
      </c>
    </row>
    <row r="7" ht="26.1" customHeight="1" spans="1:12">
      <c r="A7" s="271" t="s">
        <v>255</v>
      </c>
      <c r="B7" s="272" t="s">
        <v>72</v>
      </c>
      <c r="C7" s="146">
        <v>153.5436</v>
      </c>
      <c r="D7" s="147">
        <v>9.30523147531017</v>
      </c>
      <c r="E7" s="146">
        <v>22.413125</v>
      </c>
      <c r="F7" s="147">
        <v>6.73361390057921</v>
      </c>
      <c r="G7" s="146">
        <v>36.04</v>
      </c>
      <c r="H7" s="147">
        <v>9.1</v>
      </c>
      <c r="I7" s="146">
        <v>48.542175</v>
      </c>
      <c r="J7" s="147">
        <v>5.32680440556164</v>
      </c>
      <c r="K7" s="146">
        <v>62.31</v>
      </c>
      <c r="L7" s="147">
        <v>0.3</v>
      </c>
    </row>
    <row r="8" ht="26.1" customHeight="1" spans="1:12">
      <c r="A8" s="269" t="s">
        <v>256</v>
      </c>
      <c r="B8" s="270" t="s">
        <v>257</v>
      </c>
      <c r="C8" s="222"/>
      <c r="D8" s="200"/>
      <c r="E8" s="222"/>
      <c r="F8" s="200"/>
      <c r="G8" s="222"/>
      <c r="H8" s="200"/>
      <c r="I8" s="222"/>
      <c r="J8" s="200"/>
      <c r="K8" s="222"/>
      <c r="L8" s="200"/>
    </row>
    <row r="9" ht="26.1" customHeight="1" spans="1:12">
      <c r="A9" s="271" t="s">
        <v>258</v>
      </c>
      <c r="B9" s="272" t="s">
        <v>70</v>
      </c>
      <c r="C9" s="146">
        <v>1.491047</v>
      </c>
      <c r="D9" s="147">
        <v>-8.72921527963115</v>
      </c>
      <c r="E9" s="146">
        <v>0.204278</v>
      </c>
      <c r="F9" s="147">
        <v>-1.32117306642579</v>
      </c>
      <c r="G9" s="146">
        <v>0.35</v>
      </c>
      <c r="H9" s="147">
        <v>1.1</v>
      </c>
      <c r="I9" s="146">
        <v>0.479449</v>
      </c>
      <c r="J9" s="147">
        <v>0.522057451479043</v>
      </c>
      <c r="K9" s="146">
        <v>0.6025</v>
      </c>
      <c r="L9" s="147">
        <v>-0.73</v>
      </c>
    </row>
    <row r="10" ht="26.1" customHeight="1" spans="1:12">
      <c r="A10" s="271" t="s">
        <v>259</v>
      </c>
      <c r="B10" s="272" t="s">
        <v>67</v>
      </c>
      <c r="C10" s="146">
        <v>272.451658</v>
      </c>
      <c r="D10" s="147">
        <v>-8.45917423964575</v>
      </c>
      <c r="E10" s="146">
        <v>32.644015</v>
      </c>
      <c r="F10" s="147">
        <v>-16.6490869959052</v>
      </c>
      <c r="G10" s="146">
        <v>56.78</v>
      </c>
      <c r="H10" s="147">
        <v>-14.2</v>
      </c>
      <c r="I10" s="146">
        <v>79.285661</v>
      </c>
      <c r="J10" s="147">
        <v>-13.4326142748205</v>
      </c>
      <c r="K10" s="146">
        <v>104.1402</v>
      </c>
      <c r="L10" s="147">
        <v>-10.84</v>
      </c>
    </row>
    <row r="11" ht="26.1" customHeight="1" spans="1:12">
      <c r="A11" s="271" t="s">
        <v>260</v>
      </c>
      <c r="B11" s="272" t="s">
        <v>184</v>
      </c>
      <c r="C11" s="146">
        <v>1604.9515</v>
      </c>
      <c r="D11" s="147">
        <v>-24.3876225251981</v>
      </c>
      <c r="E11" s="146">
        <v>250.4243</v>
      </c>
      <c r="F11" s="147">
        <v>-22.1428353797873</v>
      </c>
      <c r="G11" s="146">
        <v>374.91</v>
      </c>
      <c r="H11" s="147">
        <v>-20.1</v>
      </c>
      <c r="I11" s="146">
        <v>503.3131</v>
      </c>
      <c r="J11" s="147">
        <v>-18.4795148871838</v>
      </c>
      <c r="K11" s="146">
        <v>631.2195</v>
      </c>
      <c r="L11" s="147">
        <v>-15.4</v>
      </c>
    </row>
    <row r="12" ht="26.1" customHeight="1" spans="1:12">
      <c r="A12" s="271" t="s">
        <v>261</v>
      </c>
      <c r="B12" s="272" t="s">
        <v>262</v>
      </c>
      <c r="C12" s="146">
        <v>10.68034824</v>
      </c>
      <c r="D12" s="147">
        <v>-44.0079255686016</v>
      </c>
      <c r="E12" s="146">
        <v>2.07795975</v>
      </c>
      <c r="F12" s="147">
        <v>-18.332344112398</v>
      </c>
      <c r="G12" s="146">
        <v>3.02</v>
      </c>
      <c r="H12" s="147">
        <v>-14.7</v>
      </c>
      <c r="I12" s="146">
        <v>4.01638578</v>
      </c>
      <c r="J12" s="147">
        <v>-10.0833574823043</v>
      </c>
      <c r="K12" s="146">
        <v>5.0086</v>
      </c>
      <c r="L12" s="147">
        <v>-5.12</v>
      </c>
    </row>
    <row r="13" ht="26.1" customHeight="1" spans="1:12">
      <c r="A13" s="269" t="s">
        <v>263</v>
      </c>
      <c r="B13" s="270"/>
      <c r="C13" s="222"/>
      <c r="D13" s="200"/>
      <c r="E13" s="222"/>
      <c r="F13" s="200"/>
      <c r="G13" s="222"/>
      <c r="H13" s="200"/>
      <c r="I13" s="222"/>
      <c r="J13" s="200"/>
      <c r="K13" s="222"/>
      <c r="L13" s="200"/>
    </row>
    <row r="14" ht="26.1" customHeight="1" spans="1:12">
      <c r="A14" s="271" t="s">
        <v>258</v>
      </c>
      <c r="B14" s="272" t="s">
        <v>104</v>
      </c>
      <c r="C14" s="146">
        <v>2794.3241</v>
      </c>
      <c r="D14" s="147">
        <v>-36.3332545224063</v>
      </c>
      <c r="E14" s="146">
        <v>724.1249</v>
      </c>
      <c r="F14" s="147">
        <v>63.4032792360184</v>
      </c>
      <c r="G14" s="146">
        <v>1255.96</v>
      </c>
      <c r="H14" s="147">
        <v>117.2</v>
      </c>
      <c r="I14" s="146">
        <v>1766.1693</v>
      </c>
      <c r="J14" s="147">
        <v>145.982389572015</v>
      </c>
      <c r="K14" s="146">
        <v>2208.9002</v>
      </c>
      <c r="L14" s="147">
        <v>159.8</v>
      </c>
    </row>
    <row r="15" ht="26.1" customHeight="1" spans="1:12">
      <c r="A15" s="271" t="s">
        <v>259</v>
      </c>
      <c r="B15" s="272" t="s">
        <v>67</v>
      </c>
      <c r="C15" s="146">
        <v>173.36962026</v>
      </c>
      <c r="D15" s="147">
        <v>5.66807689487004</v>
      </c>
      <c r="E15" s="146">
        <v>28.93194171</v>
      </c>
      <c r="F15" s="147">
        <v>32.2703894963611</v>
      </c>
      <c r="G15" s="146">
        <v>48.78</v>
      </c>
      <c r="H15" s="147">
        <v>24.4</v>
      </c>
      <c r="I15" s="146">
        <v>67.35641125</v>
      </c>
      <c r="J15" s="147">
        <v>16.6883226508785</v>
      </c>
      <c r="K15" s="146">
        <v>85.3424</v>
      </c>
      <c r="L15" s="147">
        <v>13.2</v>
      </c>
    </row>
    <row r="16" ht="26.1" customHeight="1" spans="1:12">
      <c r="A16" s="271" t="s">
        <v>260</v>
      </c>
      <c r="B16" s="272" t="s">
        <v>184</v>
      </c>
      <c r="C16" s="146">
        <v>245.769</v>
      </c>
      <c r="D16" s="147">
        <v>-55.4549631478355</v>
      </c>
      <c r="E16" s="146">
        <v>229.212</v>
      </c>
      <c r="F16" s="147">
        <v>250.899860994593</v>
      </c>
      <c r="G16" s="146">
        <v>296.75</v>
      </c>
      <c r="H16" s="147">
        <v>336.5</v>
      </c>
      <c r="I16" s="146">
        <v>366.2007</v>
      </c>
      <c r="J16" s="147">
        <v>423.867542734034</v>
      </c>
      <c r="K16" s="146">
        <v>419.5026</v>
      </c>
      <c r="L16" s="147">
        <v>487.1</v>
      </c>
    </row>
    <row r="17" ht="26.1" customHeight="1" spans="1:12">
      <c r="A17" s="271" t="s">
        <v>261</v>
      </c>
      <c r="B17" s="272" t="s">
        <v>262</v>
      </c>
      <c r="C17" s="146">
        <v>0.61183245</v>
      </c>
      <c r="D17" s="147">
        <v>-63.6547525526044</v>
      </c>
      <c r="E17" s="146">
        <v>0.57633065</v>
      </c>
      <c r="F17" s="147">
        <v>186.373215734594</v>
      </c>
      <c r="G17" s="146">
        <v>0.74</v>
      </c>
      <c r="H17" s="147">
        <v>262.3</v>
      </c>
      <c r="I17" s="146">
        <v>0.90721871</v>
      </c>
      <c r="J17" s="147">
        <v>344.052066772071</v>
      </c>
      <c r="K17" s="146">
        <v>1.0375</v>
      </c>
      <c r="L17" s="147">
        <v>405</v>
      </c>
    </row>
    <row r="18" ht="26.1" customHeight="1" spans="1:12">
      <c r="A18" s="269" t="s">
        <v>264</v>
      </c>
      <c r="B18" s="270"/>
      <c r="C18" s="222"/>
      <c r="D18" s="200"/>
      <c r="E18" s="222"/>
      <c r="F18" s="200"/>
      <c r="G18" s="222"/>
      <c r="H18" s="200"/>
      <c r="I18" s="222"/>
      <c r="J18" s="200"/>
      <c r="K18" s="222"/>
      <c r="L18" s="200"/>
    </row>
    <row r="19" ht="26.1" customHeight="1" spans="1:12">
      <c r="A19" s="271" t="s">
        <v>265</v>
      </c>
      <c r="B19" s="272" t="s">
        <v>11</v>
      </c>
      <c r="C19" s="162">
        <v>24.218145</v>
      </c>
      <c r="D19" s="163">
        <v>17.5240978036499</v>
      </c>
      <c r="E19" s="162">
        <v>4.02216</v>
      </c>
      <c r="F19" s="163">
        <v>18.9883962824557</v>
      </c>
      <c r="G19" s="162">
        <v>6.303716</v>
      </c>
      <c r="H19" s="163">
        <v>21.665855074075</v>
      </c>
      <c r="I19" s="162">
        <v>8.394105</v>
      </c>
      <c r="J19" s="163">
        <v>20.9189291505184</v>
      </c>
      <c r="K19" s="162">
        <v>10.624544</v>
      </c>
      <c r="L19" s="163">
        <v>19.6141111305004</v>
      </c>
    </row>
    <row r="20" ht="26.1" customHeight="1" spans="1:12">
      <c r="A20" s="249" t="s">
        <v>266</v>
      </c>
      <c r="B20" s="250" t="s">
        <v>11</v>
      </c>
      <c r="C20" s="146">
        <v>0.650347</v>
      </c>
      <c r="D20" s="147">
        <v>-1.27364942306262</v>
      </c>
      <c r="E20" s="146">
        <v>0.120047</v>
      </c>
      <c r="F20" s="147">
        <v>21.3871137356415</v>
      </c>
      <c r="G20" s="146">
        <v>0.199183</v>
      </c>
      <c r="H20" s="147">
        <v>24.7208881486259</v>
      </c>
      <c r="I20" s="146">
        <v>0.272093</v>
      </c>
      <c r="J20" s="147">
        <v>28.6935916415595</v>
      </c>
      <c r="K20" s="146">
        <v>0.340967</v>
      </c>
      <c r="L20" s="147">
        <v>29.6753239344487</v>
      </c>
    </row>
    <row r="21" ht="26.1" customHeight="1" spans="1:12">
      <c r="A21" s="249" t="s">
        <v>267</v>
      </c>
      <c r="B21" s="250" t="s">
        <v>11</v>
      </c>
      <c r="C21" s="146">
        <v>11.410439</v>
      </c>
      <c r="D21" s="147">
        <v>15.7561257337068</v>
      </c>
      <c r="E21" s="146">
        <v>1.914474</v>
      </c>
      <c r="F21" s="147">
        <v>21.3322711466103</v>
      </c>
      <c r="G21" s="146">
        <v>2.970041</v>
      </c>
      <c r="H21" s="147">
        <v>23.6316825748336</v>
      </c>
      <c r="I21" s="146">
        <v>4.012403</v>
      </c>
      <c r="J21" s="147">
        <v>25.1942078221048</v>
      </c>
      <c r="K21" s="146">
        <v>5.199899</v>
      </c>
      <c r="L21" s="147">
        <v>26.3511390654937</v>
      </c>
    </row>
    <row r="22" ht="26.1" customHeight="1" spans="1:12">
      <c r="A22" s="273" t="s">
        <v>268</v>
      </c>
      <c r="B22" s="274" t="s">
        <v>11</v>
      </c>
      <c r="C22" s="146">
        <v>20.904044183</v>
      </c>
      <c r="D22" s="147">
        <v>15.9271582909941</v>
      </c>
      <c r="E22" s="146">
        <v>3.6153612761</v>
      </c>
      <c r="F22" s="147">
        <v>19.3005934816912</v>
      </c>
      <c r="G22" s="146">
        <v>5.617560345</v>
      </c>
      <c r="H22" s="147">
        <v>21.7085670534063</v>
      </c>
      <c r="I22" s="146">
        <v>7.591950126</v>
      </c>
      <c r="J22" s="147">
        <v>22.9897852669587</v>
      </c>
      <c r="K22" s="146">
        <v>9.6679686779</v>
      </c>
      <c r="L22" s="147">
        <v>23.1463295810657</v>
      </c>
    </row>
    <row r="23" ht="26.1" customHeight="1" spans="1:12">
      <c r="A23" s="273" t="s">
        <v>269</v>
      </c>
      <c r="B23" s="274" t="s">
        <v>213</v>
      </c>
      <c r="C23" s="146">
        <v>4628.04</v>
      </c>
      <c r="D23" s="147">
        <v>6.28983250539139</v>
      </c>
      <c r="E23" s="146">
        <v>762.83</v>
      </c>
      <c r="F23" s="147">
        <v>22.9399345678415</v>
      </c>
      <c r="G23" s="146">
        <v>1302.86</v>
      </c>
      <c r="H23" s="147">
        <v>26.0689922105569</v>
      </c>
      <c r="I23" s="146">
        <v>1778.81</v>
      </c>
      <c r="J23" s="147">
        <v>28.1785034876347</v>
      </c>
      <c r="K23" s="146">
        <v>2258.33</v>
      </c>
      <c r="L23" s="147">
        <v>29.0953782833624</v>
      </c>
    </row>
    <row r="24" ht="26.1" customHeight="1" spans="1:12">
      <c r="A24" s="273" t="s">
        <v>270</v>
      </c>
      <c r="B24" s="274" t="s">
        <v>213</v>
      </c>
      <c r="C24" s="146">
        <v>12061.811</v>
      </c>
      <c r="D24" s="147">
        <v>40.472971357471</v>
      </c>
      <c r="E24" s="146">
        <v>1797.8202</v>
      </c>
      <c r="F24" s="147">
        <v>45.1271159760734</v>
      </c>
      <c r="G24" s="146">
        <v>2976.6133</v>
      </c>
      <c r="H24" s="147">
        <v>40.6888599838733</v>
      </c>
      <c r="I24" s="146">
        <v>4194.6627</v>
      </c>
      <c r="J24" s="147">
        <v>41.0089861378197</v>
      </c>
      <c r="K24" s="146">
        <v>5604.2314</v>
      </c>
      <c r="L24" s="147">
        <v>40.3101994217826</v>
      </c>
    </row>
    <row r="25" ht="26.1" customHeight="1" spans="1:12">
      <c r="A25" s="273" t="s">
        <v>271</v>
      </c>
      <c r="B25" s="274" t="s">
        <v>213</v>
      </c>
      <c r="C25" s="146">
        <v>1914.6587</v>
      </c>
      <c r="D25" s="147">
        <v>35.7231601785457</v>
      </c>
      <c r="E25" s="146">
        <v>236.6589</v>
      </c>
      <c r="F25" s="147">
        <v>36.2656161202524</v>
      </c>
      <c r="G25" s="146">
        <v>393.0344</v>
      </c>
      <c r="H25" s="147">
        <v>34.283416390436</v>
      </c>
      <c r="I25" s="146">
        <v>543.1084</v>
      </c>
      <c r="J25" s="147">
        <v>30.3602721993677</v>
      </c>
      <c r="K25" s="146">
        <v>689.3323</v>
      </c>
      <c r="L25" s="147">
        <v>25.0127264718049</v>
      </c>
    </row>
    <row r="26" ht="26.1" customHeight="1" spans="1:12">
      <c r="A26" s="273" t="s">
        <v>272</v>
      </c>
      <c r="B26" s="274" t="s">
        <v>213</v>
      </c>
      <c r="C26" s="146">
        <v>10143.4383</v>
      </c>
      <c r="D26" s="147">
        <v>41.4465811085929</v>
      </c>
      <c r="E26" s="146">
        <v>1560.5932</v>
      </c>
      <c r="F26" s="147">
        <v>46.5998062424209</v>
      </c>
      <c r="G26" s="146">
        <v>2582.6824</v>
      </c>
      <c r="H26" s="147">
        <v>41.7355126078349</v>
      </c>
      <c r="I26" s="146">
        <v>3650.3595</v>
      </c>
      <c r="J26" s="147">
        <v>42.7638191544365</v>
      </c>
      <c r="K26" s="146">
        <v>4913.4011</v>
      </c>
      <c r="L26" s="147">
        <v>42.7794166026323</v>
      </c>
    </row>
    <row r="27" ht="26.1" customHeight="1" spans="1:12">
      <c r="A27" s="275" t="s">
        <v>273</v>
      </c>
      <c r="B27" s="276" t="s">
        <v>213</v>
      </c>
      <c r="C27" s="164">
        <v>3.714</v>
      </c>
      <c r="D27" s="165">
        <v>-20.0757494243474</v>
      </c>
      <c r="E27" s="164">
        <v>0.5681</v>
      </c>
      <c r="F27" s="165">
        <v>-3.58112695179905</v>
      </c>
      <c r="G27" s="164">
        <v>0.8965</v>
      </c>
      <c r="H27" s="165">
        <v>3.35485358542771</v>
      </c>
      <c r="I27" s="164">
        <v>1.1948</v>
      </c>
      <c r="J27" s="165">
        <v>-0.879376140700183</v>
      </c>
      <c r="K27" s="164">
        <v>1.498</v>
      </c>
      <c r="L27" s="165">
        <v>-0.774988408293038</v>
      </c>
    </row>
  </sheetData>
  <mergeCells count="8">
    <mergeCell ref="A1:L1"/>
    <mergeCell ref="C2:D2"/>
    <mergeCell ref="E2:F2"/>
    <mergeCell ref="G2:H2"/>
    <mergeCell ref="I2:J2"/>
    <mergeCell ref="K2:L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L27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H9" sqref="H9"/>
    </sheetView>
  </sheetViews>
  <sheetFormatPr defaultColWidth="9" defaultRowHeight="14.25"/>
  <cols>
    <col min="1" max="1" width="31.375" style="244" customWidth="1"/>
    <col min="2" max="2" width="9.625" style="244" customWidth="1"/>
    <col min="3" max="3" width="11.625" style="244"/>
    <col min="4" max="4" width="10.375" style="244"/>
    <col min="5" max="5" width="11.625" style="244"/>
    <col min="6" max="6" width="10.375" style="244"/>
    <col min="7" max="7" width="11.625" style="244"/>
    <col min="8" max="8" width="10.375" style="244"/>
    <col min="9" max="9" width="11.625" style="244"/>
    <col min="10" max="10" width="10.375" style="244"/>
    <col min="11" max="11" width="11.625" style="244"/>
    <col min="12" max="12" width="10.375" style="244"/>
    <col min="13" max="16384" width="9" style="244"/>
  </cols>
  <sheetData>
    <row r="1" ht="24.95" customHeight="1" spans="1:12">
      <c r="A1" s="135" t="s">
        <v>77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ht="21" customHeight="1" spans="1:12">
      <c r="A2" s="136" t="s">
        <v>1</v>
      </c>
      <c r="B2" s="245" t="s">
        <v>94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  <c r="K2" s="137" t="s">
        <v>7</v>
      </c>
      <c r="L2" s="138"/>
    </row>
    <row r="3" ht="21" customHeight="1" spans="1:12">
      <c r="A3" s="139"/>
      <c r="B3" s="246"/>
      <c r="C3" s="140" t="s">
        <v>8</v>
      </c>
      <c r="D3" s="141" t="s">
        <v>9</v>
      </c>
      <c r="E3" s="140" t="s">
        <v>8</v>
      </c>
      <c r="F3" s="141" t="s">
        <v>9</v>
      </c>
      <c r="G3" s="140" t="s">
        <v>8</v>
      </c>
      <c r="H3" s="141" t="s">
        <v>9</v>
      </c>
      <c r="I3" s="140" t="s">
        <v>8</v>
      </c>
      <c r="J3" s="141" t="s">
        <v>9</v>
      </c>
      <c r="K3" s="140" t="s">
        <v>8</v>
      </c>
      <c r="L3" s="141" t="s">
        <v>9</v>
      </c>
    </row>
    <row r="4" ht="24" customHeight="1" spans="1:12">
      <c r="A4" s="247" t="s">
        <v>77</v>
      </c>
      <c r="B4" s="248" t="s">
        <v>11</v>
      </c>
      <c r="C4" s="222"/>
      <c r="D4" s="200">
        <v>-9.6</v>
      </c>
      <c r="E4" s="222"/>
      <c r="F4" s="200">
        <v>-9.2</v>
      </c>
      <c r="G4" s="222"/>
      <c r="H4" s="200">
        <v>4.6</v>
      </c>
      <c r="I4" s="222"/>
      <c r="J4" s="200">
        <v>0.1</v>
      </c>
      <c r="K4" s="222"/>
      <c r="L4" s="200">
        <v>4.4</v>
      </c>
    </row>
    <row r="5" ht="24" customHeight="1" spans="1:12">
      <c r="A5" s="249" t="s">
        <v>274</v>
      </c>
      <c r="B5" s="250" t="s">
        <v>11</v>
      </c>
      <c r="C5" s="146"/>
      <c r="D5" s="147">
        <v>2</v>
      </c>
      <c r="E5" s="146"/>
      <c r="F5" s="147">
        <v>-9</v>
      </c>
      <c r="G5" s="146"/>
      <c r="H5" s="147">
        <v>7.7</v>
      </c>
      <c r="I5" s="146"/>
      <c r="J5" s="147">
        <v>3</v>
      </c>
      <c r="K5" s="146"/>
      <c r="L5" s="147">
        <v>9.5</v>
      </c>
    </row>
    <row r="6" ht="24" customHeight="1" spans="1:12">
      <c r="A6" s="249" t="s">
        <v>275</v>
      </c>
      <c r="B6" s="250" t="s">
        <v>11</v>
      </c>
      <c r="C6" s="146"/>
      <c r="D6" s="147">
        <v>4.9</v>
      </c>
      <c r="E6" s="146"/>
      <c r="F6" s="147">
        <v>-28.4</v>
      </c>
      <c r="G6" s="146"/>
      <c r="H6" s="147">
        <v>-17.7</v>
      </c>
      <c r="I6" s="146"/>
      <c r="J6" s="147">
        <v>-13.9</v>
      </c>
      <c r="K6" s="146"/>
      <c r="L6" s="147">
        <v>-10.9</v>
      </c>
    </row>
    <row r="7" ht="24" customHeight="1" spans="1:12">
      <c r="A7" s="249" t="s">
        <v>276</v>
      </c>
      <c r="B7" s="250" t="s">
        <v>11</v>
      </c>
      <c r="C7" s="146"/>
      <c r="D7" s="147">
        <v>21.1</v>
      </c>
      <c r="E7" s="146"/>
      <c r="F7" s="147">
        <v>-33.2</v>
      </c>
      <c r="G7" s="146"/>
      <c r="H7" s="147">
        <v>-10.4</v>
      </c>
      <c r="I7" s="146"/>
      <c r="J7" s="147">
        <v>-15.5</v>
      </c>
      <c r="K7" s="146"/>
      <c r="L7" s="147">
        <v>-17.2</v>
      </c>
    </row>
    <row r="8" ht="24" customHeight="1" spans="1:12">
      <c r="A8" s="249" t="s">
        <v>277</v>
      </c>
      <c r="B8" s="250" t="s">
        <v>11</v>
      </c>
      <c r="C8" s="146"/>
      <c r="D8" s="147">
        <v>-5.5</v>
      </c>
      <c r="E8" s="146"/>
      <c r="F8" s="147">
        <v>-59.7</v>
      </c>
      <c r="G8" s="146"/>
      <c r="H8" s="147">
        <v>-42.3</v>
      </c>
      <c r="I8" s="146"/>
      <c r="J8" s="147">
        <v>-37.6</v>
      </c>
      <c r="K8" s="146"/>
      <c r="L8" s="147">
        <v>-33.7</v>
      </c>
    </row>
    <row r="9" ht="24" customHeight="1" spans="1:12">
      <c r="A9" s="249" t="s">
        <v>278</v>
      </c>
      <c r="B9" s="250" t="s">
        <v>11</v>
      </c>
      <c r="C9" s="146"/>
      <c r="D9" s="147">
        <v>-7.4</v>
      </c>
      <c r="E9" s="146"/>
      <c r="F9" s="147">
        <v>30.6</v>
      </c>
      <c r="G9" s="146"/>
      <c r="H9" s="147">
        <v>31.8</v>
      </c>
      <c r="I9" s="146"/>
      <c r="J9" s="147">
        <v>42.1</v>
      </c>
      <c r="K9" s="146"/>
      <c r="L9" s="147">
        <v>52.6</v>
      </c>
    </row>
    <row r="10" ht="24" customHeight="1" spans="1:12">
      <c r="A10" s="249" t="s">
        <v>279</v>
      </c>
      <c r="B10" s="250" t="s">
        <v>11</v>
      </c>
      <c r="C10" s="146"/>
      <c r="D10" s="147">
        <v>-23.2</v>
      </c>
      <c r="E10" s="146"/>
      <c r="F10" s="147">
        <v>123.4</v>
      </c>
      <c r="G10" s="146"/>
      <c r="H10" s="147">
        <v>161.2</v>
      </c>
      <c r="I10" s="146"/>
      <c r="J10" s="147">
        <v>169.7</v>
      </c>
      <c r="K10" s="146"/>
      <c r="L10" s="147">
        <v>196.9</v>
      </c>
    </row>
    <row r="11" ht="24" customHeight="1" spans="1:12">
      <c r="A11" s="249" t="s">
        <v>280</v>
      </c>
      <c r="B11" s="250" t="s">
        <v>11</v>
      </c>
      <c r="C11" s="146"/>
      <c r="D11" s="147">
        <v>12.3</v>
      </c>
      <c r="E11" s="146"/>
      <c r="F11" s="147">
        <v>-25.1</v>
      </c>
      <c r="G11" s="146"/>
      <c r="H11" s="147">
        <v>0.8</v>
      </c>
      <c r="I11" s="146"/>
      <c r="J11" s="147">
        <v>9.5</v>
      </c>
      <c r="K11" s="146"/>
      <c r="L11" s="147">
        <v>2.1</v>
      </c>
    </row>
    <row r="12" ht="24" customHeight="1" spans="1:12">
      <c r="A12" s="249" t="s">
        <v>281</v>
      </c>
      <c r="B12" s="250" t="s">
        <v>11</v>
      </c>
      <c r="C12" s="146"/>
      <c r="D12" s="147">
        <v>-31.1</v>
      </c>
      <c r="E12" s="146"/>
      <c r="F12" s="147">
        <v>-9.7</v>
      </c>
      <c r="G12" s="146"/>
      <c r="H12" s="147">
        <v>-1.1</v>
      </c>
      <c r="I12" s="146"/>
      <c r="J12" s="147">
        <v>-5.9</v>
      </c>
      <c r="K12" s="146"/>
      <c r="L12" s="147">
        <v>-6.3</v>
      </c>
    </row>
    <row r="13" ht="24" customHeight="1" spans="1:12">
      <c r="A13" s="249" t="s">
        <v>282</v>
      </c>
      <c r="B13" s="250" t="s">
        <v>11</v>
      </c>
      <c r="C13" s="146"/>
      <c r="D13" s="147">
        <v>-48</v>
      </c>
      <c r="E13" s="146"/>
      <c r="F13" s="147">
        <v>10.7</v>
      </c>
      <c r="G13" s="146"/>
      <c r="H13" s="147">
        <v>-5.3</v>
      </c>
      <c r="I13" s="146"/>
      <c r="J13" s="147">
        <v>-11.6</v>
      </c>
      <c r="K13" s="146"/>
      <c r="L13" s="147">
        <v>5.4</v>
      </c>
    </row>
    <row r="14" ht="24" customHeight="1" spans="1:12">
      <c r="A14" s="249" t="s">
        <v>283</v>
      </c>
      <c r="B14" s="250" t="s">
        <v>11</v>
      </c>
      <c r="C14" s="146"/>
      <c r="D14" s="147">
        <v>-7.5</v>
      </c>
      <c r="E14" s="146"/>
      <c r="F14" s="147">
        <v>30.4</v>
      </c>
      <c r="G14" s="146"/>
      <c r="H14" s="147">
        <v>31.7</v>
      </c>
      <c r="I14" s="146"/>
      <c r="J14" s="147">
        <v>42</v>
      </c>
      <c r="K14" s="146"/>
      <c r="L14" s="147">
        <v>52.6</v>
      </c>
    </row>
    <row r="15" ht="24" customHeight="1" spans="1:12">
      <c r="A15" s="249" t="s">
        <v>284</v>
      </c>
      <c r="B15" s="250" t="s">
        <v>11</v>
      </c>
      <c r="C15" s="146"/>
      <c r="D15" s="147">
        <v>-9</v>
      </c>
      <c r="E15" s="146"/>
      <c r="F15" s="147">
        <v>-22.9</v>
      </c>
      <c r="G15" s="146"/>
      <c r="H15" s="147">
        <v>-6.4</v>
      </c>
      <c r="I15" s="146"/>
      <c r="J15" s="147">
        <v>-15.5</v>
      </c>
      <c r="K15" s="146"/>
      <c r="L15" s="147">
        <v>-14.5</v>
      </c>
    </row>
    <row r="16" ht="24" customHeight="1" spans="1:12">
      <c r="A16" s="251" t="s">
        <v>285</v>
      </c>
      <c r="B16" s="252" t="s">
        <v>168</v>
      </c>
      <c r="C16" s="253">
        <v>1447</v>
      </c>
      <c r="D16" s="200">
        <v>24.7</v>
      </c>
      <c r="E16" s="253">
        <v>567</v>
      </c>
      <c r="F16" s="200">
        <v>20.9</v>
      </c>
      <c r="G16" s="253">
        <v>762</v>
      </c>
      <c r="H16" s="200">
        <v>28.1</v>
      </c>
      <c r="I16" s="253">
        <v>876</v>
      </c>
      <c r="J16" s="200">
        <v>28.8</v>
      </c>
      <c r="K16" s="253">
        <v>964</v>
      </c>
      <c r="L16" s="200">
        <v>20.7</v>
      </c>
    </row>
    <row r="17" ht="24" customHeight="1" spans="1:12">
      <c r="A17" s="249" t="s">
        <v>286</v>
      </c>
      <c r="B17" s="250" t="s">
        <v>168</v>
      </c>
      <c r="C17" s="254">
        <v>577</v>
      </c>
      <c r="D17" s="147">
        <v>39.4</v>
      </c>
      <c r="E17" s="254">
        <v>279</v>
      </c>
      <c r="F17" s="147">
        <v>26.2</v>
      </c>
      <c r="G17" s="254">
        <v>358</v>
      </c>
      <c r="H17" s="147">
        <v>30.2</v>
      </c>
      <c r="I17" s="254">
        <v>404</v>
      </c>
      <c r="J17" s="147">
        <v>30.7</v>
      </c>
      <c r="K17" s="254">
        <v>447</v>
      </c>
      <c r="L17" s="147">
        <v>29.6</v>
      </c>
    </row>
    <row r="18" ht="24" customHeight="1" spans="1:12">
      <c r="A18" s="249" t="s">
        <v>287</v>
      </c>
      <c r="B18" s="250" t="s">
        <v>168</v>
      </c>
      <c r="C18" s="254">
        <v>564</v>
      </c>
      <c r="D18" s="147">
        <v>19.5</v>
      </c>
      <c r="E18" s="254">
        <v>242</v>
      </c>
      <c r="F18" s="147">
        <v>25.4</v>
      </c>
      <c r="G18" s="254">
        <v>314</v>
      </c>
      <c r="H18" s="147">
        <v>32.5</v>
      </c>
      <c r="I18" s="254">
        <v>357</v>
      </c>
      <c r="J18" s="147">
        <v>34.7</v>
      </c>
      <c r="K18" s="254">
        <v>387</v>
      </c>
      <c r="L18" s="147">
        <v>26.5</v>
      </c>
    </row>
    <row r="19" ht="24" customHeight="1" spans="1:12">
      <c r="A19" s="249" t="s">
        <v>288</v>
      </c>
      <c r="B19" s="250" t="s">
        <v>168</v>
      </c>
      <c r="C19" s="254">
        <v>720</v>
      </c>
      <c r="D19" s="147">
        <v>42.3</v>
      </c>
      <c r="E19" s="254">
        <v>518</v>
      </c>
      <c r="F19" s="147">
        <v>35.2</v>
      </c>
      <c r="G19" s="254">
        <v>549</v>
      </c>
      <c r="H19" s="147">
        <v>33.9</v>
      </c>
      <c r="I19" s="254">
        <v>571</v>
      </c>
      <c r="J19" s="147">
        <v>29.8</v>
      </c>
      <c r="K19" s="254">
        <v>595</v>
      </c>
      <c r="L19" s="147">
        <v>25.8</v>
      </c>
    </row>
    <row r="20" ht="24" customHeight="1" spans="1:12">
      <c r="A20" s="249" t="s">
        <v>289</v>
      </c>
      <c r="B20" s="250" t="s">
        <v>168</v>
      </c>
      <c r="C20" s="254">
        <v>66</v>
      </c>
      <c r="D20" s="147">
        <v>6.5</v>
      </c>
      <c r="E20" s="254">
        <v>29</v>
      </c>
      <c r="F20" s="147">
        <v>61.1</v>
      </c>
      <c r="G20" s="254">
        <v>36</v>
      </c>
      <c r="H20" s="147">
        <v>33.3</v>
      </c>
      <c r="I20" s="254">
        <v>42</v>
      </c>
      <c r="J20" s="147">
        <v>31.3</v>
      </c>
      <c r="K20" s="254">
        <v>52</v>
      </c>
      <c r="L20" s="147">
        <v>44.4</v>
      </c>
    </row>
    <row r="21" ht="24" customHeight="1" spans="1:12">
      <c r="A21" s="251" t="s">
        <v>290</v>
      </c>
      <c r="B21" s="252" t="s">
        <v>168</v>
      </c>
      <c r="C21" s="253">
        <v>365</v>
      </c>
      <c r="D21" s="200">
        <v>1.7</v>
      </c>
      <c r="E21" s="253">
        <v>338</v>
      </c>
      <c r="F21" s="200">
        <v>5</v>
      </c>
      <c r="G21" s="253">
        <v>343</v>
      </c>
      <c r="H21" s="200">
        <v>5.2</v>
      </c>
      <c r="I21" s="253">
        <v>343</v>
      </c>
      <c r="J21" s="200">
        <v>3.6</v>
      </c>
      <c r="K21" s="253">
        <v>348</v>
      </c>
      <c r="L21" s="200">
        <v>4.8</v>
      </c>
    </row>
    <row r="22" ht="24" customHeight="1" spans="1:12">
      <c r="A22" s="251" t="s">
        <v>291</v>
      </c>
      <c r="B22" s="252" t="s">
        <v>43</v>
      </c>
      <c r="C22" s="222">
        <v>3793.1</v>
      </c>
      <c r="D22" s="200">
        <v>-3.8</v>
      </c>
      <c r="E22" s="222">
        <v>3343</v>
      </c>
      <c r="F22" s="200">
        <v>-2.4</v>
      </c>
      <c r="G22" s="222">
        <v>3457.56</v>
      </c>
      <c r="H22" s="200">
        <v>-1.9</v>
      </c>
      <c r="I22" s="222">
        <v>3477.35</v>
      </c>
      <c r="J22" s="200">
        <v>-1.9</v>
      </c>
      <c r="K22" s="222">
        <v>3492.63</v>
      </c>
      <c r="L22" s="200">
        <v>-2</v>
      </c>
    </row>
    <row r="23" ht="24" customHeight="1" spans="1:12">
      <c r="A23" s="249" t="s">
        <v>292</v>
      </c>
      <c r="B23" s="250" t="s">
        <v>43</v>
      </c>
      <c r="C23" s="146">
        <v>2719.3</v>
      </c>
      <c r="D23" s="147">
        <v>-3.5</v>
      </c>
      <c r="E23" s="146">
        <v>2379.17</v>
      </c>
      <c r="F23" s="147">
        <v>-3.8</v>
      </c>
      <c r="G23" s="146">
        <v>2467.7</v>
      </c>
      <c r="H23" s="147">
        <v>-2.4</v>
      </c>
      <c r="I23" s="146">
        <v>2485.2</v>
      </c>
      <c r="J23" s="147">
        <v>-1.8</v>
      </c>
      <c r="K23" s="146">
        <v>2491.52</v>
      </c>
      <c r="L23" s="147">
        <v>-2.1</v>
      </c>
    </row>
    <row r="24" s="244" customFormat="1" ht="24" customHeight="1" spans="1:12">
      <c r="A24" s="251" t="s">
        <v>293</v>
      </c>
      <c r="B24" s="252" t="s">
        <v>43</v>
      </c>
      <c r="C24" s="255">
        <v>364.9</v>
      </c>
      <c r="D24" s="256">
        <v>-30.8</v>
      </c>
      <c r="E24" s="255">
        <v>68.73</v>
      </c>
      <c r="F24" s="256">
        <v>50</v>
      </c>
      <c r="G24" s="255">
        <v>119.48</v>
      </c>
      <c r="H24" s="256">
        <v>63.1</v>
      </c>
      <c r="I24" s="255">
        <v>164.26</v>
      </c>
      <c r="J24" s="256">
        <v>54.8</v>
      </c>
      <c r="K24" s="255">
        <v>196.21</v>
      </c>
      <c r="L24" s="256">
        <v>48.8</v>
      </c>
    </row>
    <row r="25" s="244" customFormat="1" ht="24" customHeight="1" spans="1:12">
      <c r="A25" s="257" t="s">
        <v>292</v>
      </c>
      <c r="B25" s="258" t="s">
        <v>43</v>
      </c>
      <c r="C25" s="259">
        <v>335.51</v>
      </c>
      <c r="D25" s="260">
        <v>-28</v>
      </c>
      <c r="E25" s="259">
        <v>65.81</v>
      </c>
      <c r="F25" s="260">
        <v>57</v>
      </c>
      <c r="G25" s="259">
        <v>114.99</v>
      </c>
      <c r="H25" s="260">
        <v>72.9</v>
      </c>
      <c r="I25" s="259">
        <v>144.13</v>
      </c>
      <c r="J25" s="260">
        <v>48.9</v>
      </c>
      <c r="K25" s="259">
        <v>174.98</v>
      </c>
      <c r="L25" s="260">
        <v>44.5</v>
      </c>
    </row>
    <row r="26" s="244" customFormat="1" ht="24" customHeight="1" spans="1:12">
      <c r="A26" s="261" t="s">
        <v>294</v>
      </c>
      <c r="B26" s="262" t="s">
        <v>11</v>
      </c>
      <c r="C26" s="255">
        <v>324.24</v>
      </c>
      <c r="D26" s="256">
        <v>-29.3</v>
      </c>
      <c r="E26" s="255">
        <v>60</v>
      </c>
      <c r="F26" s="256">
        <v>59.2</v>
      </c>
      <c r="G26" s="255">
        <v>110.18</v>
      </c>
      <c r="H26" s="256">
        <v>69.4</v>
      </c>
      <c r="I26" s="255">
        <v>143.97</v>
      </c>
      <c r="J26" s="256">
        <v>56.1</v>
      </c>
      <c r="K26" s="255">
        <v>174.86</v>
      </c>
      <c r="L26" s="256">
        <v>51.6</v>
      </c>
    </row>
    <row r="27" s="244" customFormat="1" ht="24" customHeight="1" spans="1:12">
      <c r="A27" s="263" t="s">
        <v>292</v>
      </c>
      <c r="B27" s="264" t="s">
        <v>11</v>
      </c>
      <c r="C27" s="265">
        <v>294.72</v>
      </c>
      <c r="D27" s="266">
        <v>-27.8</v>
      </c>
      <c r="E27" s="265">
        <v>57.2</v>
      </c>
      <c r="F27" s="266">
        <v>67.8</v>
      </c>
      <c r="G27" s="265">
        <v>105.74</v>
      </c>
      <c r="H27" s="266">
        <v>81.8</v>
      </c>
      <c r="I27" s="265">
        <v>135.14</v>
      </c>
      <c r="J27" s="266">
        <v>63.7</v>
      </c>
      <c r="K27" s="265">
        <v>164.88</v>
      </c>
      <c r="L27" s="266">
        <v>58.5</v>
      </c>
    </row>
  </sheetData>
  <mergeCells count="8">
    <mergeCell ref="A1:L1"/>
    <mergeCell ref="C2:D2"/>
    <mergeCell ref="E2:F2"/>
    <mergeCell ref="G2:H2"/>
    <mergeCell ref="I2:J2"/>
    <mergeCell ref="K2:L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D30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G8" sqref="G8"/>
    </sheetView>
  </sheetViews>
  <sheetFormatPr defaultColWidth="9" defaultRowHeight="14.25"/>
  <cols>
    <col min="1" max="1" width="30.1416666666667" style="133" customWidth="1"/>
    <col min="2" max="2" width="10.375" style="133"/>
    <col min="3" max="3" width="9.375" style="133" customWidth="1"/>
    <col min="4" max="4" width="10.375" style="133" customWidth="1"/>
    <col min="5" max="6" width="9.375" style="133" customWidth="1"/>
    <col min="7" max="7" width="9" style="133" customWidth="1"/>
    <col min="8" max="8" width="9.375" style="133"/>
    <col min="9" max="9" width="9" style="133"/>
    <col min="10" max="11" width="9.375" style="133"/>
    <col min="12" max="186" width="9" style="133"/>
    <col min="187" max="16384" width="9" style="134"/>
  </cols>
  <sheetData>
    <row r="1" ht="28.5" customHeight="1" spans="1:11">
      <c r="A1" s="135" t="s">
        <v>78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ht="20.85" customHeight="1" spans="1:11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</row>
    <row r="3" ht="20.85" customHeight="1" spans="1:11">
      <c r="A3" s="139"/>
      <c r="B3" s="140" t="s">
        <v>8</v>
      </c>
      <c r="C3" s="141" t="s">
        <v>9</v>
      </c>
      <c r="D3" s="140" t="s">
        <v>8</v>
      </c>
      <c r="E3" s="141" t="s">
        <v>9</v>
      </c>
      <c r="F3" s="140" t="s">
        <v>8</v>
      </c>
      <c r="G3" s="141" t="s">
        <v>9</v>
      </c>
      <c r="H3" s="140" t="s">
        <v>8</v>
      </c>
      <c r="I3" s="141" t="s">
        <v>9</v>
      </c>
      <c r="J3" s="140" t="s">
        <v>8</v>
      </c>
      <c r="K3" s="141" t="s">
        <v>9</v>
      </c>
    </row>
    <row r="4" s="224" customFormat="1" ht="20.85" customHeight="1" spans="1:212">
      <c r="A4" s="225" t="s">
        <v>295</v>
      </c>
      <c r="B4" s="226">
        <v>1826.6312</v>
      </c>
      <c r="C4" s="227">
        <v>2.36345480184839</v>
      </c>
      <c r="D4" s="226">
        <v>310.1395</v>
      </c>
      <c r="E4" s="227">
        <v>1.19513163643434</v>
      </c>
      <c r="F4" s="226">
        <v>461.7344</v>
      </c>
      <c r="G4" s="227">
        <v>3.4181902560311</v>
      </c>
      <c r="H4" s="226">
        <v>612.8219</v>
      </c>
      <c r="I4" s="227">
        <v>5.52960173470139</v>
      </c>
      <c r="J4" s="226">
        <v>759.97</v>
      </c>
      <c r="K4" s="227">
        <v>6.6</v>
      </c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2"/>
      <c r="BR4" s="242"/>
      <c r="BS4" s="242"/>
      <c r="BT4" s="242"/>
      <c r="BU4" s="242"/>
      <c r="BV4" s="242"/>
      <c r="BW4" s="242"/>
      <c r="BX4" s="242"/>
      <c r="BY4" s="242"/>
      <c r="BZ4" s="242"/>
      <c r="CA4" s="242"/>
      <c r="CB4" s="242"/>
      <c r="CC4" s="242"/>
      <c r="CD4" s="242"/>
      <c r="CE4" s="242"/>
      <c r="CF4" s="242"/>
      <c r="CG4" s="242"/>
      <c r="CH4" s="242"/>
      <c r="CI4" s="242"/>
      <c r="CJ4" s="242"/>
      <c r="CK4" s="242"/>
      <c r="CL4" s="242"/>
      <c r="CM4" s="242"/>
      <c r="CN4" s="242"/>
      <c r="CO4" s="242"/>
      <c r="CP4" s="242"/>
      <c r="CQ4" s="242"/>
      <c r="CR4" s="242"/>
      <c r="CS4" s="242"/>
      <c r="CT4" s="242"/>
      <c r="CU4" s="242"/>
      <c r="CV4" s="242"/>
      <c r="CW4" s="242"/>
      <c r="CX4" s="242"/>
      <c r="CY4" s="242"/>
      <c r="CZ4" s="242"/>
      <c r="DA4" s="242"/>
      <c r="DB4" s="242"/>
      <c r="DC4" s="242"/>
      <c r="DD4" s="242"/>
      <c r="DE4" s="242"/>
      <c r="DF4" s="242"/>
      <c r="DG4" s="242"/>
      <c r="DH4" s="242"/>
      <c r="DI4" s="242"/>
      <c r="DJ4" s="242"/>
      <c r="DK4" s="242"/>
      <c r="DL4" s="242"/>
      <c r="DM4" s="242"/>
      <c r="DN4" s="242"/>
      <c r="DO4" s="242"/>
      <c r="DP4" s="242"/>
      <c r="DQ4" s="242"/>
      <c r="DR4" s="242"/>
      <c r="DS4" s="242"/>
      <c r="DT4" s="242"/>
      <c r="DU4" s="242"/>
      <c r="DV4" s="242"/>
      <c r="DW4" s="242"/>
      <c r="DX4" s="242"/>
      <c r="DY4" s="242"/>
      <c r="DZ4" s="242"/>
      <c r="EA4" s="242"/>
      <c r="EB4" s="242"/>
      <c r="EC4" s="242"/>
      <c r="ED4" s="242"/>
      <c r="EE4" s="242"/>
      <c r="EF4" s="242"/>
      <c r="EG4" s="242"/>
      <c r="EH4" s="242"/>
      <c r="EI4" s="242"/>
      <c r="EJ4" s="242"/>
      <c r="EK4" s="242"/>
      <c r="EL4" s="242"/>
      <c r="EM4" s="242"/>
      <c r="EN4" s="242"/>
      <c r="EO4" s="242"/>
      <c r="EP4" s="242"/>
      <c r="EQ4" s="242"/>
      <c r="ER4" s="242"/>
      <c r="ES4" s="242"/>
      <c r="ET4" s="242"/>
      <c r="EU4" s="242"/>
      <c r="EV4" s="242"/>
      <c r="EW4" s="242"/>
      <c r="EX4" s="242"/>
      <c r="EY4" s="242"/>
      <c r="EZ4" s="242"/>
      <c r="FA4" s="242"/>
      <c r="FB4" s="242"/>
      <c r="FC4" s="242"/>
      <c r="FD4" s="242"/>
      <c r="FE4" s="242"/>
      <c r="FF4" s="242"/>
      <c r="FG4" s="242"/>
      <c r="FH4" s="242"/>
      <c r="FI4" s="242"/>
      <c r="FJ4" s="242"/>
      <c r="FK4" s="242"/>
      <c r="FL4" s="242"/>
      <c r="FM4" s="242"/>
      <c r="FN4" s="242"/>
      <c r="FO4" s="242"/>
      <c r="FP4" s="242"/>
      <c r="FQ4" s="242"/>
      <c r="FR4" s="242"/>
      <c r="FS4" s="242"/>
      <c r="FT4" s="242"/>
      <c r="FU4" s="242"/>
      <c r="FV4" s="242"/>
      <c r="FW4" s="242"/>
      <c r="FX4" s="242"/>
      <c r="FY4" s="242"/>
      <c r="FZ4" s="242"/>
      <c r="GA4" s="242"/>
      <c r="GB4" s="242"/>
      <c r="GC4" s="242"/>
      <c r="GD4" s="242"/>
      <c r="GE4" s="243"/>
      <c r="GF4" s="243"/>
      <c r="GG4" s="243"/>
      <c r="GH4" s="243"/>
      <c r="GI4" s="243"/>
      <c r="GJ4" s="243"/>
      <c r="GK4" s="243"/>
      <c r="GL4" s="243"/>
      <c r="GM4" s="243"/>
      <c r="GN4" s="243"/>
      <c r="GO4" s="243"/>
      <c r="GP4" s="243"/>
      <c r="GQ4" s="243"/>
      <c r="GR4" s="243"/>
      <c r="GS4" s="243"/>
      <c r="GT4" s="243"/>
      <c r="GU4" s="243"/>
      <c r="GV4" s="243"/>
      <c r="GW4" s="243"/>
      <c r="GX4" s="243"/>
      <c r="GY4" s="243"/>
      <c r="GZ4" s="243"/>
      <c r="HA4" s="243"/>
      <c r="HB4" s="243"/>
      <c r="HC4" s="243"/>
      <c r="HD4" s="243"/>
    </row>
    <row r="5" s="224" customFormat="1" ht="20.85" customHeight="1" spans="1:212">
      <c r="A5" s="228" t="s">
        <v>296</v>
      </c>
      <c r="B5" s="229"/>
      <c r="C5" s="230"/>
      <c r="D5" s="229"/>
      <c r="E5" s="230"/>
      <c r="F5" s="229"/>
      <c r="G5" s="230"/>
      <c r="H5" s="229"/>
      <c r="I5" s="230"/>
      <c r="J5" s="229"/>
      <c r="K5" s="230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42"/>
      <c r="BR5" s="242"/>
      <c r="BS5" s="242"/>
      <c r="BT5" s="242"/>
      <c r="BU5" s="242"/>
      <c r="BV5" s="242"/>
      <c r="BW5" s="242"/>
      <c r="BX5" s="242"/>
      <c r="BY5" s="242"/>
      <c r="BZ5" s="242"/>
      <c r="CA5" s="242"/>
      <c r="CB5" s="242"/>
      <c r="CC5" s="242"/>
      <c r="CD5" s="242"/>
      <c r="CE5" s="242"/>
      <c r="CF5" s="242"/>
      <c r="CG5" s="242"/>
      <c r="CH5" s="242"/>
      <c r="CI5" s="242"/>
      <c r="CJ5" s="242"/>
      <c r="CK5" s="242"/>
      <c r="CL5" s="242"/>
      <c r="CM5" s="242"/>
      <c r="CN5" s="242"/>
      <c r="CO5" s="242"/>
      <c r="CP5" s="242"/>
      <c r="CQ5" s="242"/>
      <c r="CR5" s="242"/>
      <c r="CS5" s="242"/>
      <c r="CT5" s="242"/>
      <c r="CU5" s="242"/>
      <c r="CV5" s="242"/>
      <c r="CW5" s="242"/>
      <c r="CX5" s="242"/>
      <c r="CY5" s="242"/>
      <c r="CZ5" s="242"/>
      <c r="DA5" s="242"/>
      <c r="DB5" s="242"/>
      <c r="DC5" s="242"/>
      <c r="DD5" s="242"/>
      <c r="DE5" s="242"/>
      <c r="DF5" s="242"/>
      <c r="DG5" s="242"/>
      <c r="DH5" s="242"/>
      <c r="DI5" s="242"/>
      <c r="DJ5" s="242"/>
      <c r="DK5" s="242"/>
      <c r="DL5" s="242"/>
      <c r="DM5" s="242"/>
      <c r="DN5" s="242"/>
      <c r="DO5" s="242"/>
      <c r="DP5" s="242"/>
      <c r="DQ5" s="242"/>
      <c r="DR5" s="242"/>
      <c r="DS5" s="242"/>
      <c r="DT5" s="242"/>
      <c r="DU5" s="242"/>
      <c r="DV5" s="242"/>
      <c r="DW5" s="242"/>
      <c r="DX5" s="242"/>
      <c r="DY5" s="242"/>
      <c r="DZ5" s="242"/>
      <c r="EA5" s="242"/>
      <c r="EB5" s="242"/>
      <c r="EC5" s="242"/>
      <c r="ED5" s="242"/>
      <c r="EE5" s="242"/>
      <c r="EF5" s="242"/>
      <c r="EG5" s="242"/>
      <c r="EH5" s="242"/>
      <c r="EI5" s="242"/>
      <c r="EJ5" s="242"/>
      <c r="EK5" s="242"/>
      <c r="EL5" s="242"/>
      <c r="EM5" s="242"/>
      <c r="EN5" s="242"/>
      <c r="EO5" s="242"/>
      <c r="EP5" s="242"/>
      <c r="EQ5" s="242"/>
      <c r="ER5" s="242"/>
      <c r="ES5" s="242"/>
      <c r="ET5" s="242"/>
      <c r="EU5" s="242"/>
      <c r="EV5" s="242"/>
      <c r="EW5" s="242"/>
      <c r="EX5" s="242"/>
      <c r="EY5" s="242"/>
      <c r="EZ5" s="242"/>
      <c r="FA5" s="242"/>
      <c r="FB5" s="242"/>
      <c r="FC5" s="242"/>
      <c r="FD5" s="242"/>
      <c r="FE5" s="242"/>
      <c r="FF5" s="242"/>
      <c r="FG5" s="242"/>
      <c r="FH5" s="242"/>
      <c r="FI5" s="242"/>
      <c r="FJ5" s="242"/>
      <c r="FK5" s="242"/>
      <c r="FL5" s="242"/>
      <c r="FM5" s="242"/>
      <c r="FN5" s="242"/>
      <c r="FO5" s="242"/>
      <c r="FP5" s="242"/>
      <c r="FQ5" s="242"/>
      <c r="FR5" s="242"/>
      <c r="FS5" s="242"/>
      <c r="FT5" s="242"/>
      <c r="FU5" s="242"/>
      <c r="FV5" s="242"/>
      <c r="FW5" s="242"/>
      <c r="FX5" s="242"/>
      <c r="FY5" s="242"/>
      <c r="FZ5" s="242"/>
      <c r="GA5" s="242"/>
      <c r="GB5" s="242"/>
      <c r="GC5" s="242"/>
      <c r="GD5" s="242"/>
      <c r="GE5" s="243"/>
      <c r="GF5" s="243"/>
      <c r="GG5" s="243"/>
      <c r="GH5" s="243"/>
      <c r="GI5" s="243"/>
      <c r="GJ5" s="243"/>
      <c r="GK5" s="243"/>
      <c r="GL5" s="243"/>
      <c r="GM5" s="243"/>
      <c r="GN5" s="243"/>
      <c r="GO5" s="243"/>
      <c r="GP5" s="243"/>
      <c r="GQ5" s="243"/>
      <c r="GR5" s="243"/>
      <c r="GS5" s="243"/>
      <c r="GT5" s="243"/>
      <c r="GU5" s="243"/>
      <c r="GV5" s="243"/>
      <c r="GW5" s="243"/>
      <c r="GX5" s="243"/>
      <c r="GY5" s="243"/>
      <c r="GZ5" s="243"/>
      <c r="HA5" s="243"/>
      <c r="HB5" s="243"/>
      <c r="HC5" s="243"/>
      <c r="HD5" s="243"/>
    </row>
    <row r="6" ht="21" customHeight="1" spans="1:11">
      <c r="A6" s="231" t="s">
        <v>297</v>
      </c>
      <c r="B6" s="232">
        <v>1477.27833</v>
      </c>
      <c r="C6" s="233">
        <v>2.48</v>
      </c>
      <c r="D6" s="232">
        <v>250.11883</v>
      </c>
      <c r="E6" s="233">
        <v>0.85</v>
      </c>
      <c r="F6" s="232">
        <v>372.50217</v>
      </c>
      <c r="G6" s="233">
        <v>3.06</v>
      </c>
      <c r="H6" s="232">
        <v>494.56651</v>
      </c>
      <c r="I6" s="233">
        <v>5.16</v>
      </c>
      <c r="J6" s="232">
        <v>613.43</v>
      </c>
      <c r="K6" s="233">
        <v>6.3</v>
      </c>
    </row>
    <row r="7" ht="21" customHeight="1" spans="1:11">
      <c r="A7" s="231" t="s">
        <v>298</v>
      </c>
      <c r="B7" s="232">
        <v>349.35287</v>
      </c>
      <c r="C7" s="233">
        <v>1.86</v>
      </c>
      <c r="D7" s="232">
        <v>60.02067</v>
      </c>
      <c r="E7" s="233">
        <v>2.66</v>
      </c>
      <c r="F7" s="232">
        <v>89.23223</v>
      </c>
      <c r="G7" s="233">
        <v>4.95</v>
      </c>
      <c r="H7" s="232">
        <v>118.25539</v>
      </c>
      <c r="I7" s="233">
        <v>7.09</v>
      </c>
      <c r="J7" s="232">
        <v>146.54</v>
      </c>
      <c r="K7" s="233">
        <v>8</v>
      </c>
    </row>
    <row r="8" ht="21" customHeight="1" spans="1:11">
      <c r="A8" s="228" t="s">
        <v>299</v>
      </c>
      <c r="B8" s="234"/>
      <c r="C8" s="235"/>
      <c r="D8" s="234"/>
      <c r="E8" s="235"/>
      <c r="F8" s="234"/>
      <c r="G8" s="235"/>
      <c r="H8" s="234"/>
      <c r="I8" s="235"/>
      <c r="J8" s="234"/>
      <c r="K8" s="235"/>
    </row>
    <row r="9" ht="21" customHeight="1" spans="1:11">
      <c r="A9" s="231" t="s">
        <v>300</v>
      </c>
      <c r="B9" s="232">
        <v>1611.38331</v>
      </c>
      <c r="C9" s="233">
        <v>2.66</v>
      </c>
      <c r="D9" s="232">
        <v>273.04973</v>
      </c>
      <c r="E9" s="233">
        <v>1.2</v>
      </c>
      <c r="F9" s="232">
        <v>406.55565</v>
      </c>
      <c r="G9" s="233">
        <v>3.34</v>
      </c>
      <c r="H9" s="232">
        <v>539.59963</v>
      </c>
      <c r="I9" s="233">
        <v>5.4</v>
      </c>
      <c r="J9" s="232">
        <v>669.07</v>
      </c>
      <c r="K9" s="233">
        <v>6.4</v>
      </c>
    </row>
    <row r="10" ht="21" customHeight="1" spans="1:11">
      <c r="A10" s="231" t="s">
        <v>301</v>
      </c>
      <c r="B10" s="232">
        <v>215.24789</v>
      </c>
      <c r="C10" s="233">
        <v>0.22</v>
      </c>
      <c r="D10" s="232">
        <v>37.08977</v>
      </c>
      <c r="E10" s="233">
        <v>1.19</v>
      </c>
      <c r="F10" s="232">
        <v>55.17875</v>
      </c>
      <c r="G10" s="233">
        <v>3.97</v>
      </c>
      <c r="H10" s="232">
        <v>73.22227</v>
      </c>
      <c r="I10" s="233">
        <v>6.51</v>
      </c>
      <c r="J10" s="232">
        <v>90.9</v>
      </c>
      <c r="K10" s="233">
        <v>8</v>
      </c>
    </row>
    <row r="11" s="224" customFormat="1" ht="21" customHeight="1" spans="1:212">
      <c r="A11" s="228" t="s">
        <v>302</v>
      </c>
      <c r="B11" s="229"/>
      <c r="C11" s="236"/>
      <c r="D11" s="229"/>
      <c r="E11" s="236"/>
      <c r="F11" s="229"/>
      <c r="G11" s="236"/>
      <c r="H11" s="229"/>
      <c r="I11" s="236"/>
      <c r="J11" s="229"/>
      <c r="K11" s="236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242"/>
      <c r="BS11" s="242"/>
      <c r="BT11" s="242"/>
      <c r="BU11" s="242"/>
      <c r="BV11" s="242"/>
      <c r="BW11" s="242"/>
      <c r="BX11" s="242"/>
      <c r="BY11" s="242"/>
      <c r="BZ11" s="242"/>
      <c r="CA11" s="242"/>
      <c r="CB11" s="242"/>
      <c r="CC11" s="242"/>
      <c r="CD11" s="242"/>
      <c r="CE11" s="242"/>
      <c r="CF11" s="242"/>
      <c r="CG11" s="242"/>
      <c r="CH11" s="242"/>
      <c r="CI11" s="242"/>
      <c r="CJ11" s="242"/>
      <c r="CK11" s="242"/>
      <c r="CL11" s="242"/>
      <c r="CM11" s="242"/>
      <c r="CN11" s="242"/>
      <c r="CO11" s="242"/>
      <c r="CP11" s="242"/>
      <c r="CQ11" s="242"/>
      <c r="CR11" s="242"/>
      <c r="CS11" s="242"/>
      <c r="CT11" s="242"/>
      <c r="CU11" s="242"/>
      <c r="CV11" s="242"/>
      <c r="CW11" s="242"/>
      <c r="CX11" s="242"/>
      <c r="CY11" s="242"/>
      <c r="CZ11" s="242"/>
      <c r="DA11" s="242"/>
      <c r="DB11" s="242"/>
      <c r="DC11" s="242"/>
      <c r="DD11" s="242"/>
      <c r="DE11" s="242"/>
      <c r="DF11" s="242"/>
      <c r="DG11" s="242"/>
      <c r="DH11" s="242"/>
      <c r="DI11" s="242"/>
      <c r="DJ11" s="242"/>
      <c r="DK11" s="242"/>
      <c r="DL11" s="242"/>
      <c r="DM11" s="242"/>
      <c r="DN11" s="242"/>
      <c r="DO11" s="242"/>
      <c r="DP11" s="242"/>
      <c r="DQ11" s="242"/>
      <c r="DR11" s="242"/>
      <c r="DS11" s="242"/>
      <c r="DT11" s="242"/>
      <c r="DU11" s="242"/>
      <c r="DV11" s="242"/>
      <c r="DW11" s="242"/>
      <c r="DX11" s="242"/>
      <c r="DY11" s="242"/>
      <c r="DZ11" s="242"/>
      <c r="EA11" s="242"/>
      <c r="EB11" s="242"/>
      <c r="EC11" s="242"/>
      <c r="ED11" s="242"/>
      <c r="EE11" s="242"/>
      <c r="EF11" s="242"/>
      <c r="EG11" s="242"/>
      <c r="EH11" s="242"/>
      <c r="EI11" s="242"/>
      <c r="EJ11" s="242"/>
      <c r="EK11" s="242"/>
      <c r="EL11" s="242"/>
      <c r="EM11" s="242"/>
      <c r="EN11" s="242"/>
      <c r="EO11" s="242"/>
      <c r="EP11" s="242"/>
      <c r="EQ11" s="242"/>
      <c r="ER11" s="242"/>
      <c r="ES11" s="242"/>
      <c r="ET11" s="242"/>
      <c r="EU11" s="242"/>
      <c r="EV11" s="242"/>
      <c r="EW11" s="242"/>
      <c r="EX11" s="242"/>
      <c r="EY11" s="242"/>
      <c r="EZ11" s="242"/>
      <c r="FA11" s="242"/>
      <c r="FB11" s="242"/>
      <c r="FC11" s="242"/>
      <c r="FD11" s="242"/>
      <c r="FE11" s="242"/>
      <c r="FF11" s="242"/>
      <c r="FG11" s="242"/>
      <c r="FH11" s="242"/>
      <c r="FI11" s="242"/>
      <c r="FJ11" s="242"/>
      <c r="FK11" s="242"/>
      <c r="FL11" s="242"/>
      <c r="FM11" s="242"/>
      <c r="FN11" s="242"/>
      <c r="FO11" s="242"/>
      <c r="FP11" s="242"/>
      <c r="FQ11" s="242"/>
      <c r="FR11" s="242"/>
      <c r="FS11" s="242"/>
      <c r="FT11" s="242"/>
      <c r="FU11" s="242"/>
      <c r="FV11" s="242"/>
      <c r="FW11" s="242"/>
      <c r="FX11" s="242"/>
      <c r="FY11" s="242"/>
      <c r="FZ11" s="242"/>
      <c r="GA11" s="242"/>
      <c r="GB11" s="242"/>
      <c r="GC11" s="242"/>
      <c r="GD11" s="242"/>
      <c r="GE11" s="243"/>
      <c r="GF11" s="243"/>
      <c r="GG11" s="243"/>
      <c r="GH11" s="243"/>
      <c r="GI11" s="243"/>
      <c r="GJ11" s="243"/>
      <c r="GK11" s="243"/>
      <c r="GL11" s="243"/>
      <c r="GM11" s="243"/>
      <c r="GN11" s="243"/>
      <c r="GO11" s="243"/>
      <c r="GP11" s="243"/>
      <c r="GQ11" s="243"/>
      <c r="GR11" s="243"/>
      <c r="GS11" s="243"/>
      <c r="GT11" s="243"/>
      <c r="GU11" s="243"/>
      <c r="GV11" s="243"/>
      <c r="GW11" s="243"/>
      <c r="GX11" s="243"/>
      <c r="GY11" s="243"/>
      <c r="GZ11" s="243"/>
      <c r="HA11" s="243"/>
      <c r="HB11" s="243"/>
      <c r="HC11" s="243"/>
      <c r="HD11" s="243"/>
    </row>
    <row r="12" ht="21" customHeight="1" spans="1:11">
      <c r="A12" s="231" t="s">
        <v>303</v>
      </c>
      <c r="B12" s="232">
        <v>40.88955</v>
      </c>
      <c r="C12" s="233">
        <v>17.163310087617</v>
      </c>
      <c r="D12" s="232">
        <v>7.28666</v>
      </c>
      <c r="E12" s="233">
        <v>7.56202043581848</v>
      </c>
      <c r="F12" s="232">
        <v>10.38774</v>
      </c>
      <c r="G12" s="233">
        <v>7.46590137884229</v>
      </c>
      <c r="H12" s="232">
        <v>13.31757</v>
      </c>
      <c r="I12" s="233">
        <v>7.18271307054827</v>
      </c>
      <c r="J12" s="232">
        <v>16.43</v>
      </c>
      <c r="K12" s="233">
        <v>4.6</v>
      </c>
    </row>
    <row r="13" ht="21" customHeight="1" spans="1:11">
      <c r="A13" s="231" t="s">
        <v>304</v>
      </c>
      <c r="B13" s="232">
        <v>2.00845</v>
      </c>
      <c r="C13" s="233">
        <v>-12.4831694212895</v>
      </c>
      <c r="D13" s="232">
        <v>0.58245</v>
      </c>
      <c r="E13" s="233">
        <v>67.4043629465697</v>
      </c>
      <c r="F13" s="232">
        <v>0.75486</v>
      </c>
      <c r="G13" s="233">
        <v>46.5007957147848</v>
      </c>
      <c r="H13" s="232">
        <v>0.69224</v>
      </c>
      <c r="I13" s="233">
        <v>35.568524538796</v>
      </c>
      <c r="J13" s="232">
        <v>0.87</v>
      </c>
      <c r="K13" s="233">
        <v>29.6</v>
      </c>
    </row>
    <row r="14" ht="21" customHeight="1" spans="1:11">
      <c r="A14" s="231" t="s">
        <v>305</v>
      </c>
      <c r="B14" s="232">
        <v>5.87384</v>
      </c>
      <c r="C14" s="233">
        <v>12.3105162523901</v>
      </c>
      <c r="D14" s="232">
        <v>2.16588</v>
      </c>
      <c r="E14" s="233">
        <v>61.2105603977641</v>
      </c>
      <c r="F14" s="232">
        <v>2.55439</v>
      </c>
      <c r="G14" s="233">
        <v>51.797641969146</v>
      </c>
      <c r="H14" s="232">
        <v>2.27264</v>
      </c>
      <c r="I14" s="233">
        <v>45.0109110399306</v>
      </c>
      <c r="J14" s="232">
        <v>2.73</v>
      </c>
      <c r="K14" s="233">
        <v>38.9</v>
      </c>
    </row>
    <row r="15" ht="21" customHeight="1" spans="1:11">
      <c r="A15" s="231" t="s">
        <v>306</v>
      </c>
      <c r="B15" s="234">
        <v>1.85587</v>
      </c>
      <c r="C15" s="233">
        <v>-26.7161314779422</v>
      </c>
      <c r="D15" s="234">
        <v>0.34772</v>
      </c>
      <c r="E15" s="233">
        <v>-33.0457888858936</v>
      </c>
      <c r="F15" s="234">
        <v>0.45841</v>
      </c>
      <c r="G15" s="233">
        <v>-31.5560797897754</v>
      </c>
      <c r="H15" s="234">
        <v>0.56836</v>
      </c>
      <c r="I15" s="233">
        <v>-31.1954482174202</v>
      </c>
      <c r="J15" s="234">
        <v>0.69</v>
      </c>
      <c r="K15" s="233">
        <v>-29.7</v>
      </c>
    </row>
    <row r="16" ht="21" customHeight="1" spans="1:11">
      <c r="A16" s="231" t="s">
        <v>307</v>
      </c>
      <c r="B16" s="234">
        <v>0.96722</v>
      </c>
      <c r="C16" s="233">
        <v>-8.16805126987894</v>
      </c>
      <c r="D16" s="234">
        <v>0.16542</v>
      </c>
      <c r="E16" s="233">
        <v>-13.7988535695675</v>
      </c>
      <c r="F16" s="234">
        <v>0.2392</v>
      </c>
      <c r="G16" s="233">
        <v>-12.9390354868062</v>
      </c>
      <c r="H16" s="234">
        <v>0.29807</v>
      </c>
      <c r="I16" s="233">
        <v>-14.8638999171689</v>
      </c>
      <c r="J16" s="234">
        <v>0.36</v>
      </c>
      <c r="K16" s="233">
        <v>-16</v>
      </c>
    </row>
    <row r="17" ht="21" customHeight="1" spans="1:11">
      <c r="A17" s="231" t="s">
        <v>308</v>
      </c>
      <c r="B17" s="234">
        <v>2.54219</v>
      </c>
      <c r="C17" s="233">
        <v>-3.96320501681085</v>
      </c>
      <c r="D17" s="234">
        <v>0.46839</v>
      </c>
      <c r="E17" s="233">
        <v>-14.1356553620532</v>
      </c>
      <c r="F17" s="234">
        <v>0.59952</v>
      </c>
      <c r="G17" s="233">
        <v>-14.1507002319787</v>
      </c>
      <c r="H17" s="234">
        <v>0.69392</v>
      </c>
      <c r="I17" s="233">
        <v>-22.6761159769116</v>
      </c>
      <c r="J17" s="234">
        <v>0.8</v>
      </c>
      <c r="K17" s="233">
        <v>-22.9</v>
      </c>
    </row>
    <row r="18" ht="21" customHeight="1" spans="1:11">
      <c r="A18" s="231" t="s">
        <v>309</v>
      </c>
      <c r="B18" s="234">
        <v>5.98166</v>
      </c>
      <c r="C18" s="233">
        <v>-11.8151167093463</v>
      </c>
      <c r="D18" s="234">
        <v>1.06838</v>
      </c>
      <c r="E18" s="233">
        <v>-0.462108931000444</v>
      </c>
      <c r="F18" s="234">
        <v>1.57577</v>
      </c>
      <c r="G18" s="233">
        <v>0.0851101668540366</v>
      </c>
      <c r="H18" s="234">
        <v>1.95915</v>
      </c>
      <c r="I18" s="233">
        <v>0.352410271120277</v>
      </c>
      <c r="J18" s="234">
        <v>2.45</v>
      </c>
      <c r="K18" s="233">
        <v>-1.8</v>
      </c>
    </row>
    <row r="19" ht="21" customHeight="1" spans="1:11">
      <c r="A19" s="231" t="s">
        <v>310</v>
      </c>
      <c r="B19" s="234">
        <v>0.05413</v>
      </c>
      <c r="C19" s="233">
        <v>-38.6767871303954</v>
      </c>
      <c r="D19" s="234">
        <v>0.00751</v>
      </c>
      <c r="E19" s="233">
        <v>-47.7383437717467</v>
      </c>
      <c r="F19" s="234">
        <v>0.01072</v>
      </c>
      <c r="G19" s="233">
        <v>-42.2413793103448</v>
      </c>
      <c r="H19" s="234">
        <v>0.01407</v>
      </c>
      <c r="I19" s="233">
        <v>-38.9587852494577</v>
      </c>
      <c r="J19" s="234">
        <v>0.02</v>
      </c>
      <c r="K19" s="233">
        <v>-36.8</v>
      </c>
    </row>
    <row r="20" ht="21" customHeight="1" spans="1:11">
      <c r="A20" s="231" t="s">
        <v>311</v>
      </c>
      <c r="B20" s="234">
        <v>0.07574</v>
      </c>
      <c r="C20" s="233">
        <v>-16.5675258867592</v>
      </c>
      <c r="D20" s="234">
        <v>0.01827</v>
      </c>
      <c r="E20" s="233">
        <v>-18.5102586975914</v>
      </c>
      <c r="F20" s="234">
        <v>0.02344</v>
      </c>
      <c r="G20" s="233">
        <v>-15.3790613718411</v>
      </c>
      <c r="H20" s="234">
        <v>0.02679</v>
      </c>
      <c r="I20" s="233">
        <v>-30.7930767243606</v>
      </c>
      <c r="J20" s="234">
        <v>0.03</v>
      </c>
      <c r="K20" s="233">
        <v>-29</v>
      </c>
    </row>
    <row r="21" ht="21" customHeight="1" spans="1:11">
      <c r="A21" s="231" t="s">
        <v>312</v>
      </c>
      <c r="B21" s="234">
        <v>2.64606</v>
      </c>
      <c r="C21" s="233">
        <v>19.324115912227</v>
      </c>
      <c r="D21" s="234">
        <v>0.17978</v>
      </c>
      <c r="E21" s="233">
        <v>-22.7417275461968</v>
      </c>
      <c r="F21" s="234">
        <v>0.5474</v>
      </c>
      <c r="G21" s="233">
        <v>4.68941248470011</v>
      </c>
      <c r="H21" s="234">
        <v>0.96789</v>
      </c>
      <c r="I21" s="233">
        <v>14.7741017431519</v>
      </c>
      <c r="J21" s="234">
        <v>1.22</v>
      </c>
      <c r="K21" s="233">
        <v>12.3</v>
      </c>
    </row>
    <row r="22" ht="21" customHeight="1" spans="1:11">
      <c r="A22" s="237" t="s">
        <v>313</v>
      </c>
      <c r="B22" s="234">
        <v>9.34613</v>
      </c>
      <c r="C22" s="238">
        <v>-28.6268924569006</v>
      </c>
      <c r="D22" s="234">
        <v>0.67798</v>
      </c>
      <c r="E22" s="238">
        <v>-53.8487719871481</v>
      </c>
      <c r="F22" s="234">
        <v>1.07278</v>
      </c>
      <c r="G22" s="238">
        <v>-57.5870671352946</v>
      </c>
      <c r="H22" s="234">
        <v>1.43443</v>
      </c>
      <c r="I22" s="238">
        <v>-58.5379319115972</v>
      </c>
      <c r="J22" s="234">
        <v>1.9</v>
      </c>
      <c r="K22" s="238">
        <v>-57.4</v>
      </c>
    </row>
    <row r="23" ht="21" customHeight="1" spans="1:11">
      <c r="A23" s="237" t="s">
        <v>314</v>
      </c>
      <c r="B23" s="234">
        <v>17.16563</v>
      </c>
      <c r="C23" s="238">
        <v>16.8239347906128</v>
      </c>
      <c r="D23" s="234">
        <v>2.75302</v>
      </c>
      <c r="E23" s="238">
        <v>15.4160902192596</v>
      </c>
      <c r="F23" s="234">
        <v>4.26525</v>
      </c>
      <c r="G23" s="238">
        <v>13.1108023103483</v>
      </c>
      <c r="H23" s="234">
        <v>5.63836</v>
      </c>
      <c r="I23" s="238">
        <v>9.85665771061497</v>
      </c>
      <c r="J23" s="234">
        <v>7.11</v>
      </c>
      <c r="K23" s="238">
        <v>4.2</v>
      </c>
    </row>
    <row r="24" ht="21" customHeight="1" spans="1:11">
      <c r="A24" s="237" t="s">
        <v>315</v>
      </c>
      <c r="B24" s="234">
        <v>0.53336</v>
      </c>
      <c r="C24" s="238">
        <v>-32.8219661187732</v>
      </c>
      <c r="D24" s="234">
        <v>0.04742</v>
      </c>
      <c r="E24" s="238">
        <v>-29.213315420212</v>
      </c>
      <c r="F24" s="234">
        <v>0.08196</v>
      </c>
      <c r="G24" s="238">
        <v>-31.3280268118978</v>
      </c>
      <c r="H24" s="234">
        <v>0.10286</v>
      </c>
      <c r="I24" s="238">
        <v>-30.8225166453696</v>
      </c>
      <c r="J24" s="234">
        <v>0.16</v>
      </c>
      <c r="K24" s="238">
        <v>-17.2</v>
      </c>
    </row>
    <row r="25" ht="21" customHeight="1" spans="1:11">
      <c r="A25" s="237" t="s">
        <v>316</v>
      </c>
      <c r="B25" s="234">
        <v>0.17914</v>
      </c>
      <c r="C25" s="238">
        <v>-53.3270804022719</v>
      </c>
      <c r="D25" s="234">
        <v>0.02377</v>
      </c>
      <c r="E25" s="238">
        <v>-25.6025039123631</v>
      </c>
      <c r="F25" s="234">
        <v>0.0318</v>
      </c>
      <c r="G25" s="238">
        <v>-29.0020093770931</v>
      </c>
      <c r="H25" s="234">
        <v>0.04157</v>
      </c>
      <c r="I25" s="238">
        <v>-22.7754040497864</v>
      </c>
      <c r="J25" s="234">
        <v>0.05</v>
      </c>
      <c r="K25" s="238">
        <v>-18</v>
      </c>
    </row>
    <row r="26" ht="21" customHeight="1" spans="1:11">
      <c r="A26" s="237" t="s">
        <v>317</v>
      </c>
      <c r="B26" s="234">
        <v>3.16279</v>
      </c>
      <c r="C26" s="238">
        <v>10.3108999846538</v>
      </c>
      <c r="D26" s="234">
        <v>0.76458</v>
      </c>
      <c r="E26" s="238">
        <v>21.2387415958392</v>
      </c>
      <c r="F26" s="234">
        <v>1.09563</v>
      </c>
      <c r="G26" s="238">
        <v>33.1846251094039</v>
      </c>
      <c r="H26" s="234">
        <v>1.45286</v>
      </c>
      <c r="I26" s="238">
        <v>17.3137172571946</v>
      </c>
      <c r="J26" s="234">
        <v>1.66</v>
      </c>
      <c r="K26" s="238">
        <v>11.8</v>
      </c>
    </row>
    <row r="27" ht="21" customHeight="1" spans="1:11">
      <c r="A27" s="237" t="s">
        <v>318</v>
      </c>
      <c r="B27" s="234">
        <v>75.5765</v>
      </c>
      <c r="C27" s="238">
        <v>27.2230770927086</v>
      </c>
      <c r="D27" s="234">
        <v>15.84224</v>
      </c>
      <c r="E27" s="238">
        <v>14.9176721145706</v>
      </c>
      <c r="F27" s="234">
        <v>22.68175</v>
      </c>
      <c r="G27" s="238">
        <v>12.4399672422408</v>
      </c>
      <c r="H27" s="234">
        <v>30.05508</v>
      </c>
      <c r="I27" s="238">
        <v>12.1166621964362</v>
      </c>
      <c r="J27" s="234">
        <v>37.04</v>
      </c>
      <c r="K27" s="238">
        <v>12.5</v>
      </c>
    </row>
    <row r="28" ht="21" customHeight="1" spans="1:11">
      <c r="A28" s="237" t="s">
        <v>319</v>
      </c>
      <c r="B28" s="234">
        <v>0.09659</v>
      </c>
      <c r="C28" s="238">
        <v>-6.20508836667315</v>
      </c>
      <c r="D28" s="234">
        <v>0.00411</v>
      </c>
      <c r="E28" s="238">
        <v>-61.5168539325843</v>
      </c>
      <c r="F28" s="234">
        <v>0.00603</v>
      </c>
      <c r="G28" s="238">
        <v>-77.2452830188679</v>
      </c>
      <c r="H28" s="234">
        <v>0.01898</v>
      </c>
      <c r="I28" s="238">
        <v>-46.6104078762307</v>
      </c>
      <c r="J28" s="234">
        <v>0.03</v>
      </c>
      <c r="K28" s="238">
        <v>-24.7</v>
      </c>
    </row>
    <row r="29" ht="21" customHeight="1" spans="1:11">
      <c r="A29" s="237" t="s">
        <v>320</v>
      </c>
      <c r="B29" s="234">
        <v>0.63173</v>
      </c>
      <c r="C29" s="238">
        <v>-51.3080006166179</v>
      </c>
      <c r="D29" s="234">
        <v>0.11352</v>
      </c>
      <c r="E29" s="238">
        <v>-67.2201207011059</v>
      </c>
      <c r="F29" s="234">
        <v>0.16192</v>
      </c>
      <c r="G29" s="238">
        <v>-64.0903949790424</v>
      </c>
      <c r="H29" s="234">
        <v>0.21481</v>
      </c>
      <c r="I29" s="238">
        <v>-62.3153573558822</v>
      </c>
      <c r="J29" s="234">
        <v>0.26</v>
      </c>
      <c r="K29" s="238">
        <v>-60.2</v>
      </c>
    </row>
    <row r="30" ht="21" customHeight="1" spans="1:11">
      <c r="A30" s="239" t="s">
        <v>321</v>
      </c>
      <c r="B30" s="240">
        <v>80.77434</v>
      </c>
      <c r="C30" s="241">
        <v>2.17493022258569</v>
      </c>
      <c r="D30" s="240">
        <v>9.42217</v>
      </c>
      <c r="E30" s="241">
        <v>-32.1606744930322</v>
      </c>
      <c r="F30" s="240">
        <v>16.07159</v>
      </c>
      <c r="G30" s="241">
        <v>-22.9680950749034</v>
      </c>
      <c r="H30" s="240">
        <v>21.70029</v>
      </c>
      <c r="I30" s="241">
        <v>-18.0372642186449</v>
      </c>
      <c r="J30" s="240">
        <v>28.35</v>
      </c>
      <c r="K30" s="241">
        <v>-9.5</v>
      </c>
    </row>
  </sheetData>
  <mergeCells count="7">
    <mergeCell ref="A1:K1"/>
    <mergeCell ref="B2:C2"/>
    <mergeCell ref="D2:E2"/>
    <mergeCell ref="F2:G2"/>
    <mergeCell ref="H2:I2"/>
    <mergeCell ref="J2:K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K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G13" sqref="G13"/>
    </sheetView>
  </sheetViews>
  <sheetFormatPr defaultColWidth="9" defaultRowHeight="14.25"/>
  <cols>
    <col min="1" max="1" width="25.625" style="133" customWidth="1"/>
    <col min="2" max="2" width="10.375" style="133"/>
    <col min="3" max="3" width="9.25" style="133"/>
    <col min="4" max="5" width="10.375" style="133"/>
    <col min="6" max="6" width="9.375" style="133"/>
    <col min="7" max="7" width="9.25" style="133"/>
    <col min="8" max="8" width="10.375" style="133"/>
    <col min="9" max="9" width="9.25" style="133"/>
    <col min="10" max="10" width="10.825" style="133" customWidth="1"/>
    <col min="11" max="11" width="9.25" style="133"/>
    <col min="12" max="180" width="9" style="133"/>
    <col min="181" max="16384" width="9" style="134"/>
  </cols>
  <sheetData>
    <row r="1" ht="28.5" customHeight="1" spans="1:11">
      <c r="A1" s="135" t="s">
        <v>322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ht="21" customHeight="1" spans="1:11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</row>
    <row r="3" ht="21" customHeight="1" spans="1:11">
      <c r="A3" s="139"/>
      <c r="B3" s="140" t="s">
        <v>8</v>
      </c>
      <c r="C3" s="141" t="s">
        <v>9</v>
      </c>
      <c r="D3" s="140" t="s">
        <v>8</v>
      </c>
      <c r="E3" s="141" t="s">
        <v>9</v>
      </c>
      <c r="F3" s="140" t="s">
        <v>8</v>
      </c>
      <c r="G3" s="141" t="s">
        <v>9</v>
      </c>
      <c r="H3" s="140" t="s">
        <v>8</v>
      </c>
      <c r="I3" s="141" t="s">
        <v>9</v>
      </c>
      <c r="J3" s="140" t="s">
        <v>8</v>
      </c>
      <c r="K3" s="141" t="s">
        <v>9</v>
      </c>
    </row>
    <row r="4" ht="24.95" customHeight="1" spans="1:11">
      <c r="A4" s="207" t="s">
        <v>323</v>
      </c>
      <c r="B4" s="222">
        <v>146.8904</v>
      </c>
      <c r="C4" s="200">
        <v>-8.39554507589199</v>
      </c>
      <c r="D4" s="222">
        <v>24.3111</v>
      </c>
      <c r="E4" s="200">
        <v>-22.9559369731388</v>
      </c>
      <c r="F4" s="222">
        <v>44.2832</v>
      </c>
      <c r="G4" s="200">
        <v>5.51859547456108</v>
      </c>
      <c r="H4" s="222">
        <v>54.9303</v>
      </c>
      <c r="I4" s="200">
        <v>4.36157964532835</v>
      </c>
      <c r="J4" s="222">
        <v>65.3357</v>
      </c>
      <c r="K4" s="200">
        <v>6.62805347747184</v>
      </c>
    </row>
    <row r="5" ht="24.95" customHeight="1" spans="1:11">
      <c r="A5" s="153" t="s">
        <v>324</v>
      </c>
      <c r="B5" s="222">
        <v>83.2402</v>
      </c>
      <c r="C5" s="200">
        <v>-14.9550613570581</v>
      </c>
      <c r="D5" s="222">
        <v>17.4445</v>
      </c>
      <c r="E5" s="200">
        <v>-11.0296780247971</v>
      </c>
      <c r="F5" s="222">
        <v>25.0074</v>
      </c>
      <c r="G5" s="200">
        <v>-4.32477102127953</v>
      </c>
      <c r="H5" s="222">
        <v>32.703</v>
      </c>
      <c r="I5" s="200">
        <v>3.53080471196068</v>
      </c>
      <c r="J5" s="222">
        <v>39.4392</v>
      </c>
      <c r="K5" s="200">
        <v>13.78191165567</v>
      </c>
    </row>
    <row r="6" ht="24.95" customHeight="1" spans="1:11">
      <c r="A6" s="148" t="s">
        <v>325</v>
      </c>
      <c r="B6" s="146">
        <v>25.5291</v>
      </c>
      <c r="C6" s="147">
        <v>-23.078475978125</v>
      </c>
      <c r="D6" s="146">
        <v>6.0191</v>
      </c>
      <c r="E6" s="147">
        <v>-13.1931524827298</v>
      </c>
      <c r="F6" s="146">
        <v>9.0771</v>
      </c>
      <c r="G6" s="147">
        <v>-9.03068689743641</v>
      </c>
      <c r="H6" s="146">
        <v>12.0246</v>
      </c>
      <c r="I6" s="147">
        <v>21.6695335424466</v>
      </c>
      <c r="J6" s="146">
        <v>14.0629</v>
      </c>
      <c r="K6" s="147">
        <v>52.1563663117805</v>
      </c>
    </row>
    <row r="7" ht="24.95" customHeight="1" spans="1:11">
      <c r="A7" s="148" t="s">
        <v>326</v>
      </c>
      <c r="B7" s="146">
        <v>8.1764</v>
      </c>
      <c r="C7" s="147">
        <v>-32.3532088459406</v>
      </c>
      <c r="D7" s="146">
        <v>1.3055</v>
      </c>
      <c r="E7" s="147">
        <v>-35.4862621071358</v>
      </c>
      <c r="F7" s="146">
        <v>1.4829</v>
      </c>
      <c r="G7" s="147">
        <v>-29.2138049548904</v>
      </c>
      <c r="H7" s="146">
        <v>2.7061</v>
      </c>
      <c r="I7" s="147">
        <v>-39.5555059191423</v>
      </c>
      <c r="J7" s="146">
        <v>3.6414</v>
      </c>
      <c r="K7" s="147">
        <v>-35.6336061372033</v>
      </c>
    </row>
    <row r="8" ht="24.95" customHeight="1" spans="1:11">
      <c r="A8" s="148" t="s">
        <v>327</v>
      </c>
      <c r="B8" s="146">
        <v>2.5612</v>
      </c>
      <c r="C8" s="147">
        <v>-6.24496668863021</v>
      </c>
      <c r="D8" s="146">
        <v>0.86</v>
      </c>
      <c r="E8" s="147">
        <v>6.47517642689117</v>
      </c>
      <c r="F8" s="146">
        <v>0.855</v>
      </c>
      <c r="G8" s="147">
        <v>7.68261964735517</v>
      </c>
      <c r="H8" s="146">
        <v>0.9456</v>
      </c>
      <c r="I8" s="147">
        <v>3.44601247128322</v>
      </c>
      <c r="J8" s="146">
        <v>1.1597</v>
      </c>
      <c r="K8" s="147">
        <v>7.02288667404947</v>
      </c>
    </row>
    <row r="9" ht="24.95" customHeight="1" spans="1:11">
      <c r="A9" s="148" t="s">
        <v>328</v>
      </c>
      <c r="B9" s="146">
        <v>15.0379</v>
      </c>
      <c r="C9" s="147">
        <v>46.1863747715519</v>
      </c>
      <c r="D9" s="146">
        <v>2.2036</v>
      </c>
      <c r="E9" s="147">
        <v>-40.4705945916741</v>
      </c>
      <c r="F9" s="146">
        <v>3.0329</v>
      </c>
      <c r="G9" s="147">
        <v>-41.971836375464</v>
      </c>
      <c r="H9" s="146">
        <v>4.116</v>
      </c>
      <c r="I9" s="147">
        <v>-34.1524284891534</v>
      </c>
      <c r="J9" s="146">
        <v>5.0443</v>
      </c>
      <c r="K9" s="147">
        <v>-29.9966693496905</v>
      </c>
    </row>
    <row r="10" ht="24.95" customHeight="1" spans="1:11">
      <c r="A10" s="148" t="s">
        <v>329</v>
      </c>
      <c r="B10" s="146">
        <v>4.9274</v>
      </c>
      <c r="C10" s="147">
        <v>8.21126605907544</v>
      </c>
      <c r="D10" s="146">
        <v>1.8579</v>
      </c>
      <c r="E10" s="147">
        <v>48.7271853986552</v>
      </c>
      <c r="F10" s="146">
        <v>2.0086</v>
      </c>
      <c r="G10" s="147">
        <v>34.4444444444445</v>
      </c>
      <c r="H10" s="146">
        <v>2.1693</v>
      </c>
      <c r="I10" s="147">
        <v>30.7516123199325</v>
      </c>
      <c r="J10" s="146">
        <v>2.3335</v>
      </c>
      <c r="K10" s="147">
        <v>28.5179269703145</v>
      </c>
    </row>
    <row r="11" ht="24.95" customHeight="1" spans="1:11">
      <c r="A11" s="148" t="s">
        <v>330</v>
      </c>
      <c r="B11" s="146">
        <v>8.5036</v>
      </c>
      <c r="C11" s="147">
        <v>-3.68885415604861</v>
      </c>
      <c r="D11" s="146">
        <v>0.9222</v>
      </c>
      <c r="E11" s="147">
        <v>-25.2553088020749</v>
      </c>
      <c r="F11" s="146">
        <v>1.905</v>
      </c>
      <c r="G11" s="147">
        <v>16.3785203738775</v>
      </c>
      <c r="H11" s="146">
        <v>2.5265</v>
      </c>
      <c r="I11" s="147">
        <v>17.9339961723382</v>
      </c>
      <c r="J11" s="146">
        <v>3.3179</v>
      </c>
      <c r="K11" s="147">
        <v>31.1734008065154</v>
      </c>
    </row>
    <row r="12" ht="24.95" customHeight="1" spans="1:11">
      <c r="A12" s="148" t="s">
        <v>331</v>
      </c>
      <c r="B12" s="146">
        <v>8.135</v>
      </c>
      <c r="C12" s="147">
        <v>-47.1873275554257</v>
      </c>
      <c r="D12" s="146">
        <v>1.4206</v>
      </c>
      <c r="E12" s="147">
        <v>-5.12255393040807</v>
      </c>
      <c r="F12" s="146">
        <v>2.5757</v>
      </c>
      <c r="G12" s="147">
        <v>16.6372322601096</v>
      </c>
      <c r="H12" s="146">
        <v>3.2603</v>
      </c>
      <c r="I12" s="147">
        <v>12.134135855546</v>
      </c>
      <c r="J12" s="146">
        <v>4.2814</v>
      </c>
      <c r="K12" s="147">
        <v>27.8068002029911</v>
      </c>
    </row>
    <row r="13" ht="24.95" customHeight="1" spans="1:11">
      <c r="A13" s="153" t="s">
        <v>332</v>
      </c>
      <c r="B13" s="222">
        <v>63.6502</v>
      </c>
      <c r="C13" s="200">
        <v>1.88107242897159</v>
      </c>
      <c r="D13" s="222">
        <v>6.8666</v>
      </c>
      <c r="E13" s="200">
        <v>-42.5278505486412</v>
      </c>
      <c r="F13" s="222">
        <v>19.2758</v>
      </c>
      <c r="G13" s="200">
        <v>21.7721455014088</v>
      </c>
      <c r="H13" s="222">
        <v>22.2273</v>
      </c>
      <c r="I13" s="200">
        <v>5.60842689422196</v>
      </c>
      <c r="J13" s="222">
        <v>25.8965</v>
      </c>
      <c r="K13" s="200">
        <v>-2.68973369456981</v>
      </c>
    </row>
    <row r="14" ht="24.95" customHeight="1" spans="1:11">
      <c r="A14" s="153" t="s">
        <v>333</v>
      </c>
      <c r="B14" s="222">
        <v>521.8354</v>
      </c>
      <c r="C14" s="200">
        <v>-3.40374126842387</v>
      </c>
      <c r="D14" s="222">
        <v>99.6646</v>
      </c>
      <c r="E14" s="200">
        <v>1.65521236860195</v>
      </c>
      <c r="F14" s="222">
        <v>154.6997</v>
      </c>
      <c r="G14" s="200">
        <v>10.5193634300933</v>
      </c>
      <c r="H14" s="222">
        <v>188.8232</v>
      </c>
      <c r="I14" s="200">
        <v>9.85239815903487</v>
      </c>
      <c r="J14" s="222">
        <v>221.5207</v>
      </c>
      <c r="K14" s="200">
        <v>6.40554352300571</v>
      </c>
    </row>
    <row r="15" ht="24.95" customHeight="1" spans="1:11">
      <c r="A15" s="148" t="s">
        <v>334</v>
      </c>
      <c r="B15" s="146">
        <v>49.5964</v>
      </c>
      <c r="C15" s="147">
        <v>2.63518407383647</v>
      </c>
      <c r="D15" s="146">
        <v>9.0771</v>
      </c>
      <c r="E15" s="147">
        <v>13.3249269644685</v>
      </c>
      <c r="F15" s="146">
        <v>13.6659</v>
      </c>
      <c r="G15" s="147">
        <v>8.68638507360602</v>
      </c>
      <c r="H15" s="146">
        <v>17.1497</v>
      </c>
      <c r="I15" s="147">
        <v>5.24064630546708</v>
      </c>
      <c r="J15" s="146">
        <v>20.892</v>
      </c>
      <c r="K15" s="147">
        <v>3.86537075244227</v>
      </c>
    </row>
    <row r="16" ht="24.95" customHeight="1" spans="1:11">
      <c r="A16" s="148" t="s">
        <v>335</v>
      </c>
      <c r="B16" s="146">
        <v>1.0927</v>
      </c>
      <c r="C16" s="147">
        <v>-33.6913647672796</v>
      </c>
      <c r="D16" s="146">
        <v>0.0705</v>
      </c>
      <c r="E16" s="147">
        <v>91.5760869565217</v>
      </c>
      <c r="F16" s="146">
        <v>0.1158</v>
      </c>
      <c r="G16" s="147">
        <v>-19.471488178025</v>
      </c>
      <c r="H16" s="146">
        <v>0.2277</v>
      </c>
      <c r="I16" s="147">
        <v>-35.9853809389935</v>
      </c>
      <c r="J16" s="146">
        <v>0.3567</v>
      </c>
      <c r="K16" s="147">
        <v>-28.7027783330002</v>
      </c>
    </row>
    <row r="17" ht="24.95" customHeight="1" spans="1:11">
      <c r="A17" s="148" t="s">
        <v>336</v>
      </c>
      <c r="B17" s="146">
        <v>425.3096</v>
      </c>
      <c r="C17" s="147">
        <v>-5.23645344124503</v>
      </c>
      <c r="D17" s="146">
        <v>80.7431</v>
      </c>
      <c r="E17" s="147">
        <v>-1.72779132136602</v>
      </c>
      <c r="F17" s="146">
        <v>126.543</v>
      </c>
      <c r="G17" s="147">
        <v>9.39982813205129</v>
      </c>
      <c r="H17" s="146">
        <v>152.6603</v>
      </c>
      <c r="I17" s="147">
        <v>8.22473780400486</v>
      </c>
      <c r="J17" s="146">
        <v>179.1971</v>
      </c>
      <c r="K17" s="147">
        <v>5.01255541523702</v>
      </c>
    </row>
    <row r="18" ht="24.95" customHeight="1" spans="1:11">
      <c r="A18" s="148" t="s">
        <v>337</v>
      </c>
      <c r="B18" s="146">
        <v>127.0637</v>
      </c>
      <c r="C18" s="147">
        <v>4.44936745279529</v>
      </c>
      <c r="D18" s="146">
        <v>18.635</v>
      </c>
      <c r="E18" s="147">
        <v>9.27760087727014</v>
      </c>
      <c r="F18" s="146">
        <v>28.4239</v>
      </c>
      <c r="G18" s="147">
        <v>-3.30822821842131</v>
      </c>
      <c r="H18" s="146">
        <v>36.8974</v>
      </c>
      <c r="I18" s="147">
        <v>-2.96669340311106</v>
      </c>
      <c r="J18" s="146">
        <v>46.2925</v>
      </c>
      <c r="K18" s="147">
        <v>-1.76845428946715</v>
      </c>
    </row>
    <row r="19" ht="24.95" customHeight="1" spans="1:11">
      <c r="A19" s="148" t="s">
        <v>338</v>
      </c>
      <c r="B19" s="162">
        <v>5.7829</v>
      </c>
      <c r="C19" s="163">
        <v>-55.543169919818</v>
      </c>
      <c r="D19" s="162">
        <v>0.7141</v>
      </c>
      <c r="E19" s="163">
        <v>-8.85768985322272</v>
      </c>
      <c r="F19" s="162">
        <v>1.0304</v>
      </c>
      <c r="G19" s="163">
        <v>-33.3376463738112</v>
      </c>
      <c r="H19" s="162">
        <v>1.4006</v>
      </c>
      <c r="I19" s="163">
        <v>-24.6786770637268</v>
      </c>
      <c r="J19" s="162">
        <v>1.687</v>
      </c>
      <c r="K19" s="163">
        <v>-22.0136834319527</v>
      </c>
    </row>
    <row r="20" ht="24.95" customHeight="1" spans="1:11">
      <c r="A20" s="148" t="s">
        <v>339</v>
      </c>
      <c r="B20" s="146">
        <v>114.8084</v>
      </c>
      <c r="C20" s="147">
        <v>4.90485697707888</v>
      </c>
      <c r="D20" s="146">
        <v>28.7793</v>
      </c>
      <c r="E20" s="147">
        <v>95.5328024785303</v>
      </c>
      <c r="F20" s="146">
        <v>38.6026</v>
      </c>
      <c r="G20" s="147">
        <v>66.667818007547</v>
      </c>
      <c r="H20" s="146">
        <v>46.3415</v>
      </c>
      <c r="I20" s="147">
        <v>56.2819323834415</v>
      </c>
      <c r="J20" s="146">
        <v>53.3167</v>
      </c>
      <c r="K20" s="147">
        <v>41.8084084930727</v>
      </c>
    </row>
    <row r="21" ht="24.95" customHeight="1" spans="1:11">
      <c r="A21" s="148" t="s">
        <v>340</v>
      </c>
      <c r="B21" s="146">
        <v>71.6742</v>
      </c>
      <c r="C21" s="147">
        <v>-4.17311201877119</v>
      </c>
      <c r="D21" s="146">
        <v>14.9153</v>
      </c>
      <c r="E21" s="147">
        <v>-51.2586231123921</v>
      </c>
      <c r="F21" s="146">
        <v>32.223</v>
      </c>
      <c r="G21" s="147">
        <v>-9.35966965209956</v>
      </c>
      <c r="H21" s="146">
        <v>34.631</v>
      </c>
      <c r="I21" s="147">
        <v>-13.0809079683155</v>
      </c>
      <c r="J21" s="146">
        <v>37.0495</v>
      </c>
      <c r="K21" s="147">
        <v>-13.8998436000344</v>
      </c>
    </row>
    <row r="22" ht="24.95" customHeight="1" spans="1:11">
      <c r="A22" s="148" t="s">
        <v>341</v>
      </c>
      <c r="B22" s="146">
        <v>5.1075</v>
      </c>
      <c r="C22" s="147">
        <v>-17.3423314074865</v>
      </c>
      <c r="D22" s="146">
        <v>0.6898</v>
      </c>
      <c r="E22" s="147">
        <v>54.3867502238138</v>
      </c>
      <c r="F22" s="146">
        <v>1.1916</v>
      </c>
      <c r="G22" s="147">
        <v>35.9032846715329</v>
      </c>
      <c r="H22" s="146">
        <v>1.6056</v>
      </c>
      <c r="I22" s="147">
        <v>15.4858663597785</v>
      </c>
      <c r="J22" s="146">
        <v>1.8444</v>
      </c>
      <c r="K22" s="147">
        <v>5.55714530990672</v>
      </c>
    </row>
    <row r="23" ht="24.95" customHeight="1" spans="1:11">
      <c r="A23" s="148" t="s">
        <v>342</v>
      </c>
      <c r="B23" s="146">
        <v>11.5214</v>
      </c>
      <c r="C23" s="147">
        <v>-28.2424015944195</v>
      </c>
      <c r="D23" s="146">
        <v>3.5273</v>
      </c>
      <c r="E23" s="147">
        <v>65.1899030581183</v>
      </c>
      <c r="F23" s="146">
        <v>5.073</v>
      </c>
      <c r="G23" s="147">
        <v>72.5744999319635</v>
      </c>
      <c r="H23" s="146">
        <v>5.727</v>
      </c>
      <c r="I23" s="147">
        <v>68.0507057131958</v>
      </c>
      <c r="J23" s="146">
        <v>8.0564</v>
      </c>
      <c r="K23" s="147">
        <v>53.0965547384224</v>
      </c>
    </row>
    <row r="24" ht="24.95" customHeight="1" spans="1:11">
      <c r="A24" s="212" t="s">
        <v>343</v>
      </c>
      <c r="B24" s="146">
        <v>46.8059</v>
      </c>
      <c r="C24" s="147">
        <v>-27.4770140410354</v>
      </c>
      <c r="D24" s="146">
        <v>6.7334</v>
      </c>
      <c r="E24" s="147">
        <v>-19.6031139554876</v>
      </c>
      <c r="F24" s="146">
        <v>9.4057</v>
      </c>
      <c r="G24" s="147">
        <v>-17.9558974895762</v>
      </c>
      <c r="H24" s="146">
        <v>12.4518</v>
      </c>
      <c r="I24" s="147">
        <v>-13.6371202663337</v>
      </c>
      <c r="J24" s="146">
        <v>14.4993</v>
      </c>
      <c r="K24" s="147">
        <v>-19.1221259078282</v>
      </c>
    </row>
    <row r="25" ht="24.95" customHeight="1" spans="1:11">
      <c r="A25" s="212" t="s">
        <v>344</v>
      </c>
      <c r="B25" s="146">
        <v>17.9571</v>
      </c>
      <c r="C25" s="147">
        <v>-18.7082667487562</v>
      </c>
      <c r="D25" s="146">
        <v>3.3827</v>
      </c>
      <c r="E25" s="147">
        <v>-28.6470637867027</v>
      </c>
      <c r="F25" s="146">
        <v>5.2758</v>
      </c>
      <c r="G25" s="147">
        <v>1.73943227398952</v>
      </c>
      <c r="H25" s="146">
        <v>6.0741</v>
      </c>
      <c r="I25" s="147">
        <v>8.54166294383589</v>
      </c>
      <c r="J25" s="146">
        <v>7.3761</v>
      </c>
      <c r="K25" s="147">
        <v>2.80995191302529</v>
      </c>
    </row>
    <row r="26" ht="24.95" customHeight="1" spans="1:11">
      <c r="A26" s="212" t="s">
        <v>345</v>
      </c>
      <c r="B26" s="146">
        <v>19.9262</v>
      </c>
      <c r="C26" s="147">
        <v>18.0916822236051</v>
      </c>
      <c r="D26" s="146">
        <v>2.4639</v>
      </c>
      <c r="E26" s="147">
        <v>-1.91871342701325</v>
      </c>
      <c r="F26" s="146">
        <v>3.8341</v>
      </c>
      <c r="G26" s="147">
        <v>-7.02281931275311</v>
      </c>
      <c r="H26" s="146">
        <v>5.4062</v>
      </c>
      <c r="I26" s="147">
        <v>2.56887000075889</v>
      </c>
      <c r="J26" s="146">
        <v>6.7028</v>
      </c>
      <c r="K26" s="147">
        <v>-2.17461105111065</v>
      </c>
    </row>
    <row r="27" ht="24.95" customHeight="1" spans="1:11">
      <c r="A27" s="219" t="s">
        <v>346</v>
      </c>
      <c r="B27" s="164">
        <v>2.1742</v>
      </c>
      <c r="C27" s="165">
        <v>1.32823787109102</v>
      </c>
      <c r="D27" s="164">
        <v>0.68</v>
      </c>
      <c r="E27" s="165">
        <v>15.9420289855072</v>
      </c>
      <c r="F27" s="164">
        <v>1.0855</v>
      </c>
      <c r="G27" s="165">
        <v>16.3201885983712</v>
      </c>
      <c r="H27" s="164">
        <v>1.1209</v>
      </c>
      <c r="I27" s="165">
        <v>12.7665995975855</v>
      </c>
      <c r="J27" s="164">
        <v>1.1905</v>
      </c>
      <c r="K27" s="165">
        <v>13.8254135194569</v>
      </c>
    </row>
    <row r="28" ht="44" customHeight="1" spans="1:5">
      <c r="A28" s="173" t="s">
        <v>347</v>
      </c>
      <c r="B28" s="173"/>
      <c r="C28" s="173"/>
      <c r="D28" s="173"/>
      <c r="E28" s="173"/>
    </row>
  </sheetData>
  <mergeCells count="8">
    <mergeCell ref="A1:K1"/>
    <mergeCell ref="B2:C2"/>
    <mergeCell ref="D2:E2"/>
    <mergeCell ref="F2:G2"/>
    <mergeCell ref="H2:I2"/>
    <mergeCell ref="J2:K2"/>
    <mergeCell ref="A28:E28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K35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A1" sqref="A1:K1"/>
    </sheetView>
  </sheetViews>
  <sheetFormatPr defaultColWidth="9" defaultRowHeight="14.25"/>
  <cols>
    <col min="1" max="1" width="35.5" style="133" customWidth="1"/>
    <col min="2" max="2" width="11.625" style="133"/>
    <col min="3" max="3" width="10.375" style="133"/>
    <col min="4" max="4" width="11.625" style="133"/>
    <col min="5" max="5" width="10.375" style="133"/>
    <col min="6" max="6" width="11.625" style="133"/>
    <col min="7" max="7" width="10.375" style="133"/>
    <col min="8" max="8" width="11.625" style="133"/>
    <col min="9" max="9" width="10.375" style="133"/>
    <col min="10" max="10" width="11.625" style="133"/>
    <col min="11" max="11" width="10.375" style="133"/>
    <col min="12" max="182" width="9" style="133"/>
    <col min="183" max="16384" width="9" style="134"/>
  </cols>
  <sheetData>
    <row r="1" ht="28.5" customHeight="1" spans="1:11">
      <c r="A1" s="135" t="s">
        <v>348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ht="21" customHeight="1" spans="1:11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</row>
    <row r="3" ht="31" customHeight="1" spans="1:11">
      <c r="A3" s="139"/>
      <c r="B3" s="140" t="s">
        <v>8</v>
      </c>
      <c r="C3" s="141" t="s">
        <v>9</v>
      </c>
      <c r="D3" s="140" t="s">
        <v>8</v>
      </c>
      <c r="E3" s="141" t="s">
        <v>9</v>
      </c>
      <c r="F3" s="140" t="s">
        <v>8</v>
      </c>
      <c r="G3" s="141" t="s">
        <v>9</v>
      </c>
      <c r="H3" s="140" t="s">
        <v>8</v>
      </c>
      <c r="I3" s="141" t="s">
        <v>9</v>
      </c>
      <c r="J3" s="140" t="s">
        <v>8</v>
      </c>
      <c r="K3" s="141" t="s">
        <v>9</v>
      </c>
    </row>
    <row r="4" ht="19.5" customHeight="1" spans="1:11">
      <c r="A4" s="207" t="s">
        <v>349</v>
      </c>
      <c r="B4" s="222">
        <v>4377.7598285242</v>
      </c>
      <c r="C4" s="200">
        <v>4.45508298208928</v>
      </c>
      <c r="D4" s="222">
        <v>4497.7417680238</v>
      </c>
      <c r="E4" s="200">
        <v>3.29125430927188</v>
      </c>
      <c r="F4" s="222">
        <v>4619.5549275966</v>
      </c>
      <c r="G4" s="200">
        <v>4.35443789939082</v>
      </c>
      <c r="H4" s="222">
        <v>4633.0966854403</v>
      </c>
      <c r="I4" s="200">
        <v>6.63644514693559</v>
      </c>
      <c r="J4" s="222">
        <v>4665.0114324267</v>
      </c>
      <c r="K4" s="200">
        <v>6.45292595218172</v>
      </c>
    </row>
    <row r="5" ht="19.5" customHeight="1" spans="1:11">
      <c r="A5" s="148" t="s">
        <v>350</v>
      </c>
      <c r="B5" s="146">
        <v>4370.9487240456</v>
      </c>
      <c r="C5" s="147">
        <v>4.43227509826755</v>
      </c>
      <c r="D5" s="146">
        <v>4490.7085653441</v>
      </c>
      <c r="E5" s="147">
        <v>3.26799237588136</v>
      </c>
      <c r="F5" s="146">
        <v>4612.1591268108</v>
      </c>
      <c r="G5" s="147">
        <v>4.32805062466318</v>
      </c>
      <c r="H5" s="146">
        <v>4626.4194156224</v>
      </c>
      <c r="I5" s="147">
        <v>6.63006111577303</v>
      </c>
      <c r="J5" s="146">
        <v>4658.1363901989</v>
      </c>
      <c r="K5" s="147">
        <v>6.44481037990599</v>
      </c>
    </row>
    <row r="6" ht="19.5" customHeight="1" spans="1:11">
      <c r="A6" s="148" t="s">
        <v>351</v>
      </c>
      <c r="B6" s="146">
        <v>3104.9674280619</v>
      </c>
      <c r="C6" s="147">
        <v>12.014411694269</v>
      </c>
      <c r="D6" s="146">
        <v>3223.1956389002</v>
      </c>
      <c r="E6" s="147">
        <v>11.9773308821364</v>
      </c>
      <c r="F6" s="146">
        <v>3302.2944031856</v>
      </c>
      <c r="G6" s="147">
        <v>11.1313125143896</v>
      </c>
      <c r="H6" s="146">
        <v>3277.9137742145</v>
      </c>
      <c r="I6" s="147">
        <v>11.2057226432244</v>
      </c>
      <c r="J6" s="146">
        <v>3290.7849812528</v>
      </c>
      <c r="K6" s="147">
        <v>10.5404802196956</v>
      </c>
    </row>
    <row r="7" ht="19.5" customHeight="1" spans="1:11">
      <c r="A7" s="148" t="s">
        <v>352</v>
      </c>
      <c r="B7" s="146">
        <v>616.3111591721</v>
      </c>
      <c r="C7" s="147">
        <v>-6.11871991575265</v>
      </c>
      <c r="D7" s="146">
        <v>604.1539240788</v>
      </c>
      <c r="E7" s="147">
        <v>-8.92175042164188</v>
      </c>
      <c r="F7" s="146">
        <v>628.0921248905</v>
      </c>
      <c r="G7" s="147">
        <v>-6.04337159486092</v>
      </c>
      <c r="H7" s="146">
        <v>662.6353545011</v>
      </c>
      <c r="I7" s="147">
        <v>7.78641237787222</v>
      </c>
      <c r="J7" s="146">
        <v>655.0930661259</v>
      </c>
      <c r="K7" s="147">
        <v>4.53538877641671</v>
      </c>
    </row>
    <row r="8" ht="19.5" customHeight="1" spans="1:11">
      <c r="A8" s="148" t="s">
        <v>353</v>
      </c>
      <c r="B8" s="146">
        <v>624.0359892821</v>
      </c>
      <c r="C8" s="147">
        <v>-15.1302567130649</v>
      </c>
      <c r="D8" s="146">
        <v>637.51625208</v>
      </c>
      <c r="E8" s="147">
        <v>-18.3402687797604</v>
      </c>
      <c r="F8" s="146">
        <v>653.8212027892</v>
      </c>
      <c r="G8" s="147">
        <v>-13.6751569225565</v>
      </c>
      <c r="H8" s="146">
        <v>661.4245034572</v>
      </c>
      <c r="I8" s="147">
        <v>-12.2647026756316</v>
      </c>
      <c r="J8" s="146">
        <v>686.7885291494</v>
      </c>
      <c r="K8" s="147">
        <v>-8.52894118784663</v>
      </c>
    </row>
    <row r="9" ht="19.5" customHeight="1" spans="1:11">
      <c r="A9" s="148" t="s">
        <v>354</v>
      </c>
      <c r="B9" s="146">
        <v>25.6341475295</v>
      </c>
      <c r="C9" s="147">
        <v>17.9294239229087</v>
      </c>
      <c r="D9" s="146">
        <v>25.8427502851</v>
      </c>
      <c r="E9" s="147">
        <v>-1.08961241879744</v>
      </c>
      <c r="F9" s="146">
        <v>27.9513959455</v>
      </c>
      <c r="G9" s="147">
        <v>19.3940553206821</v>
      </c>
      <c r="H9" s="146">
        <v>24.4457834496</v>
      </c>
      <c r="I9" s="147">
        <v>8.6905278452901</v>
      </c>
      <c r="J9" s="146">
        <v>25.4698136708</v>
      </c>
      <c r="K9" s="147">
        <v>17.849083890486</v>
      </c>
    </row>
    <row r="10" ht="19.5" customHeight="1" spans="1:11">
      <c r="A10" s="148" t="s">
        <v>355</v>
      </c>
      <c r="B10" s="146">
        <v>6.8111044786</v>
      </c>
      <c r="C10" s="147">
        <v>21.4812857942153</v>
      </c>
      <c r="D10" s="146">
        <v>7.0332026797</v>
      </c>
      <c r="E10" s="147">
        <v>20.6430357703146</v>
      </c>
      <c r="F10" s="146">
        <v>7.3958007858</v>
      </c>
      <c r="G10" s="147">
        <v>23.896562681796</v>
      </c>
      <c r="H10" s="146">
        <v>6.6772698179</v>
      </c>
      <c r="I10" s="147">
        <v>11.251393840726</v>
      </c>
      <c r="J10" s="146">
        <v>6.8750422278</v>
      </c>
      <c r="K10" s="147">
        <v>12.2515342590167</v>
      </c>
    </row>
    <row r="11" ht="19.5" customHeight="1" spans="1:11">
      <c r="A11" s="153" t="s">
        <v>356</v>
      </c>
      <c r="B11" s="222">
        <v>3660.825006698</v>
      </c>
      <c r="C11" s="200">
        <v>16.0780297675992</v>
      </c>
      <c r="D11" s="222">
        <v>3761.4890660588</v>
      </c>
      <c r="E11" s="200">
        <v>16.3884566073484</v>
      </c>
      <c r="F11" s="222">
        <v>3838.3270132979</v>
      </c>
      <c r="G11" s="200">
        <v>16.1319459522067</v>
      </c>
      <c r="H11" s="222">
        <v>3843.4245584217</v>
      </c>
      <c r="I11" s="200">
        <v>15.3615119228305</v>
      </c>
      <c r="J11" s="222">
        <v>3867.9176229599</v>
      </c>
      <c r="K11" s="200">
        <v>16.1406928396616</v>
      </c>
    </row>
    <row r="12" ht="19.5" customHeight="1" spans="1:11">
      <c r="A12" s="148" t="s">
        <v>357</v>
      </c>
      <c r="B12" s="146">
        <v>3659.0153090694</v>
      </c>
      <c r="C12" s="147">
        <v>16.0874554248488</v>
      </c>
      <c r="D12" s="146">
        <v>3759.6772264279</v>
      </c>
      <c r="E12" s="147">
        <v>16.3969547580777</v>
      </c>
      <c r="F12" s="146">
        <v>3836.4665685056</v>
      </c>
      <c r="G12" s="147">
        <v>16.1386417920031</v>
      </c>
      <c r="H12" s="146">
        <v>3841.5575373306</v>
      </c>
      <c r="I12" s="147">
        <v>15.367377270177</v>
      </c>
      <c r="J12" s="146">
        <v>3866.0195245412</v>
      </c>
      <c r="K12" s="147">
        <v>16.1408497498192</v>
      </c>
    </row>
    <row r="13" ht="19.5" customHeight="1" spans="1:11">
      <c r="A13" s="148" t="s">
        <v>358</v>
      </c>
      <c r="B13" s="146">
        <v>1662.085827018</v>
      </c>
      <c r="C13" s="147">
        <v>14.2679031107391</v>
      </c>
      <c r="D13" s="146">
        <v>1694.9101774005</v>
      </c>
      <c r="E13" s="147">
        <v>14.3166480359724</v>
      </c>
      <c r="F13" s="146">
        <v>1748.7598983316</v>
      </c>
      <c r="G13" s="147">
        <v>15.2249131603981</v>
      </c>
      <c r="H13" s="146">
        <v>1747.0651755183</v>
      </c>
      <c r="I13" s="147">
        <v>15.0110756653399</v>
      </c>
      <c r="J13" s="146">
        <v>1769.0747993637</v>
      </c>
      <c r="K13" s="147">
        <v>15.7311197205709</v>
      </c>
    </row>
    <row r="14" ht="19.5" customHeight="1" spans="1:11">
      <c r="A14" s="148" t="s">
        <v>359</v>
      </c>
      <c r="B14" s="146">
        <v>1995.9294820514</v>
      </c>
      <c r="C14" s="147">
        <v>17.5877735244986</v>
      </c>
      <c r="D14" s="146">
        <v>2063.2670490274</v>
      </c>
      <c r="E14" s="147">
        <v>18.0762222959368</v>
      </c>
      <c r="F14" s="146">
        <v>2086.206670174</v>
      </c>
      <c r="G14" s="147">
        <v>16.863971626539</v>
      </c>
      <c r="H14" s="146">
        <v>2093.4923618123</v>
      </c>
      <c r="I14" s="147">
        <v>15.6110458633878</v>
      </c>
      <c r="J14" s="146">
        <v>2095.4447251775</v>
      </c>
      <c r="K14" s="147">
        <v>16.4054515006581</v>
      </c>
    </row>
    <row r="15" ht="19.5" customHeight="1" spans="1:11">
      <c r="A15" s="148" t="s">
        <v>360</v>
      </c>
      <c r="B15" s="146">
        <v>1</v>
      </c>
      <c r="C15" s="147">
        <v>100</v>
      </c>
      <c r="D15" s="146">
        <v>1.5</v>
      </c>
      <c r="E15" s="147">
        <v>100</v>
      </c>
      <c r="F15" s="146">
        <v>1.5</v>
      </c>
      <c r="G15" s="147">
        <v>100</v>
      </c>
      <c r="H15" s="146">
        <v>1</v>
      </c>
      <c r="I15" s="147">
        <v>100</v>
      </c>
      <c r="J15" s="146">
        <v>1.5</v>
      </c>
      <c r="K15" s="147">
        <v>100</v>
      </c>
    </row>
    <row r="16" ht="19.5" customHeight="1" spans="1:11">
      <c r="A16" s="148" t="s">
        <v>361</v>
      </c>
      <c r="B16" s="146">
        <v>1.8096976286</v>
      </c>
      <c r="C16" s="147">
        <v>-0.290869941286793</v>
      </c>
      <c r="D16" s="146">
        <v>1.8118396309</v>
      </c>
      <c r="E16" s="147">
        <v>1.07548576272949</v>
      </c>
      <c r="F16" s="146">
        <v>1.8604447923</v>
      </c>
      <c r="G16" s="147">
        <v>3.79216340097063</v>
      </c>
      <c r="H16" s="146">
        <v>1.8670210911</v>
      </c>
      <c r="I16" s="147">
        <v>4.43651767277223</v>
      </c>
      <c r="J16" s="146">
        <v>1.8980984187</v>
      </c>
      <c r="K16" s="147">
        <v>15.8219779507288</v>
      </c>
    </row>
    <row r="17" ht="19.5" customHeight="1" spans="1:11">
      <c r="A17" s="153" t="s">
        <v>362</v>
      </c>
      <c r="B17" s="222">
        <v>4359.5051336232</v>
      </c>
      <c r="C17" s="200">
        <v>4.40008581204724</v>
      </c>
      <c r="D17" s="222">
        <v>4477.3386103068</v>
      </c>
      <c r="E17" s="200">
        <v>3.38035398418584</v>
      </c>
      <c r="F17" s="222">
        <v>4598.7123300982</v>
      </c>
      <c r="G17" s="200">
        <v>4.28872624284788</v>
      </c>
      <c r="H17" s="222">
        <v>4612.8576216736</v>
      </c>
      <c r="I17" s="200">
        <v>6.57496400584002</v>
      </c>
      <c r="J17" s="222">
        <v>4644.8043546546</v>
      </c>
      <c r="K17" s="200">
        <v>6.42943939319184</v>
      </c>
    </row>
    <row r="18" ht="19.5" customHeight="1" spans="1:11">
      <c r="A18" s="148" t="s">
        <v>350</v>
      </c>
      <c r="B18" s="146">
        <v>4352.8446039253</v>
      </c>
      <c r="C18" s="147">
        <v>4.37715455032123</v>
      </c>
      <c r="D18" s="146">
        <v>4470.4523793612</v>
      </c>
      <c r="E18" s="147">
        <v>3.3573467649175</v>
      </c>
      <c r="F18" s="146">
        <v>4591.4617853456</v>
      </c>
      <c r="G18" s="147">
        <v>4.26130278304028</v>
      </c>
      <c r="H18" s="146">
        <v>4606.3269697677</v>
      </c>
      <c r="I18" s="147">
        <v>6.56812554990501</v>
      </c>
      <c r="J18" s="146">
        <v>4638.0839526119</v>
      </c>
      <c r="K18" s="147">
        <v>6.4157363125926</v>
      </c>
    </row>
    <row r="19" ht="19.5" customHeight="1" spans="1:11">
      <c r="A19" s="148" t="s">
        <v>351</v>
      </c>
      <c r="B19" s="146">
        <v>3096.4381310525</v>
      </c>
      <c r="C19" s="147">
        <v>12.0424876660763</v>
      </c>
      <c r="D19" s="146">
        <v>3214.9295692015</v>
      </c>
      <c r="E19" s="147">
        <v>12.0127465680897</v>
      </c>
      <c r="F19" s="146">
        <v>3294.0175480929</v>
      </c>
      <c r="G19" s="147">
        <v>11.1652834105851</v>
      </c>
      <c r="H19" s="146">
        <v>3269.5822352453</v>
      </c>
      <c r="I19" s="147">
        <v>11.2463343026852</v>
      </c>
      <c r="J19" s="146">
        <v>3282.5259029675</v>
      </c>
      <c r="K19" s="147">
        <v>10.5792179637818</v>
      </c>
    </row>
    <row r="20" ht="19.5" customHeight="1" spans="1:11">
      <c r="A20" s="148" t="s">
        <v>363</v>
      </c>
      <c r="B20" s="146">
        <v>1494.5120762875</v>
      </c>
      <c r="C20" s="147">
        <v>7.79222996579475</v>
      </c>
      <c r="D20" s="146">
        <v>1502.7510571576</v>
      </c>
      <c r="E20" s="147">
        <v>5.73619676531782</v>
      </c>
      <c r="F20" s="146">
        <v>1540.7905544706</v>
      </c>
      <c r="G20" s="147">
        <v>5.21403895200472</v>
      </c>
      <c r="H20" s="146">
        <v>1509.8531637695</v>
      </c>
      <c r="I20" s="147">
        <v>5.33121440606949</v>
      </c>
      <c r="J20" s="146">
        <v>1511.6601175514</v>
      </c>
      <c r="K20" s="147">
        <v>4.34581579179878</v>
      </c>
    </row>
    <row r="21" ht="19.5" customHeight="1" spans="1:11">
      <c r="A21" s="148" t="s">
        <v>352</v>
      </c>
      <c r="B21" s="146">
        <v>607.3794234814</v>
      </c>
      <c r="C21" s="147">
        <v>-6.51955718381242</v>
      </c>
      <c r="D21" s="146">
        <v>593.1418643933</v>
      </c>
      <c r="E21" s="147">
        <v>-8.51434533341885</v>
      </c>
      <c r="F21" s="146">
        <v>616.6396590041</v>
      </c>
      <c r="G21" s="147">
        <v>-6.55572640850592</v>
      </c>
      <c r="H21" s="146">
        <v>651.8398829484</v>
      </c>
      <c r="I21" s="147">
        <v>7.37138045423644</v>
      </c>
      <c r="J21" s="146">
        <v>644.2977892975</v>
      </c>
      <c r="K21" s="147">
        <v>4.31845050028885</v>
      </c>
    </row>
    <row r="22" ht="19.5" customHeight="1" spans="1:11">
      <c r="A22" s="148" t="s">
        <v>353</v>
      </c>
      <c r="B22" s="146">
        <v>623.4255713992</v>
      </c>
      <c r="C22" s="147">
        <v>-15.2064799308218</v>
      </c>
      <c r="D22" s="146">
        <v>636.5748947115</v>
      </c>
      <c r="E22" s="147">
        <v>-18.4557246290732</v>
      </c>
      <c r="F22" s="146">
        <v>652.8906660378</v>
      </c>
      <c r="G22" s="147">
        <v>-13.7924315337931</v>
      </c>
      <c r="H22" s="146">
        <v>660.48706048</v>
      </c>
      <c r="I22" s="147">
        <v>-12.383029554876</v>
      </c>
      <c r="J22" s="146">
        <v>685.8185746781</v>
      </c>
      <c r="K22" s="147">
        <v>-8.65176755168132</v>
      </c>
    </row>
    <row r="23" ht="19.5" customHeight="1" spans="1:11">
      <c r="A23" s="148" t="s">
        <v>364</v>
      </c>
      <c r="B23" s="146">
        <v>580.8317978653</v>
      </c>
      <c r="C23" s="147">
        <v>-14.0747214725428</v>
      </c>
      <c r="D23" s="146">
        <v>591.3093093585</v>
      </c>
      <c r="E23" s="147">
        <v>-19.325167076511</v>
      </c>
      <c r="F23" s="146">
        <v>614.5680294864</v>
      </c>
      <c r="G23" s="147">
        <v>-13.6588095085083</v>
      </c>
      <c r="H23" s="146">
        <v>617.4884146181</v>
      </c>
      <c r="I23" s="147">
        <v>-13.0499047396616</v>
      </c>
      <c r="J23" s="146">
        <v>630.3735929895</v>
      </c>
      <c r="K23" s="147">
        <v>-9.12899780783449</v>
      </c>
    </row>
    <row r="24" ht="19.5" customHeight="1" spans="1:11">
      <c r="A24" s="212" t="s">
        <v>354</v>
      </c>
      <c r="B24" s="146">
        <v>25.6014779922</v>
      </c>
      <c r="C24" s="147">
        <v>17.9355004592752</v>
      </c>
      <c r="D24" s="146">
        <v>25.8060510549</v>
      </c>
      <c r="E24" s="147">
        <v>-1.12397661897873</v>
      </c>
      <c r="F24" s="146">
        <v>27.9139122108</v>
      </c>
      <c r="G24" s="147">
        <v>19.3764268718508</v>
      </c>
      <c r="H24" s="146">
        <v>24.417791094</v>
      </c>
      <c r="I24" s="147">
        <v>8.74652507594004</v>
      </c>
      <c r="J24" s="146">
        <v>25.4416856688</v>
      </c>
      <c r="K24" s="147">
        <v>17.9297180991905</v>
      </c>
    </row>
    <row r="25" ht="19.5" customHeight="1" spans="1:11">
      <c r="A25" s="212" t="s">
        <v>355</v>
      </c>
      <c r="B25" s="146">
        <v>6.6605296979</v>
      </c>
      <c r="C25" s="147">
        <v>21.90257280996</v>
      </c>
      <c r="D25" s="146">
        <v>6.8862309456</v>
      </c>
      <c r="E25" s="147">
        <v>20.8431934781084</v>
      </c>
      <c r="F25" s="146">
        <v>7.2505447526</v>
      </c>
      <c r="G25" s="147">
        <v>25.1309570519741</v>
      </c>
      <c r="H25" s="146">
        <v>6.5306519059</v>
      </c>
      <c r="I25" s="147">
        <v>11.6273870975036</v>
      </c>
      <c r="J25" s="146">
        <v>6.7204020427</v>
      </c>
      <c r="K25" s="147">
        <v>16.8103915051268</v>
      </c>
    </row>
    <row r="26" ht="19.5" customHeight="1" spans="1:11">
      <c r="A26" s="214" t="s">
        <v>365</v>
      </c>
      <c r="B26" s="222">
        <v>3655.5461621188</v>
      </c>
      <c r="C26" s="200">
        <v>16.2620200183548</v>
      </c>
      <c r="D26" s="222">
        <v>3756.789800123</v>
      </c>
      <c r="E26" s="200">
        <v>16.6146062243304</v>
      </c>
      <c r="F26" s="222">
        <v>3835.2723372666</v>
      </c>
      <c r="G26" s="200">
        <v>16.3960626028574</v>
      </c>
      <c r="H26" s="222">
        <v>3840.5168825127</v>
      </c>
      <c r="I26" s="200">
        <v>15.5896925486712</v>
      </c>
      <c r="J26" s="222">
        <v>3865.0904116381</v>
      </c>
      <c r="K26" s="200">
        <v>16.4816864197767</v>
      </c>
    </row>
    <row r="27" ht="19.5" customHeight="1" spans="1:11">
      <c r="A27" s="212" t="s">
        <v>357</v>
      </c>
      <c r="B27" s="162">
        <v>3653.7365929856</v>
      </c>
      <c r="C27" s="163">
        <v>16.2715824935226</v>
      </c>
      <c r="D27" s="162">
        <v>3754.9781950846</v>
      </c>
      <c r="E27" s="163">
        <v>16.6232636174263</v>
      </c>
      <c r="F27" s="162">
        <v>3833.4122719694</v>
      </c>
      <c r="G27" s="163">
        <v>16.4029332852076</v>
      </c>
      <c r="H27" s="162">
        <v>3838.650299467</v>
      </c>
      <c r="I27" s="163">
        <v>15.5957088330962</v>
      </c>
      <c r="J27" s="162">
        <v>3863.1926726012</v>
      </c>
      <c r="K27" s="163">
        <v>16.482018460839</v>
      </c>
    </row>
    <row r="28" ht="19.5" customHeight="1" spans="1:11">
      <c r="A28" s="212" t="s">
        <v>358</v>
      </c>
      <c r="B28" s="146">
        <v>1662.0621852349</v>
      </c>
      <c r="C28" s="147">
        <v>14.2676412094002</v>
      </c>
      <c r="D28" s="146">
        <v>1694.8845710954</v>
      </c>
      <c r="E28" s="147">
        <v>14.3161314088734</v>
      </c>
      <c r="F28" s="146">
        <v>1748.7347113536</v>
      </c>
      <c r="G28" s="147">
        <v>15.2247172251863</v>
      </c>
      <c r="H28" s="146">
        <v>1747.0343886642</v>
      </c>
      <c r="I28" s="147">
        <v>15.0103443289383</v>
      </c>
      <c r="J28" s="146">
        <v>1769.0442177908</v>
      </c>
      <c r="K28" s="147">
        <v>15.7305692245912</v>
      </c>
    </row>
    <row r="29" ht="19.5" customHeight="1" spans="1:11">
      <c r="A29" s="212" t="s">
        <v>366</v>
      </c>
      <c r="B29" s="146">
        <v>1521.4163691306</v>
      </c>
      <c r="C29" s="147">
        <v>13.5624314938964</v>
      </c>
      <c r="D29" s="146">
        <v>1550.7703669946</v>
      </c>
      <c r="E29" s="147">
        <v>13.3991614168496</v>
      </c>
      <c r="F29" s="146">
        <v>1597.5678649741</v>
      </c>
      <c r="G29" s="147">
        <v>14.4582137863203</v>
      </c>
      <c r="H29" s="146">
        <v>1598.0775111262</v>
      </c>
      <c r="I29" s="147">
        <v>14.2522677858602</v>
      </c>
      <c r="J29" s="146">
        <v>1619.4024043474</v>
      </c>
      <c r="K29" s="147">
        <v>15.1406646346664</v>
      </c>
    </row>
    <row r="30" ht="19.5" customHeight="1" spans="1:11">
      <c r="A30" s="212" t="s">
        <v>359</v>
      </c>
      <c r="B30" s="146">
        <v>1990.6744077507</v>
      </c>
      <c r="C30" s="147">
        <v>17.9392361737498</v>
      </c>
      <c r="D30" s="146">
        <v>2058.5936239892</v>
      </c>
      <c r="E30" s="147">
        <v>18.5060465175501</v>
      </c>
      <c r="F30" s="146">
        <v>2083.1775606158</v>
      </c>
      <c r="G30" s="147">
        <v>17.3585938792177</v>
      </c>
      <c r="H30" s="146">
        <v>2090.6159108028</v>
      </c>
      <c r="I30" s="147">
        <v>16.0337222864152</v>
      </c>
      <c r="J30" s="146">
        <v>2092.6484548104</v>
      </c>
      <c r="K30" s="147">
        <v>17.0405611015526</v>
      </c>
    </row>
    <row r="31" ht="19.5" customHeight="1" spans="1:11">
      <c r="A31" s="212" t="s">
        <v>367</v>
      </c>
      <c r="B31" s="146">
        <v>596.833429938</v>
      </c>
      <c r="C31" s="147">
        <v>13.3794685171025</v>
      </c>
      <c r="D31" s="146">
        <v>616.7157719205</v>
      </c>
      <c r="E31" s="147">
        <v>17.8461802531688</v>
      </c>
      <c r="F31" s="146">
        <v>613.7639452567</v>
      </c>
      <c r="G31" s="147">
        <v>13.1868896143636</v>
      </c>
      <c r="H31" s="146">
        <v>605.2014697844</v>
      </c>
      <c r="I31" s="147">
        <v>11.7379165678922</v>
      </c>
      <c r="J31" s="146">
        <v>603.3619754388</v>
      </c>
      <c r="K31" s="147">
        <v>10.5997921034026</v>
      </c>
    </row>
    <row r="32" ht="19.5" customHeight="1" spans="1:11">
      <c r="A32" s="212" t="s">
        <v>368</v>
      </c>
      <c r="B32" s="146">
        <v>1210.5679720713</v>
      </c>
      <c r="C32" s="147">
        <v>25.8439563222268</v>
      </c>
      <c r="D32" s="146">
        <v>1270.9413355066</v>
      </c>
      <c r="E32" s="147">
        <v>27.172986390572</v>
      </c>
      <c r="F32" s="146">
        <v>1299.4398814912</v>
      </c>
      <c r="G32" s="147">
        <v>27.908260084017</v>
      </c>
      <c r="H32" s="146">
        <v>1311.0313236169</v>
      </c>
      <c r="I32" s="147">
        <v>25.3442941751258</v>
      </c>
      <c r="J32" s="146">
        <v>1311.4642952744</v>
      </c>
      <c r="K32" s="147">
        <v>25.8244897704271</v>
      </c>
    </row>
    <row r="33" ht="19.5" customHeight="1" spans="1:11">
      <c r="A33" s="212" t="s">
        <v>360</v>
      </c>
      <c r="B33" s="146">
        <v>1</v>
      </c>
      <c r="C33" s="147">
        <v>100</v>
      </c>
      <c r="D33" s="146">
        <v>1.5</v>
      </c>
      <c r="E33" s="147">
        <v>100</v>
      </c>
      <c r="F33" s="146">
        <v>1.5</v>
      </c>
      <c r="G33" s="147">
        <v>200</v>
      </c>
      <c r="H33" s="146">
        <v>1</v>
      </c>
      <c r="I33" s="147">
        <v>100</v>
      </c>
      <c r="J33" s="146">
        <v>1.5</v>
      </c>
      <c r="K33" s="147">
        <v>100</v>
      </c>
    </row>
    <row r="34" ht="19.5" customHeight="1" spans="1:11">
      <c r="A34" s="223" t="s">
        <v>361</v>
      </c>
      <c r="B34" s="176">
        <v>334.797613</v>
      </c>
      <c r="C34" s="177">
        <v>18346.9694621629</v>
      </c>
      <c r="D34" s="176">
        <v>1.8116050384</v>
      </c>
      <c r="E34" s="177">
        <v>1.06415499481143</v>
      </c>
      <c r="F34" s="176">
        <v>1.8600652972</v>
      </c>
      <c r="G34" s="177">
        <v>3.77266517991068</v>
      </c>
      <c r="H34" s="176">
        <v>1.8665830457</v>
      </c>
      <c r="I34" s="177">
        <v>4.41394959943587</v>
      </c>
      <c r="J34" s="176">
        <v>1.8977390369</v>
      </c>
      <c r="K34" s="177">
        <v>15.8096581170903</v>
      </c>
    </row>
    <row r="35" ht="30" customHeight="1" spans="1:5">
      <c r="A35" s="206" t="s">
        <v>369</v>
      </c>
      <c r="B35" s="206"/>
      <c r="C35" s="206"/>
      <c r="D35" s="206"/>
      <c r="E35" s="206"/>
    </row>
  </sheetData>
  <mergeCells count="8">
    <mergeCell ref="A1:K1"/>
    <mergeCell ref="B2:C2"/>
    <mergeCell ref="D2:E2"/>
    <mergeCell ref="F2:G2"/>
    <mergeCell ref="H2:I2"/>
    <mergeCell ref="J2:K2"/>
    <mergeCell ref="A35:E35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K28"/>
  <sheetViews>
    <sheetView tabSelected="1"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D2" sqref="D2:K2"/>
    </sheetView>
  </sheetViews>
  <sheetFormatPr defaultColWidth="9" defaultRowHeight="14.25"/>
  <cols>
    <col min="1" max="1" width="29.6416666666667" style="133" customWidth="1"/>
    <col min="2" max="3" width="9.375" style="133"/>
    <col min="4" max="5" width="9" style="133"/>
    <col min="6" max="8" width="9.375" style="133"/>
    <col min="9" max="9" width="9" style="133"/>
    <col min="10" max="10" width="9.375" style="133"/>
    <col min="11" max="180" width="9" style="133"/>
    <col min="181" max="16384" width="9" style="134"/>
  </cols>
  <sheetData>
    <row r="1" ht="28.5" customHeight="1" spans="1:11">
      <c r="A1" s="135" t="s">
        <v>370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ht="21" customHeight="1" spans="1:11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</row>
    <row r="3" ht="21" customHeight="1" spans="1:11">
      <c r="A3" s="139"/>
      <c r="B3" s="140" t="s">
        <v>8</v>
      </c>
      <c r="C3" s="141" t="s">
        <v>9</v>
      </c>
      <c r="D3" s="140" t="s">
        <v>8</v>
      </c>
      <c r="E3" s="141" t="s">
        <v>9</v>
      </c>
      <c r="F3" s="140" t="s">
        <v>8</v>
      </c>
      <c r="G3" s="141" t="s">
        <v>9</v>
      </c>
      <c r="H3" s="140" t="s">
        <v>8</v>
      </c>
      <c r="I3" s="141" t="s">
        <v>9</v>
      </c>
      <c r="J3" s="140" t="s">
        <v>8</v>
      </c>
      <c r="K3" s="141" t="s">
        <v>9</v>
      </c>
    </row>
    <row r="4" ht="21.6" customHeight="1" spans="1:11">
      <c r="A4" s="207" t="s">
        <v>371</v>
      </c>
      <c r="B4" s="208">
        <v>624.80185037</v>
      </c>
      <c r="C4" s="209">
        <v>14.7488</v>
      </c>
      <c r="D4" s="208">
        <v>83.391775</v>
      </c>
      <c r="E4" s="209">
        <v>-16.9</v>
      </c>
      <c r="F4" s="208">
        <v>151.11</v>
      </c>
      <c r="G4" s="209">
        <v>5.8</v>
      </c>
      <c r="H4" s="208">
        <v>202.567222</v>
      </c>
      <c r="I4" s="209">
        <v>0.3</v>
      </c>
      <c r="J4" s="208">
        <v>266.65324854</v>
      </c>
      <c r="K4" s="209">
        <v>0.8867</v>
      </c>
    </row>
    <row r="5" ht="21.6" customHeight="1" spans="1:11">
      <c r="A5" s="148" t="s">
        <v>372</v>
      </c>
      <c r="B5" s="210">
        <v>212.21815582</v>
      </c>
      <c r="C5" s="211">
        <v>-0.2251</v>
      </c>
      <c r="D5" s="210">
        <v>24.096903</v>
      </c>
      <c r="E5" s="211">
        <v>-16.5</v>
      </c>
      <c r="F5" s="210">
        <v>43.77</v>
      </c>
      <c r="G5" s="211">
        <v>6.5</v>
      </c>
      <c r="H5" s="210">
        <v>61.983785</v>
      </c>
      <c r="I5" s="211">
        <v>1</v>
      </c>
      <c r="J5" s="210">
        <v>85.46445918</v>
      </c>
      <c r="K5" s="211">
        <v>6.2703</v>
      </c>
    </row>
    <row r="6" ht="21.6" customHeight="1" spans="1:11">
      <c r="A6" s="148" t="s">
        <v>373</v>
      </c>
      <c r="B6" s="210"/>
      <c r="C6" s="211"/>
      <c r="D6" s="210"/>
      <c r="E6" s="211"/>
      <c r="F6" s="210"/>
      <c r="G6" s="211"/>
      <c r="H6" s="210"/>
      <c r="I6" s="211"/>
      <c r="J6" s="210"/>
      <c r="K6" s="211"/>
    </row>
    <row r="7" ht="21.6" customHeight="1" spans="1:11">
      <c r="A7" s="148" t="s">
        <v>374</v>
      </c>
      <c r="B7" s="210">
        <v>180.59971571</v>
      </c>
      <c r="C7" s="211">
        <v>-4.3434</v>
      </c>
      <c r="D7" s="210">
        <v>20.00166855</v>
      </c>
      <c r="E7" s="211">
        <v>-22.4798</v>
      </c>
      <c r="F7" s="210">
        <v>36.83536066</v>
      </c>
      <c r="G7" s="211">
        <v>2.8841</v>
      </c>
      <c r="H7" s="210">
        <v>52.53102087</v>
      </c>
      <c r="I7" s="211">
        <v>-3.3459</v>
      </c>
      <c r="J7" s="210">
        <v>72.03701513</v>
      </c>
      <c r="K7" s="211">
        <v>1.6389</v>
      </c>
    </row>
    <row r="8" ht="21.6" customHeight="1" spans="1:11">
      <c r="A8" s="148" t="s">
        <v>375</v>
      </c>
      <c r="B8" s="210">
        <v>30.69425383</v>
      </c>
      <c r="C8" s="211">
        <v>120.554</v>
      </c>
      <c r="D8" s="210">
        <v>3.93305502</v>
      </c>
      <c r="E8" s="211">
        <v>33.5636</v>
      </c>
      <c r="F8" s="210">
        <v>6.73036319</v>
      </c>
      <c r="G8" s="211">
        <v>30.486</v>
      </c>
      <c r="H8" s="210">
        <v>9.16164183</v>
      </c>
      <c r="I8" s="211">
        <v>33.3238</v>
      </c>
      <c r="J8" s="210">
        <v>11.56277757</v>
      </c>
      <c r="K8" s="211">
        <v>23.483</v>
      </c>
    </row>
    <row r="9" ht="21.6" customHeight="1" spans="1:11">
      <c r="A9" s="148" t="s">
        <v>376</v>
      </c>
      <c r="B9" s="210">
        <v>0.5716568</v>
      </c>
      <c r="C9" s="211">
        <v>-60.1076</v>
      </c>
      <c r="D9" s="210">
        <v>0.15362732</v>
      </c>
      <c r="E9" s="211">
        <v>38.6755</v>
      </c>
      <c r="F9" s="210">
        <v>0.1950559</v>
      </c>
      <c r="G9" s="211">
        <v>53.5749</v>
      </c>
      <c r="H9" s="210">
        <v>0.27669361</v>
      </c>
      <c r="I9" s="211">
        <v>77.6314</v>
      </c>
      <c r="J9" s="210">
        <v>1.85012529</v>
      </c>
      <c r="K9" s="211">
        <v>982.6046</v>
      </c>
    </row>
    <row r="10" ht="21.6" customHeight="1" spans="1:11">
      <c r="A10" s="148" t="s">
        <v>377</v>
      </c>
      <c r="B10" s="210"/>
      <c r="C10" s="161"/>
      <c r="D10" s="210"/>
      <c r="E10" s="161"/>
      <c r="F10" s="210"/>
      <c r="G10" s="161"/>
      <c r="H10" s="210"/>
      <c r="I10" s="161"/>
      <c r="J10" s="210"/>
      <c r="K10" s="161"/>
    </row>
    <row r="11" ht="21.6" customHeight="1" spans="1:11">
      <c r="A11" s="148" t="s">
        <v>378</v>
      </c>
      <c r="B11" s="210">
        <v>76.46766733</v>
      </c>
      <c r="C11" s="211">
        <v>69.196</v>
      </c>
      <c r="D11" s="210">
        <v>9.64629959</v>
      </c>
      <c r="E11" s="211">
        <v>8.6421</v>
      </c>
      <c r="F11" s="210">
        <v>19.69346023</v>
      </c>
      <c r="G11" s="211">
        <v>45.4411</v>
      </c>
      <c r="H11" s="210">
        <v>28.08246341</v>
      </c>
      <c r="I11" s="211">
        <v>12.0531</v>
      </c>
      <c r="J11" s="210">
        <v>39.46015549</v>
      </c>
      <c r="K11" s="211">
        <v>19.996</v>
      </c>
    </row>
    <row r="12" ht="21.6" customHeight="1" spans="1:11">
      <c r="A12" s="148" t="s">
        <v>379</v>
      </c>
      <c r="B12" s="210">
        <v>108.59575376</v>
      </c>
      <c r="C12" s="211">
        <v>-22.5653</v>
      </c>
      <c r="D12" s="210">
        <v>10.47138974</v>
      </c>
      <c r="E12" s="211">
        <v>-33.5964</v>
      </c>
      <c r="F12" s="210">
        <v>18.36061841</v>
      </c>
      <c r="G12" s="211">
        <v>-15.6564</v>
      </c>
      <c r="H12" s="210">
        <v>26.29678414</v>
      </c>
      <c r="I12" s="211">
        <v>-8.1567</v>
      </c>
      <c r="J12" s="210">
        <v>34.78099926</v>
      </c>
      <c r="K12" s="211">
        <v>-8.2897</v>
      </c>
    </row>
    <row r="13" ht="21.6" customHeight="1" spans="1:11">
      <c r="A13" s="148" t="s">
        <v>380</v>
      </c>
      <c r="B13" s="210">
        <v>27.12825857</v>
      </c>
      <c r="C13" s="211">
        <v>-0.4365</v>
      </c>
      <c r="D13" s="210">
        <v>3.97159534</v>
      </c>
      <c r="E13" s="211">
        <v>-5.6902</v>
      </c>
      <c r="F13" s="210">
        <v>5.70780464</v>
      </c>
      <c r="G13" s="211">
        <v>-1.2851</v>
      </c>
      <c r="H13" s="210">
        <v>7.5914085</v>
      </c>
      <c r="I13" s="211">
        <v>-1.3401</v>
      </c>
      <c r="J13" s="210">
        <v>11.21017566</v>
      </c>
      <c r="K13" s="211">
        <v>16.622</v>
      </c>
    </row>
    <row r="14" ht="21.6" customHeight="1" spans="1:11">
      <c r="A14" s="148" t="s">
        <v>381</v>
      </c>
      <c r="B14" s="210"/>
      <c r="C14" s="161"/>
      <c r="D14" s="210"/>
      <c r="E14" s="161"/>
      <c r="F14" s="210"/>
      <c r="G14" s="161"/>
      <c r="H14" s="210"/>
      <c r="I14" s="161"/>
      <c r="J14" s="210"/>
      <c r="K14" s="161"/>
    </row>
    <row r="15" ht="21.6" customHeight="1" spans="1:11">
      <c r="A15" s="148" t="s">
        <v>382</v>
      </c>
      <c r="B15" s="210">
        <v>19.67925082</v>
      </c>
      <c r="C15" s="211">
        <v>58.6879</v>
      </c>
      <c r="D15" s="210">
        <v>3.3367</v>
      </c>
      <c r="E15" s="211">
        <v>39.8</v>
      </c>
      <c r="F15" s="210">
        <v>5.03</v>
      </c>
      <c r="G15" s="211">
        <v>50.9</v>
      </c>
      <c r="H15" s="210">
        <v>6.756962</v>
      </c>
      <c r="I15" s="211">
        <v>50.1</v>
      </c>
      <c r="J15" s="210">
        <v>8.60746726</v>
      </c>
      <c r="K15" s="211">
        <v>37.5297</v>
      </c>
    </row>
    <row r="16" ht="21.6" customHeight="1" spans="1:11">
      <c r="A16" s="148" t="s">
        <v>383</v>
      </c>
      <c r="B16" s="210">
        <v>6.03</v>
      </c>
      <c r="C16" s="211">
        <v>54.4</v>
      </c>
      <c r="D16" s="210">
        <v>0.406571</v>
      </c>
      <c r="E16" s="211">
        <v>-56.8</v>
      </c>
      <c r="F16" s="210">
        <v>0.81</v>
      </c>
      <c r="G16" s="211">
        <v>-40.1</v>
      </c>
      <c r="H16" s="210">
        <v>1.104124</v>
      </c>
      <c r="I16" s="211">
        <v>-41.9</v>
      </c>
      <c r="J16" s="210">
        <v>1.4377</v>
      </c>
      <c r="K16" s="211">
        <v>-41.5</v>
      </c>
    </row>
    <row r="17" ht="21.6" customHeight="1" spans="1:11">
      <c r="A17" s="148" t="s">
        <v>384</v>
      </c>
      <c r="B17" s="210">
        <v>13.51616301</v>
      </c>
      <c r="C17" s="211">
        <v>-33.0476</v>
      </c>
      <c r="D17" s="210">
        <v>1.301418</v>
      </c>
      <c r="E17" s="211">
        <v>-44</v>
      </c>
      <c r="F17" s="210">
        <v>2.02</v>
      </c>
      <c r="G17" s="211">
        <v>-31.4</v>
      </c>
      <c r="H17" s="210">
        <v>2.758987</v>
      </c>
      <c r="I17" s="211">
        <v>-31.2</v>
      </c>
      <c r="J17" s="210">
        <v>3.7367</v>
      </c>
      <c r="K17" s="211">
        <v>-29.4</v>
      </c>
    </row>
    <row r="18" ht="21.6" customHeight="1" spans="1:11">
      <c r="A18" s="148" t="s">
        <v>385</v>
      </c>
      <c r="B18" s="210">
        <v>20.8488869</v>
      </c>
      <c r="C18" s="211">
        <v>3.0712</v>
      </c>
      <c r="D18" s="210">
        <v>2.665819</v>
      </c>
      <c r="E18" s="211">
        <v>-30.7</v>
      </c>
      <c r="F18" s="210">
        <v>4.18</v>
      </c>
      <c r="G18" s="211">
        <v>-11.2</v>
      </c>
      <c r="H18" s="210">
        <v>7.783501</v>
      </c>
      <c r="I18" s="211">
        <v>-33.2</v>
      </c>
      <c r="J18" s="210">
        <v>10.83605951</v>
      </c>
      <c r="K18" s="211">
        <v>-15.7486</v>
      </c>
    </row>
    <row r="19" ht="21.6" customHeight="1" spans="1:11">
      <c r="A19" s="148" t="s">
        <v>386</v>
      </c>
      <c r="B19" s="210">
        <v>412.58369455</v>
      </c>
      <c r="C19" s="211">
        <v>24.3478</v>
      </c>
      <c r="D19" s="210">
        <v>59.294872</v>
      </c>
      <c r="E19" s="211">
        <v>-17.1</v>
      </c>
      <c r="F19" s="210">
        <v>107.34</v>
      </c>
      <c r="G19" s="211">
        <v>5.5</v>
      </c>
      <c r="H19" s="210">
        <v>140.583437</v>
      </c>
      <c r="I19" s="211">
        <v>0</v>
      </c>
      <c r="J19" s="210">
        <v>181.18878936</v>
      </c>
      <c r="K19" s="211">
        <v>-1.4678</v>
      </c>
    </row>
    <row r="20" ht="21.6" customHeight="1" spans="1:11">
      <c r="A20" s="148" t="s">
        <v>387</v>
      </c>
      <c r="B20" s="210"/>
      <c r="C20" s="211"/>
      <c r="D20" s="210"/>
      <c r="E20" s="211"/>
      <c r="F20" s="210"/>
      <c r="G20" s="211"/>
      <c r="H20" s="210"/>
      <c r="I20" s="211"/>
      <c r="J20" s="210"/>
      <c r="K20" s="211"/>
    </row>
    <row r="21" ht="21.6" customHeight="1" spans="1:11">
      <c r="A21" s="212" t="s">
        <v>388</v>
      </c>
      <c r="B21" s="210">
        <v>229.91334354</v>
      </c>
      <c r="C21" s="211">
        <v>17.7975</v>
      </c>
      <c r="D21" s="210">
        <v>27.78077699</v>
      </c>
      <c r="E21" s="211">
        <v>-26.4646</v>
      </c>
      <c r="F21" s="210">
        <v>51.29185915</v>
      </c>
      <c r="G21" s="211">
        <v>-12.1141</v>
      </c>
      <c r="H21" s="210">
        <v>65.70181165</v>
      </c>
      <c r="I21" s="211">
        <v>-20.7141</v>
      </c>
      <c r="J21" s="210">
        <v>88.55287109</v>
      </c>
      <c r="K21" s="211">
        <v>-12.8397</v>
      </c>
    </row>
    <row r="22" ht="21.6" customHeight="1" spans="1:11">
      <c r="A22" s="212" t="s">
        <v>389</v>
      </c>
      <c r="B22" s="210">
        <v>18.57743524</v>
      </c>
      <c r="C22" s="213">
        <v>125.2334</v>
      </c>
      <c r="D22" s="210">
        <v>1.42421905</v>
      </c>
      <c r="E22" s="213">
        <v>20.658</v>
      </c>
      <c r="F22" s="210">
        <v>4.19317493</v>
      </c>
      <c r="G22" s="213">
        <v>166.296</v>
      </c>
      <c r="H22" s="210">
        <v>5.09968421</v>
      </c>
      <c r="I22" s="213">
        <v>97.3998</v>
      </c>
      <c r="J22" s="210">
        <v>8.46362681</v>
      </c>
      <c r="K22" s="213">
        <v>127.2869</v>
      </c>
    </row>
    <row r="23" ht="21.6" customHeight="1" spans="1:11">
      <c r="A23" s="212" t="s">
        <v>390</v>
      </c>
      <c r="B23" s="210">
        <v>160.03861108</v>
      </c>
      <c r="C23" s="211">
        <v>27.5667</v>
      </c>
      <c r="D23" s="210">
        <v>29.71030612</v>
      </c>
      <c r="E23" s="211">
        <v>-7.3261</v>
      </c>
      <c r="F23" s="210">
        <v>51.46584537</v>
      </c>
      <c r="G23" s="211">
        <v>25.655</v>
      </c>
      <c r="H23" s="210">
        <v>69.39138753</v>
      </c>
      <c r="I23" s="211">
        <v>28.6391</v>
      </c>
      <c r="J23" s="210">
        <v>83.77987463</v>
      </c>
      <c r="K23" s="211">
        <v>8.7274</v>
      </c>
    </row>
    <row r="24" ht="21.6" customHeight="1" spans="1:11">
      <c r="A24" s="214" t="s">
        <v>391</v>
      </c>
      <c r="B24" s="215"/>
      <c r="C24" s="209"/>
      <c r="D24" s="215"/>
      <c r="E24" s="209"/>
      <c r="F24" s="215"/>
      <c r="G24" s="209"/>
      <c r="H24" s="215"/>
      <c r="I24" s="209"/>
      <c r="J24" s="215"/>
      <c r="K24" s="209"/>
    </row>
    <row r="25" ht="21.6" customHeight="1" spans="1:11">
      <c r="A25" s="212" t="s">
        <v>392</v>
      </c>
      <c r="B25" s="216">
        <v>37</v>
      </c>
      <c r="C25" s="217">
        <v>-15.9</v>
      </c>
      <c r="D25" s="216">
        <v>4</v>
      </c>
      <c r="E25" s="217">
        <v>-50</v>
      </c>
      <c r="F25" s="216">
        <v>7</v>
      </c>
      <c r="G25" s="217">
        <v>-22.2</v>
      </c>
      <c r="H25" s="216">
        <v>9</v>
      </c>
      <c r="I25" s="217">
        <v>-18.2</v>
      </c>
      <c r="J25" s="216">
        <v>13</v>
      </c>
      <c r="K25" s="217">
        <v>-18.75</v>
      </c>
    </row>
    <row r="26" ht="21.6" customHeight="1" spans="1:11">
      <c r="A26" s="212" t="s">
        <v>393</v>
      </c>
      <c r="B26" s="218">
        <v>13.67</v>
      </c>
      <c r="C26" s="217">
        <v>-90.57</v>
      </c>
      <c r="D26" s="218">
        <v>0.2</v>
      </c>
      <c r="E26" s="217">
        <v>12.09</v>
      </c>
      <c r="F26" s="218">
        <v>0.2086</v>
      </c>
      <c r="G26" s="217">
        <v>-80.9</v>
      </c>
      <c r="H26" s="218">
        <v>0.2307</v>
      </c>
      <c r="I26" s="217">
        <v>-96.9</v>
      </c>
      <c r="J26" s="218">
        <v>0.3403</v>
      </c>
      <c r="K26" s="217">
        <v>-95.48</v>
      </c>
    </row>
    <row r="27" ht="21.6" customHeight="1" spans="1:11">
      <c r="A27" s="219" t="s">
        <v>394</v>
      </c>
      <c r="B27" s="220">
        <v>40.8219</v>
      </c>
      <c r="C27" s="221">
        <v>37.53</v>
      </c>
      <c r="D27" s="220">
        <v>7.98</v>
      </c>
      <c r="E27" s="221">
        <v>130</v>
      </c>
      <c r="F27" s="220">
        <v>8.0047</v>
      </c>
      <c r="G27" s="221">
        <v>118.6</v>
      </c>
      <c r="H27" s="220">
        <v>8.2876</v>
      </c>
      <c r="I27" s="221">
        <v>122.7</v>
      </c>
      <c r="J27" s="220">
        <v>15.8476</v>
      </c>
      <c r="K27" s="221">
        <v>317.98</v>
      </c>
    </row>
    <row r="28" ht="34" customHeight="1" spans="1:3">
      <c r="A28" s="173" t="s">
        <v>395</v>
      </c>
      <c r="B28" s="173"/>
      <c r="C28" s="173"/>
    </row>
  </sheetData>
  <mergeCells count="8">
    <mergeCell ref="A1:K1"/>
    <mergeCell ref="B2:C2"/>
    <mergeCell ref="D2:E2"/>
    <mergeCell ref="F2:G2"/>
    <mergeCell ref="H2:I2"/>
    <mergeCell ref="J2:K2"/>
    <mergeCell ref="A28:C28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K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H18" sqref="H18"/>
    </sheetView>
  </sheetViews>
  <sheetFormatPr defaultColWidth="9" defaultRowHeight="14.25"/>
  <cols>
    <col min="1" max="1" width="27.9166666666667" style="133" customWidth="1"/>
    <col min="2" max="2" width="10.375" style="133"/>
    <col min="3" max="3" width="9" style="133"/>
    <col min="4" max="5" width="10.6916666666667" style="133" customWidth="1"/>
    <col min="6" max="6" width="9.375" style="133"/>
    <col min="7" max="7" width="9" style="133"/>
    <col min="8" max="8" width="10.9666666666667" style="133" customWidth="1"/>
    <col min="9" max="9" width="9.16666666666667" style="133" customWidth="1"/>
    <col min="10" max="167" width="9" style="133"/>
    <col min="168" max="16384" width="9" style="134"/>
  </cols>
  <sheetData>
    <row r="1" ht="28.5" customHeight="1" spans="1:11">
      <c r="A1" s="135" t="s">
        <v>396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ht="21" customHeight="1" spans="1:11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</row>
    <row r="3" ht="21" customHeight="1" spans="1:11">
      <c r="A3" s="139"/>
      <c r="B3" s="140" t="s">
        <v>8</v>
      </c>
      <c r="C3" s="141" t="s">
        <v>9</v>
      </c>
      <c r="D3" s="140" t="s">
        <v>8</v>
      </c>
      <c r="E3" s="141" t="s">
        <v>9</v>
      </c>
      <c r="F3" s="140" t="s">
        <v>8</v>
      </c>
      <c r="G3" s="141" t="s">
        <v>9</v>
      </c>
      <c r="H3" s="140" t="s">
        <v>8</v>
      </c>
      <c r="I3" s="141" t="s">
        <v>9</v>
      </c>
      <c r="J3" s="140" t="s">
        <v>8</v>
      </c>
      <c r="K3" s="141" t="s">
        <v>9</v>
      </c>
    </row>
    <row r="4" ht="35.1" customHeight="1" spans="1:11">
      <c r="A4" s="142" t="s">
        <v>397</v>
      </c>
      <c r="B4" s="179">
        <v>28861</v>
      </c>
      <c r="C4" s="180">
        <v>4.4</v>
      </c>
      <c r="D4" s="181" t="s">
        <v>12</v>
      </c>
      <c r="E4" s="182" t="s">
        <v>12</v>
      </c>
      <c r="F4" s="179">
        <v>7990</v>
      </c>
      <c r="G4" s="180">
        <v>1.7</v>
      </c>
      <c r="H4" s="183" t="s">
        <v>12</v>
      </c>
      <c r="I4" s="182" t="s">
        <v>12</v>
      </c>
      <c r="J4" s="183" t="s">
        <v>12</v>
      </c>
      <c r="K4" s="182" t="s">
        <v>12</v>
      </c>
    </row>
    <row r="5" ht="35.1" customHeight="1" spans="1:11">
      <c r="A5" s="145" t="s">
        <v>398</v>
      </c>
      <c r="B5" s="184">
        <v>37099</v>
      </c>
      <c r="C5" s="185">
        <v>3.1</v>
      </c>
      <c r="D5" s="186" t="s">
        <v>12</v>
      </c>
      <c r="E5" s="187" t="s">
        <v>12</v>
      </c>
      <c r="F5" s="184">
        <v>10138</v>
      </c>
      <c r="G5" s="185">
        <v>0.1</v>
      </c>
      <c r="H5" s="188" t="s">
        <v>12</v>
      </c>
      <c r="I5" s="187" t="s">
        <v>12</v>
      </c>
      <c r="J5" s="188" t="s">
        <v>12</v>
      </c>
      <c r="K5" s="187" t="s">
        <v>12</v>
      </c>
    </row>
    <row r="6" ht="35.1" customHeight="1" spans="1:11">
      <c r="A6" s="189" t="s">
        <v>399</v>
      </c>
      <c r="B6" s="190">
        <v>21713</v>
      </c>
      <c r="C6" s="191">
        <v>4.9</v>
      </c>
      <c r="D6" s="192" t="s">
        <v>12</v>
      </c>
      <c r="E6" s="193" t="s">
        <v>12</v>
      </c>
      <c r="F6" s="190">
        <v>6061</v>
      </c>
      <c r="G6" s="191">
        <v>3</v>
      </c>
      <c r="H6" s="194" t="s">
        <v>12</v>
      </c>
      <c r="I6" s="193" t="s">
        <v>12</v>
      </c>
      <c r="J6" s="194" t="s">
        <v>12</v>
      </c>
      <c r="K6" s="193" t="s">
        <v>12</v>
      </c>
    </row>
    <row r="7" s="133" customFormat="1" ht="22.15" customHeight="1" spans="1:1">
      <c r="A7" s="195"/>
    </row>
    <row r="8" s="133" customFormat="1" ht="22.15" customHeight="1" spans="1:11">
      <c r="A8" s="135" t="s">
        <v>400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</row>
    <row r="9" ht="21" customHeight="1" spans="1:11">
      <c r="A9" s="136" t="s">
        <v>1</v>
      </c>
      <c r="B9" s="137" t="s">
        <v>3</v>
      </c>
      <c r="C9" s="138"/>
      <c r="D9" s="137" t="s">
        <v>4</v>
      </c>
      <c r="E9" s="138"/>
      <c r="F9" s="137" t="s">
        <v>5</v>
      </c>
      <c r="G9" s="138"/>
      <c r="H9" s="137" t="s">
        <v>6</v>
      </c>
      <c r="I9" s="138"/>
      <c r="J9" s="137" t="s">
        <v>7</v>
      </c>
      <c r="K9" s="138"/>
    </row>
    <row r="10" ht="30.6" customHeight="1" spans="1:11">
      <c r="A10" s="196"/>
      <c r="B10" s="197" t="s">
        <v>401</v>
      </c>
      <c r="C10" s="198" t="s">
        <v>402</v>
      </c>
      <c r="D10" s="197" t="s">
        <v>401</v>
      </c>
      <c r="E10" s="198" t="s">
        <v>402</v>
      </c>
      <c r="F10" s="197" t="s">
        <v>401</v>
      </c>
      <c r="G10" s="198" t="s">
        <v>402</v>
      </c>
      <c r="H10" s="197" t="s">
        <v>401</v>
      </c>
      <c r="I10" s="198" t="s">
        <v>402</v>
      </c>
      <c r="J10" s="197" t="s">
        <v>401</v>
      </c>
      <c r="K10" s="198" t="s">
        <v>402</v>
      </c>
    </row>
    <row r="11" ht="21.95" customHeight="1" spans="1:11">
      <c r="A11" s="153" t="s">
        <v>403</v>
      </c>
      <c r="B11" s="199">
        <v>101.8341828</v>
      </c>
      <c r="C11" s="200">
        <v>101.81357279</v>
      </c>
      <c r="D11" s="199">
        <v>100.08135282</v>
      </c>
      <c r="E11" s="200">
        <v>101.23391185</v>
      </c>
      <c r="F11" s="199">
        <v>100.55820946</v>
      </c>
      <c r="G11" s="200">
        <v>101.00877762</v>
      </c>
      <c r="H11" s="199">
        <v>100.30177509</v>
      </c>
      <c r="I11" s="200">
        <v>100.83191925</v>
      </c>
      <c r="J11" s="199">
        <v>99.07667175</v>
      </c>
      <c r="K11" s="200">
        <v>100.4781359</v>
      </c>
    </row>
    <row r="12" ht="21.95" customHeight="1" spans="1:11">
      <c r="A12" s="148" t="s">
        <v>404</v>
      </c>
      <c r="B12" s="201">
        <v>104.23017841</v>
      </c>
      <c r="C12" s="147">
        <v>102.41964836</v>
      </c>
      <c r="D12" s="201">
        <v>99.78818397</v>
      </c>
      <c r="E12" s="147">
        <v>102.41851366</v>
      </c>
      <c r="F12" s="201">
        <v>101.7733469</v>
      </c>
      <c r="G12" s="147">
        <v>102.20473294</v>
      </c>
      <c r="H12" s="201">
        <v>101.29989181</v>
      </c>
      <c r="I12" s="147">
        <v>101.97877499</v>
      </c>
      <c r="J12" s="201">
        <v>99.68455422</v>
      </c>
      <c r="K12" s="147">
        <v>101.51343488</v>
      </c>
    </row>
    <row r="13" ht="21.95" customHeight="1" spans="1:11">
      <c r="A13" s="148" t="s">
        <v>405</v>
      </c>
      <c r="B13" s="201">
        <v>98.46438472</v>
      </c>
      <c r="C13" s="147">
        <v>97.13076152</v>
      </c>
      <c r="D13" s="201">
        <v>103.6973796</v>
      </c>
      <c r="E13" s="147">
        <v>101.19988437</v>
      </c>
      <c r="F13" s="201">
        <v>98.95875737</v>
      </c>
      <c r="G13" s="147">
        <v>100.44266761</v>
      </c>
      <c r="H13" s="201">
        <v>99.15845986</v>
      </c>
      <c r="I13" s="147">
        <v>100.12051426</v>
      </c>
      <c r="J13" s="201">
        <v>96.75235756</v>
      </c>
      <c r="K13" s="147">
        <v>99.43796932</v>
      </c>
    </row>
    <row r="14" ht="21.95" customHeight="1" spans="1:11">
      <c r="A14" s="148" t="s">
        <v>406</v>
      </c>
      <c r="B14" s="201">
        <v>100.99916567</v>
      </c>
      <c r="C14" s="147">
        <v>103.41571774</v>
      </c>
      <c r="D14" s="201">
        <v>87.11718675</v>
      </c>
      <c r="E14" s="147">
        <v>97.59429468</v>
      </c>
      <c r="F14" s="201">
        <v>90.07543595</v>
      </c>
      <c r="G14" s="147">
        <v>95.07805459</v>
      </c>
      <c r="H14" s="201">
        <v>93.19599051</v>
      </c>
      <c r="I14" s="147">
        <v>94.60727013</v>
      </c>
      <c r="J14" s="201">
        <v>96.6453031</v>
      </c>
      <c r="K14" s="147">
        <v>95.00433379</v>
      </c>
    </row>
    <row r="15" ht="21.95" customHeight="1" spans="1:11">
      <c r="A15" s="148" t="s">
        <v>407</v>
      </c>
      <c r="B15" s="201">
        <v>106.8076156</v>
      </c>
      <c r="C15" s="147">
        <v>90.24163559</v>
      </c>
      <c r="D15" s="201">
        <v>101.22288045</v>
      </c>
      <c r="E15" s="147">
        <v>103.73961364</v>
      </c>
      <c r="F15" s="201">
        <v>104.89912785</v>
      </c>
      <c r="G15" s="147">
        <v>104.10369445</v>
      </c>
      <c r="H15" s="201">
        <v>105.85801646</v>
      </c>
      <c r="I15" s="147">
        <v>104.51513556</v>
      </c>
      <c r="J15" s="201">
        <v>99.42012834</v>
      </c>
      <c r="K15" s="147">
        <v>103.51193785</v>
      </c>
    </row>
    <row r="16" ht="21.95" customHeight="1" spans="1:11">
      <c r="A16" s="148" t="s">
        <v>408</v>
      </c>
      <c r="B16" s="201">
        <v>106.92809828</v>
      </c>
      <c r="C16" s="147">
        <v>108.34615249</v>
      </c>
      <c r="D16" s="201">
        <v>92.61199664</v>
      </c>
      <c r="E16" s="147">
        <v>98.21102417</v>
      </c>
      <c r="F16" s="201">
        <v>98.26397097</v>
      </c>
      <c r="G16" s="147">
        <v>98.22809608</v>
      </c>
      <c r="H16" s="201">
        <v>100.92295185</v>
      </c>
      <c r="I16" s="147">
        <v>98.87666017</v>
      </c>
      <c r="J16" s="201">
        <v>98.49193332</v>
      </c>
      <c r="K16" s="147">
        <v>98.79848016</v>
      </c>
    </row>
    <row r="17" ht="21.95" customHeight="1" spans="1:11">
      <c r="A17" s="148" t="s">
        <v>409</v>
      </c>
      <c r="B17" s="201">
        <v>111.47543347</v>
      </c>
      <c r="C17" s="147">
        <v>103.54208188</v>
      </c>
      <c r="D17" s="201">
        <v>109.3037761</v>
      </c>
      <c r="E17" s="147">
        <v>109.0538001</v>
      </c>
      <c r="F17" s="201">
        <v>108.06117551</v>
      </c>
      <c r="G17" s="147">
        <v>108.72469464</v>
      </c>
      <c r="H17" s="201">
        <v>101.98935206</v>
      </c>
      <c r="I17" s="147">
        <v>106.98218327</v>
      </c>
      <c r="J17" s="201">
        <v>97.19868051</v>
      </c>
      <c r="K17" s="147">
        <v>104.91471438</v>
      </c>
    </row>
    <row r="18" ht="21.95" customHeight="1" spans="1:11">
      <c r="A18" s="148" t="s">
        <v>410</v>
      </c>
      <c r="B18" s="201">
        <v>103.07971114</v>
      </c>
      <c r="C18" s="147">
        <v>101.89725824</v>
      </c>
      <c r="D18" s="201">
        <v>100.06489124</v>
      </c>
      <c r="E18" s="147">
        <v>102.37289158</v>
      </c>
      <c r="F18" s="201">
        <v>102.16998704</v>
      </c>
      <c r="G18" s="147">
        <v>102.3050311</v>
      </c>
      <c r="H18" s="201">
        <v>102.42413634</v>
      </c>
      <c r="I18" s="147">
        <v>102.33482631</v>
      </c>
      <c r="J18" s="201">
        <v>101.29080119</v>
      </c>
      <c r="K18" s="147">
        <v>102.1240497</v>
      </c>
    </row>
    <row r="19" ht="21.95" customHeight="1" spans="1:11">
      <c r="A19" s="148" t="s">
        <v>411</v>
      </c>
      <c r="B19" s="201">
        <v>100.08778938</v>
      </c>
      <c r="C19" s="147">
        <v>102.35769585</v>
      </c>
      <c r="D19" s="201">
        <v>98.43324081</v>
      </c>
      <c r="E19" s="147">
        <v>99.27140811</v>
      </c>
      <c r="F19" s="201">
        <v>98.25617633</v>
      </c>
      <c r="G19" s="147">
        <v>98.92841563</v>
      </c>
      <c r="H19" s="201">
        <v>96.02139885</v>
      </c>
      <c r="I19" s="147">
        <v>98.20409668</v>
      </c>
      <c r="J19" s="201">
        <v>95.27694052</v>
      </c>
      <c r="K19" s="147">
        <v>97.60277216</v>
      </c>
    </row>
    <row r="20" ht="21.95" customHeight="1" spans="1:11">
      <c r="A20" s="148" t="s">
        <v>412</v>
      </c>
      <c r="B20" s="201">
        <v>98.99639064</v>
      </c>
      <c r="C20" s="147">
        <v>100.88430992</v>
      </c>
      <c r="D20" s="201">
        <v>100.35904991</v>
      </c>
      <c r="E20" s="147">
        <v>99.66066266</v>
      </c>
      <c r="F20" s="201">
        <v>99.79555796</v>
      </c>
      <c r="G20" s="147">
        <v>99.70565026</v>
      </c>
      <c r="H20" s="201">
        <v>100.21710386</v>
      </c>
      <c r="I20" s="147">
        <v>99.83334526</v>
      </c>
      <c r="J20" s="201">
        <v>98.61057485</v>
      </c>
      <c r="K20" s="147">
        <v>99.5890667</v>
      </c>
    </row>
    <row r="21" ht="21.95" customHeight="1" spans="1:11">
      <c r="A21" s="148" t="s">
        <v>413</v>
      </c>
      <c r="B21" s="201">
        <v>100.14271357</v>
      </c>
      <c r="C21" s="147">
        <v>99.60371403</v>
      </c>
      <c r="D21" s="201">
        <v>100.66612043</v>
      </c>
      <c r="E21" s="147">
        <v>101.16991693</v>
      </c>
      <c r="F21" s="201">
        <v>100.49513892</v>
      </c>
      <c r="G21" s="147">
        <v>100.94665367</v>
      </c>
      <c r="H21" s="201">
        <v>99.63415288</v>
      </c>
      <c r="I21" s="147">
        <v>100.61966266</v>
      </c>
      <c r="J21" s="201">
        <v>99.49062983</v>
      </c>
      <c r="K21" s="147">
        <v>100.39431595</v>
      </c>
    </row>
    <row r="22" ht="21.95" customHeight="1" spans="1:11">
      <c r="A22" s="148" t="s">
        <v>414</v>
      </c>
      <c r="B22" s="201">
        <v>102.42326971</v>
      </c>
      <c r="C22" s="147">
        <v>104.81890048</v>
      </c>
      <c r="D22" s="201">
        <v>99.30523627</v>
      </c>
      <c r="E22" s="147">
        <v>101.09634139</v>
      </c>
      <c r="F22" s="201">
        <v>97.86810651</v>
      </c>
      <c r="G22" s="147">
        <v>100.00415901</v>
      </c>
      <c r="H22" s="201">
        <v>97.08257241</v>
      </c>
      <c r="I22" s="147">
        <v>99.26163464</v>
      </c>
      <c r="J22" s="201">
        <v>95.63492537</v>
      </c>
      <c r="K22" s="147">
        <v>98.52646694</v>
      </c>
    </row>
    <row r="23" ht="21.95" customHeight="1" spans="1:11">
      <c r="A23" s="148" t="s">
        <v>415</v>
      </c>
      <c r="B23" s="201">
        <v>101.12865268</v>
      </c>
      <c r="C23" s="147">
        <v>101.4654863</v>
      </c>
      <c r="D23" s="201">
        <v>100.7097623</v>
      </c>
      <c r="E23" s="147">
        <v>101.29575031</v>
      </c>
      <c r="F23" s="201">
        <v>101.337633</v>
      </c>
      <c r="G23" s="147">
        <v>101.30968094</v>
      </c>
      <c r="H23" s="201">
        <v>101.82631239</v>
      </c>
      <c r="I23" s="147">
        <v>101.43859493</v>
      </c>
      <c r="J23" s="201">
        <v>101.54513901</v>
      </c>
      <c r="K23" s="147">
        <v>101.45986462</v>
      </c>
    </row>
    <row r="24" ht="21.95" customHeight="1" spans="1:11">
      <c r="A24" s="148" t="s">
        <v>416</v>
      </c>
      <c r="B24" s="201">
        <v>100.33076606</v>
      </c>
      <c r="C24" s="147">
        <v>101.01278802</v>
      </c>
      <c r="D24" s="201">
        <v>100.4232154</v>
      </c>
      <c r="E24" s="147">
        <v>100.37699135</v>
      </c>
      <c r="F24" s="201">
        <v>100.42119572</v>
      </c>
      <c r="G24" s="147">
        <v>100.39172647</v>
      </c>
      <c r="H24" s="201">
        <v>100.42119572</v>
      </c>
      <c r="I24" s="147">
        <v>100.39909391</v>
      </c>
      <c r="J24" s="201">
        <v>100.42119572</v>
      </c>
      <c r="K24" s="147">
        <v>100.40351433</v>
      </c>
    </row>
    <row r="25" ht="21.95" customHeight="1" spans="1:11">
      <c r="A25" s="148" t="s">
        <v>417</v>
      </c>
      <c r="B25" s="201">
        <v>100.5018928</v>
      </c>
      <c r="C25" s="147">
        <v>99.26955819</v>
      </c>
      <c r="D25" s="201">
        <v>101.06853344</v>
      </c>
      <c r="E25" s="147">
        <v>101.0094684</v>
      </c>
      <c r="F25" s="201">
        <v>100.82645672</v>
      </c>
      <c r="G25" s="147">
        <v>100.94844222</v>
      </c>
      <c r="H25" s="201">
        <v>100.82775943</v>
      </c>
      <c r="I25" s="147">
        <v>100.91826404</v>
      </c>
      <c r="J25" s="201">
        <v>100.71696459</v>
      </c>
      <c r="K25" s="147">
        <v>100.8779625</v>
      </c>
    </row>
    <row r="26" ht="21.95" customHeight="1" spans="1:11">
      <c r="A26" s="148" t="s">
        <v>418</v>
      </c>
      <c r="B26" s="202">
        <v>102.52597033</v>
      </c>
      <c r="C26" s="163">
        <v>100.0162676</v>
      </c>
      <c r="D26" s="202">
        <v>102.06193661</v>
      </c>
      <c r="E26" s="163">
        <v>101.97819515</v>
      </c>
      <c r="F26" s="202">
        <v>102.05643728</v>
      </c>
      <c r="G26" s="163">
        <v>102.00418106</v>
      </c>
      <c r="H26" s="202">
        <v>102.52312543</v>
      </c>
      <c r="I26" s="163">
        <v>102.13349551</v>
      </c>
      <c r="J26" s="202">
        <v>101.58743241</v>
      </c>
      <c r="K26" s="163">
        <v>102.02361645</v>
      </c>
    </row>
    <row r="27" ht="21.95" customHeight="1" spans="1:11">
      <c r="A27" s="203" t="s">
        <v>419</v>
      </c>
      <c r="B27" s="204">
        <v>99.97957611</v>
      </c>
      <c r="C27" s="205">
        <v>100.12018694</v>
      </c>
      <c r="D27" s="204">
        <v>100.53397285</v>
      </c>
      <c r="E27" s="205">
        <v>100.67979176</v>
      </c>
      <c r="F27" s="204">
        <v>100.70674417</v>
      </c>
      <c r="G27" s="205">
        <v>100.68874488</v>
      </c>
      <c r="H27" s="204">
        <v>101.15755733</v>
      </c>
      <c r="I27" s="205">
        <v>100.8056173</v>
      </c>
      <c r="J27" s="204">
        <v>100.14835059</v>
      </c>
      <c r="K27" s="205">
        <v>100.67449991</v>
      </c>
    </row>
    <row r="28" ht="21.6" customHeight="1" spans="1:5">
      <c r="A28" s="206" t="s">
        <v>420</v>
      </c>
      <c r="B28" s="206"/>
      <c r="C28" s="206"/>
      <c r="D28" s="206"/>
      <c r="E28" s="206"/>
    </row>
  </sheetData>
  <mergeCells count="15">
    <mergeCell ref="A1:K1"/>
    <mergeCell ref="B2:C2"/>
    <mergeCell ref="D2:E2"/>
    <mergeCell ref="F2:G2"/>
    <mergeCell ref="H2:I2"/>
    <mergeCell ref="J2:K2"/>
    <mergeCell ref="A8:K8"/>
    <mergeCell ref="B9:C9"/>
    <mergeCell ref="D9:E9"/>
    <mergeCell ref="F9:G9"/>
    <mergeCell ref="H9:I9"/>
    <mergeCell ref="J9:K9"/>
    <mergeCell ref="A28:E28"/>
    <mergeCell ref="A2:A3"/>
    <mergeCell ref="A9:A10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D5" sqref="D5:E15"/>
    </sheetView>
  </sheetViews>
  <sheetFormatPr defaultColWidth="9" defaultRowHeight="14.25" outlineLevelCol="4"/>
  <cols>
    <col min="1" max="1" width="25.625" style="133" customWidth="1"/>
    <col min="2" max="2" width="10.375" style="133"/>
    <col min="3" max="3" width="9.375" style="133"/>
    <col min="4" max="4" width="10.375" style="133"/>
    <col min="5" max="5" width="9.375" style="133"/>
    <col min="6" max="195" width="9" style="133"/>
    <col min="196" max="16384" width="9" style="134"/>
  </cols>
  <sheetData>
    <row r="1" ht="28.5" customHeight="1" spans="1:5">
      <c r="A1" s="135" t="s">
        <v>421</v>
      </c>
      <c r="B1" s="135"/>
      <c r="C1" s="135"/>
      <c r="D1" s="135"/>
      <c r="E1" s="135"/>
    </row>
    <row r="2" ht="21" customHeight="1" spans="1:5">
      <c r="A2" s="136" t="s">
        <v>1</v>
      </c>
      <c r="B2" s="137" t="s">
        <v>3</v>
      </c>
      <c r="C2" s="138"/>
      <c r="D2" s="137" t="s">
        <v>5</v>
      </c>
      <c r="E2" s="138"/>
    </row>
    <row r="3" ht="21" customHeight="1" spans="1:5">
      <c r="A3" s="139"/>
      <c r="B3" s="140" t="s">
        <v>8</v>
      </c>
      <c r="C3" s="141" t="s">
        <v>9</v>
      </c>
      <c r="D3" s="140" t="s">
        <v>8</v>
      </c>
      <c r="E3" s="141" t="s">
        <v>9</v>
      </c>
    </row>
    <row r="4" ht="22.9" customHeight="1" spans="1:5">
      <c r="A4" s="142" t="s">
        <v>422</v>
      </c>
      <c r="B4" s="160"/>
      <c r="C4" s="161"/>
      <c r="D4" s="160"/>
      <c r="E4" s="161"/>
    </row>
    <row r="5" ht="22.9" customHeight="1" spans="1:5">
      <c r="A5" s="145" t="s">
        <v>423</v>
      </c>
      <c r="B5" s="146">
        <v>3712.557</v>
      </c>
      <c r="C5" s="150">
        <v>1.16042493100004</v>
      </c>
      <c r="D5" s="146">
        <v>830.542712273417</v>
      </c>
      <c r="E5" s="150">
        <v>1.10014461024812</v>
      </c>
    </row>
    <row r="6" ht="22.9" customHeight="1" spans="1:5">
      <c r="A6" s="148" t="s">
        <v>83</v>
      </c>
      <c r="B6" s="146">
        <v>362.482630547014</v>
      </c>
      <c r="C6" s="150">
        <v>1.15962006684605</v>
      </c>
      <c r="D6" s="146">
        <v>83.1454457171262</v>
      </c>
      <c r="E6" s="150">
        <v>3.50515018013284</v>
      </c>
    </row>
    <row r="7" ht="22.9" customHeight="1" spans="1:5">
      <c r="A7" s="148" t="s">
        <v>84</v>
      </c>
      <c r="B7" s="146">
        <v>429.104613704969</v>
      </c>
      <c r="C7" s="150">
        <v>-1.54988728138386</v>
      </c>
      <c r="D7" s="146">
        <v>104.803876316345</v>
      </c>
      <c r="E7" s="150">
        <v>-0.644320215821878</v>
      </c>
    </row>
    <row r="8" ht="22.9" customHeight="1" spans="1:5">
      <c r="A8" s="148" t="s">
        <v>85</v>
      </c>
      <c r="B8" s="146">
        <v>347.529918606235</v>
      </c>
      <c r="C8" s="150">
        <v>-2.02266651413707</v>
      </c>
      <c r="D8" s="146">
        <v>100.011161071928</v>
      </c>
      <c r="E8" s="150">
        <v>-7.15112169002332</v>
      </c>
    </row>
    <row r="9" ht="22.9" customHeight="1" spans="1:5">
      <c r="A9" s="148" t="s">
        <v>86</v>
      </c>
      <c r="B9" s="146">
        <v>206.570237895588</v>
      </c>
      <c r="C9" s="150">
        <v>1.57296506000961</v>
      </c>
      <c r="D9" s="146">
        <v>48.6923618020966</v>
      </c>
      <c r="E9" s="150">
        <v>4.82561277409775</v>
      </c>
    </row>
    <row r="10" ht="22.9" customHeight="1" spans="1:5">
      <c r="A10" s="148" t="s">
        <v>87</v>
      </c>
      <c r="B10" s="146">
        <v>298.197997246418</v>
      </c>
      <c r="C10" s="150">
        <v>-1.54290482189971</v>
      </c>
      <c r="D10" s="146">
        <v>65.7445413554831</v>
      </c>
      <c r="E10" s="150">
        <v>2.53446413033862</v>
      </c>
    </row>
    <row r="11" ht="22.9" customHeight="1" spans="1:5">
      <c r="A11" s="148" t="s">
        <v>88</v>
      </c>
      <c r="B11" s="146">
        <v>229.273693296103</v>
      </c>
      <c r="C11" s="150">
        <v>2.99693927503486</v>
      </c>
      <c r="D11" s="146">
        <v>55.5114387736297</v>
      </c>
      <c r="E11" s="150">
        <v>3.67627496719834</v>
      </c>
    </row>
    <row r="12" ht="22.9" customHeight="1" spans="1:5">
      <c r="A12" s="148" t="s">
        <v>89</v>
      </c>
      <c r="B12" s="146">
        <v>367.27825603831</v>
      </c>
      <c r="C12" s="150">
        <v>2.14443087788445</v>
      </c>
      <c r="D12" s="146">
        <v>80.1821966607665</v>
      </c>
      <c r="E12" s="150">
        <v>2.67884042393082</v>
      </c>
    </row>
    <row r="13" ht="22.9" customHeight="1" spans="1:5">
      <c r="A13" s="148" t="s">
        <v>90</v>
      </c>
      <c r="B13" s="146">
        <v>426.610214250289</v>
      </c>
      <c r="C13" s="150">
        <v>2.22966223727327</v>
      </c>
      <c r="D13" s="146">
        <v>88.1805247896061</v>
      </c>
      <c r="E13" s="150">
        <v>2.10176008064202</v>
      </c>
    </row>
    <row r="14" ht="22.9" customHeight="1" spans="1:5">
      <c r="A14" s="148" t="s">
        <v>91</v>
      </c>
      <c r="B14" s="146">
        <v>533.138598631913</v>
      </c>
      <c r="C14" s="150">
        <v>1.95625131096028</v>
      </c>
      <c r="D14" s="146">
        <v>105.184877652163</v>
      </c>
      <c r="E14" s="150">
        <v>4.57874755718595</v>
      </c>
    </row>
    <row r="15" ht="22.9" customHeight="1" spans="1:5">
      <c r="A15" s="148" t="s">
        <v>424</v>
      </c>
      <c r="B15" s="146">
        <v>791.98103026341</v>
      </c>
      <c r="C15" s="150">
        <v>1.72039926603651</v>
      </c>
      <c r="D15" s="146">
        <v>176.995313550381</v>
      </c>
      <c r="E15" s="150">
        <v>-4.55660353666745</v>
      </c>
    </row>
    <row r="16" ht="22.9" customHeight="1" spans="1:5">
      <c r="A16" s="148"/>
      <c r="B16" s="146"/>
      <c r="C16" s="147"/>
      <c r="D16" s="146"/>
      <c r="E16" s="147"/>
    </row>
    <row r="17" ht="22.9" customHeight="1" spans="1:5">
      <c r="A17" s="153" t="s">
        <v>425</v>
      </c>
      <c r="B17" s="146"/>
      <c r="C17" s="147"/>
      <c r="D17" s="146"/>
      <c r="E17" s="147"/>
    </row>
    <row r="18" ht="22.9" customHeight="1" spans="1:5">
      <c r="A18" s="145" t="s">
        <v>423</v>
      </c>
      <c r="B18" s="146">
        <v>682.784175017886</v>
      </c>
      <c r="C18" s="147">
        <v>4.54016323101408</v>
      </c>
      <c r="D18" s="146">
        <v>126.834951838828</v>
      </c>
      <c r="E18" s="147">
        <v>4.4714152909103</v>
      </c>
    </row>
    <row r="19" ht="22.9" customHeight="1" spans="1:5">
      <c r="A19" s="148" t="s">
        <v>83</v>
      </c>
      <c r="B19" s="162">
        <v>1.47442251221613</v>
      </c>
      <c r="C19" s="163">
        <v>31.6310571167785</v>
      </c>
      <c r="D19" s="162">
        <v>0.210874022927703</v>
      </c>
      <c r="E19" s="163">
        <v>-57.1126645735297</v>
      </c>
    </row>
    <row r="20" ht="22.9" customHeight="1" spans="1:5">
      <c r="A20" s="148" t="s">
        <v>84</v>
      </c>
      <c r="B20" s="146">
        <v>2.90334154337084</v>
      </c>
      <c r="C20" s="147">
        <v>-11.6050392840747</v>
      </c>
      <c r="D20" s="146">
        <v>0.546425777025653</v>
      </c>
      <c r="E20" s="147">
        <v>-3.38856959766061</v>
      </c>
    </row>
    <row r="21" ht="22.9" customHeight="1" spans="1:5">
      <c r="A21" s="148" t="s">
        <v>85</v>
      </c>
      <c r="B21" s="146">
        <v>24.1814315534365</v>
      </c>
      <c r="C21" s="147">
        <v>3.84389772617621</v>
      </c>
      <c r="D21" s="146">
        <v>4.33173240061015</v>
      </c>
      <c r="E21" s="147">
        <v>-0.0990504550470206</v>
      </c>
    </row>
    <row r="22" ht="22.9" customHeight="1" spans="1:5">
      <c r="A22" s="148" t="s">
        <v>86</v>
      </c>
      <c r="B22" s="146">
        <v>31.6948230866017</v>
      </c>
      <c r="C22" s="147">
        <v>10.7813715508156</v>
      </c>
      <c r="D22" s="146">
        <v>6.31949788843999</v>
      </c>
      <c r="E22" s="147">
        <v>11.0587892796079</v>
      </c>
    </row>
    <row r="23" ht="22.9" customHeight="1" spans="1:5">
      <c r="A23" s="148" t="s">
        <v>87</v>
      </c>
      <c r="B23" s="146">
        <v>37.8734831955031</v>
      </c>
      <c r="C23" s="147">
        <v>2.87821238209129</v>
      </c>
      <c r="D23" s="146">
        <v>6.68945630950189</v>
      </c>
      <c r="E23" s="147">
        <v>4.56148265080148</v>
      </c>
    </row>
    <row r="24" ht="22.9" customHeight="1" spans="1:5">
      <c r="A24" s="148" t="s">
        <v>88</v>
      </c>
      <c r="B24" s="146">
        <v>116.033813405221</v>
      </c>
      <c r="C24" s="147">
        <v>4.28363226861602</v>
      </c>
      <c r="D24" s="146">
        <v>27.5956546434263</v>
      </c>
      <c r="E24" s="147">
        <v>6.60841210105427</v>
      </c>
    </row>
    <row r="25" ht="22.9" customHeight="1" spans="1:5">
      <c r="A25" s="148" t="s">
        <v>89</v>
      </c>
      <c r="B25" s="146">
        <v>153.638420066513</v>
      </c>
      <c r="C25" s="147">
        <v>3.79549693862802</v>
      </c>
      <c r="D25" s="146">
        <v>32.7347009355601</v>
      </c>
      <c r="E25" s="147">
        <v>4.20605763923474</v>
      </c>
    </row>
    <row r="26" ht="22.9" customHeight="1" spans="1:5">
      <c r="A26" s="148" t="s">
        <v>90</v>
      </c>
      <c r="B26" s="146">
        <v>154.725178629414</v>
      </c>
      <c r="C26" s="147">
        <v>5.91980669198367</v>
      </c>
      <c r="D26" s="146">
        <v>23.1108650760632</v>
      </c>
      <c r="E26" s="147">
        <v>4.83196545706697</v>
      </c>
    </row>
    <row r="27" ht="22.9" customHeight="1" spans="1:5">
      <c r="A27" s="148" t="s">
        <v>91</v>
      </c>
      <c r="B27" s="146">
        <v>138.822170042286</v>
      </c>
      <c r="C27" s="147">
        <v>2.93138527392895</v>
      </c>
      <c r="D27" s="146">
        <v>21.6028044083686</v>
      </c>
      <c r="E27" s="147">
        <v>4.39264636163263</v>
      </c>
    </row>
    <row r="28" ht="22.9" customHeight="1" spans="1:5">
      <c r="A28" s="178" t="s">
        <v>424</v>
      </c>
      <c r="B28" s="176">
        <v>21.438199722289</v>
      </c>
      <c r="C28" s="177">
        <v>1.42380165396642</v>
      </c>
      <c r="D28" s="176">
        <v>3.68727114126097</v>
      </c>
      <c r="E28" s="177">
        <v>-3.01783873843658</v>
      </c>
    </row>
    <row r="29" ht="47.45" customHeight="1" spans="1:3">
      <c r="A29" s="173" t="s">
        <v>426</v>
      </c>
      <c r="B29" s="173"/>
      <c r="C29" s="173"/>
    </row>
  </sheetData>
  <mergeCells count="5">
    <mergeCell ref="A1:E1"/>
    <mergeCell ref="B2:C2"/>
    <mergeCell ref="D2:E2"/>
    <mergeCell ref="A29:C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L32"/>
  <sheetViews>
    <sheetView zoomScale="70" zoomScaleNormal="70" workbookViewId="0">
      <pane xSplit="2" ySplit="3" topLeftCell="C4" activePane="bottomRight" state="frozen"/>
      <selection/>
      <selection pane="topRight"/>
      <selection pane="bottomLeft"/>
      <selection pane="bottomRight" activeCell="Q20" sqref="Q20"/>
    </sheetView>
  </sheetViews>
  <sheetFormatPr defaultColWidth="9" defaultRowHeight="14.25"/>
  <cols>
    <col min="1" max="1" width="33.125" style="268" customWidth="1"/>
    <col min="2" max="2" width="9.625" style="268" customWidth="1"/>
    <col min="3" max="3" width="10.375" style="268"/>
    <col min="4" max="4" width="9.375" style="268"/>
    <col min="5" max="5" width="10.375" style="268"/>
    <col min="6" max="7" width="9.375" style="268"/>
    <col min="8" max="8" width="9" style="268"/>
    <col min="9" max="11" width="9.375" style="268"/>
    <col min="12" max="12" width="8.20833333333333" style="268" customWidth="1"/>
    <col min="13" max="16384" width="9" style="268"/>
  </cols>
  <sheetData>
    <row r="1" ht="24.95" customHeight="1" spans="1:12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="299" customFormat="1" ht="21" customHeight="1" spans="1:12">
      <c r="A2" s="136" t="s">
        <v>1</v>
      </c>
      <c r="B2" s="245" t="s">
        <v>2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  <c r="K2" s="137" t="s">
        <v>7</v>
      </c>
      <c r="L2" s="138"/>
    </row>
    <row r="3" s="299" customFormat="1" ht="21" customHeight="1" spans="1:12">
      <c r="A3" s="139"/>
      <c r="B3" s="246"/>
      <c r="C3" s="140" t="s">
        <v>8</v>
      </c>
      <c r="D3" s="141" t="s">
        <v>9</v>
      </c>
      <c r="E3" s="140" t="s">
        <v>8</v>
      </c>
      <c r="F3" s="141" t="s">
        <v>9</v>
      </c>
      <c r="G3" s="140" t="s">
        <v>8</v>
      </c>
      <c r="H3" s="141" t="s">
        <v>9</v>
      </c>
      <c r="I3" s="140" t="s">
        <v>8</v>
      </c>
      <c r="J3" s="141" t="s">
        <v>9</v>
      </c>
      <c r="K3" s="140" t="s">
        <v>8</v>
      </c>
      <c r="L3" s="141" t="s">
        <v>9</v>
      </c>
    </row>
    <row r="4" ht="18" customHeight="1" spans="1:12">
      <c r="A4" s="346" t="s">
        <v>10</v>
      </c>
      <c r="B4" s="347" t="s">
        <v>11</v>
      </c>
      <c r="C4" s="348">
        <v>3712.557</v>
      </c>
      <c r="D4" s="349">
        <v>1.16042493100004</v>
      </c>
      <c r="E4" s="350" t="s">
        <v>12</v>
      </c>
      <c r="F4" s="351" t="s">
        <v>12</v>
      </c>
      <c r="G4" s="348">
        <v>830.542712273417</v>
      </c>
      <c r="H4" s="349">
        <v>1.10014461024812</v>
      </c>
      <c r="I4" s="350" t="s">
        <v>12</v>
      </c>
      <c r="J4" s="351" t="s">
        <v>12</v>
      </c>
      <c r="K4" s="350" t="s">
        <v>12</v>
      </c>
      <c r="L4" s="351" t="s">
        <v>12</v>
      </c>
    </row>
    <row r="5" ht="18" customHeight="1" spans="1:12">
      <c r="A5" s="249" t="s">
        <v>13</v>
      </c>
      <c r="B5" s="250" t="s">
        <v>11</v>
      </c>
      <c r="C5" s="352">
        <v>682.784175017886</v>
      </c>
      <c r="D5" s="353">
        <v>4.54016323101408</v>
      </c>
      <c r="E5" s="354" t="s">
        <v>12</v>
      </c>
      <c r="F5" s="355" t="s">
        <v>12</v>
      </c>
      <c r="G5" s="352">
        <v>126.834951838828</v>
      </c>
      <c r="H5" s="353">
        <v>4.4714152909103</v>
      </c>
      <c r="I5" s="354" t="s">
        <v>12</v>
      </c>
      <c r="J5" s="355" t="s">
        <v>12</v>
      </c>
      <c r="K5" s="354" t="s">
        <v>12</v>
      </c>
      <c r="L5" s="355" t="s">
        <v>12</v>
      </c>
    </row>
    <row r="6" ht="18" customHeight="1" spans="1:12">
      <c r="A6" s="249" t="s">
        <v>14</v>
      </c>
      <c r="B6" s="250" t="s">
        <v>11</v>
      </c>
      <c r="C6" s="352">
        <v>1457.77349125215</v>
      </c>
      <c r="D6" s="147">
        <v>-0.885749288353793</v>
      </c>
      <c r="E6" s="354" t="s">
        <v>12</v>
      </c>
      <c r="F6" s="144" t="s">
        <v>12</v>
      </c>
      <c r="G6" s="352">
        <v>330.538769863375</v>
      </c>
      <c r="H6" s="147">
        <v>-4.78506140784559</v>
      </c>
      <c r="I6" s="354" t="s">
        <v>12</v>
      </c>
      <c r="J6" s="144" t="s">
        <v>12</v>
      </c>
      <c r="K6" s="354" t="s">
        <v>12</v>
      </c>
      <c r="L6" s="144" t="s">
        <v>12</v>
      </c>
    </row>
    <row r="7" ht="18" customHeight="1" spans="1:12">
      <c r="A7" s="249" t="s">
        <v>15</v>
      </c>
      <c r="B7" s="250" t="s">
        <v>11</v>
      </c>
      <c r="C7" s="146">
        <v>245.562328195053</v>
      </c>
      <c r="D7" s="147">
        <v>-6.87528862260642</v>
      </c>
      <c r="E7" s="143" t="s">
        <v>12</v>
      </c>
      <c r="F7" s="144" t="s">
        <v>12</v>
      </c>
      <c r="G7" s="146">
        <v>35.3195556287284</v>
      </c>
      <c r="H7" s="147">
        <v>8.31718362315613</v>
      </c>
      <c r="I7" s="143" t="s">
        <v>12</v>
      </c>
      <c r="J7" s="144" t="s">
        <v>12</v>
      </c>
      <c r="K7" s="143" t="s">
        <v>12</v>
      </c>
      <c r="L7" s="144" t="s">
        <v>12</v>
      </c>
    </row>
    <row r="8" ht="18" customHeight="1" spans="1:12">
      <c r="A8" s="249" t="s">
        <v>16</v>
      </c>
      <c r="B8" s="250" t="s">
        <v>11</v>
      </c>
      <c r="C8" s="352">
        <v>1571.99933372996</v>
      </c>
      <c r="D8" s="353">
        <v>1.38975122544839</v>
      </c>
      <c r="E8" s="354" t="s">
        <v>12</v>
      </c>
      <c r="F8" s="355" t="s">
        <v>12</v>
      </c>
      <c r="G8" s="352">
        <v>373.168990571214</v>
      </c>
      <c r="H8" s="353">
        <v>5.10852449436301</v>
      </c>
      <c r="I8" s="354" t="s">
        <v>12</v>
      </c>
      <c r="J8" s="355" t="s">
        <v>12</v>
      </c>
      <c r="K8" s="354" t="s">
        <v>12</v>
      </c>
      <c r="L8" s="355" t="s">
        <v>12</v>
      </c>
    </row>
    <row r="9" ht="18" customHeight="1" spans="1:12">
      <c r="A9" s="280" t="s">
        <v>17</v>
      </c>
      <c r="B9" s="250" t="s">
        <v>11</v>
      </c>
      <c r="C9" s="352">
        <v>143.503604429316</v>
      </c>
      <c r="D9" s="147">
        <v>-4.87887739853082</v>
      </c>
      <c r="E9" s="354" t="s">
        <v>12</v>
      </c>
      <c r="F9" s="144" t="s">
        <v>12</v>
      </c>
      <c r="G9" s="352">
        <v>28.3640239415753</v>
      </c>
      <c r="H9" s="147">
        <v>-4.69932255712348</v>
      </c>
      <c r="I9" s="354" t="s">
        <v>12</v>
      </c>
      <c r="J9" s="144" t="s">
        <v>12</v>
      </c>
      <c r="K9" s="354" t="s">
        <v>12</v>
      </c>
      <c r="L9" s="144" t="s">
        <v>12</v>
      </c>
    </row>
    <row r="10" ht="18" customHeight="1" spans="1:12">
      <c r="A10" s="249" t="s">
        <v>18</v>
      </c>
      <c r="B10" s="250" t="s">
        <v>11</v>
      </c>
      <c r="C10" s="352">
        <v>290.5239378137</v>
      </c>
      <c r="D10" s="353">
        <v>0.222894073220715</v>
      </c>
      <c r="E10" s="354" t="s">
        <v>12</v>
      </c>
      <c r="F10" s="355" t="s">
        <v>12</v>
      </c>
      <c r="G10" s="352">
        <v>59.7667757811233</v>
      </c>
      <c r="H10" s="353">
        <v>5.41960446756759</v>
      </c>
      <c r="I10" s="354" t="s">
        <v>12</v>
      </c>
      <c r="J10" s="355" t="s">
        <v>12</v>
      </c>
      <c r="K10" s="354" t="s">
        <v>12</v>
      </c>
      <c r="L10" s="355" t="s">
        <v>12</v>
      </c>
    </row>
    <row r="11" ht="18" customHeight="1" spans="1:12">
      <c r="A11" s="249" t="s">
        <v>19</v>
      </c>
      <c r="B11" s="250" t="s">
        <v>11</v>
      </c>
      <c r="C11" s="352">
        <v>50.6680382563463</v>
      </c>
      <c r="D11" s="147">
        <v>-5.57772446349669</v>
      </c>
      <c r="E11" s="354" t="s">
        <v>12</v>
      </c>
      <c r="F11" s="144" t="s">
        <v>12</v>
      </c>
      <c r="G11" s="352">
        <v>10.5902887373676</v>
      </c>
      <c r="H11" s="147">
        <v>10.3901116427339</v>
      </c>
      <c r="I11" s="354" t="s">
        <v>12</v>
      </c>
      <c r="J11" s="144" t="s">
        <v>12</v>
      </c>
      <c r="K11" s="354" t="s">
        <v>12</v>
      </c>
      <c r="L11" s="144" t="s">
        <v>12</v>
      </c>
    </row>
    <row r="12" ht="18" customHeight="1" spans="1:12">
      <c r="A12" s="249" t="s">
        <v>20</v>
      </c>
      <c r="B12" s="250" t="s">
        <v>11</v>
      </c>
      <c r="C12" s="352">
        <v>191.406328794399</v>
      </c>
      <c r="D12" s="353">
        <v>6.90272497531974</v>
      </c>
      <c r="E12" s="354" t="s">
        <v>12</v>
      </c>
      <c r="F12" s="355" t="s">
        <v>12</v>
      </c>
      <c r="G12" s="352">
        <v>50.5990499034819</v>
      </c>
      <c r="H12" s="353">
        <v>7.05244695359322</v>
      </c>
      <c r="I12" s="354" t="s">
        <v>12</v>
      </c>
      <c r="J12" s="355" t="s">
        <v>12</v>
      </c>
      <c r="K12" s="354" t="s">
        <v>12</v>
      </c>
      <c r="L12" s="355" t="s">
        <v>12</v>
      </c>
    </row>
    <row r="13" ht="18" customHeight="1" spans="1:12">
      <c r="A13" s="249" t="s">
        <v>21</v>
      </c>
      <c r="B13" s="250" t="s">
        <v>11</v>
      </c>
      <c r="C13" s="352">
        <v>240.51632259233</v>
      </c>
      <c r="D13" s="147">
        <v>-1.16871578538063</v>
      </c>
      <c r="E13" s="354" t="s">
        <v>12</v>
      </c>
      <c r="F13" s="144" t="s">
        <v>12</v>
      </c>
      <c r="G13" s="352">
        <v>59.5456178308384</v>
      </c>
      <c r="H13" s="147">
        <v>10.1304862016338</v>
      </c>
      <c r="I13" s="354" t="s">
        <v>12</v>
      </c>
      <c r="J13" s="144" t="s">
        <v>12</v>
      </c>
      <c r="K13" s="354" t="s">
        <v>12</v>
      </c>
      <c r="L13" s="144" t="s">
        <v>12</v>
      </c>
    </row>
    <row r="14" ht="18" customHeight="1" spans="1:12">
      <c r="A14" s="249" t="s">
        <v>22</v>
      </c>
      <c r="B14" s="250" t="s">
        <v>11</v>
      </c>
      <c r="C14" s="352">
        <v>624.46233382788</v>
      </c>
      <c r="D14" s="353">
        <v>3.06922444213788</v>
      </c>
      <c r="E14" s="354" t="s">
        <v>12</v>
      </c>
      <c r="F14" s="355" t="s">
        <v>12</v>
      </c>
      <c r="G14" s="352">
        <v>157.493604971386</v>
      </c>
      <c r="H14" s="353">
        <v>3.8555151838207</v>
      </c>
      <c r="I14" s="354" t="s">
        <v>12</v>
      </c>
      <c r="J14" s="355" t="s">
        <v>12</v>
      </c>
      <c r="K14" s="354" t="s">
        <v>12</v>
      </c>
      <c r="L14" s="355" t="s">
        <v>12</v>
      </c>
    </row>
    <row r="15" ht="18" customHeight="1" spans="1:12">
      <c r="A15" s="249" t="s">
        <v>23</v>
      </c>
      <c r="B15" s="250" t="s">
        <v>24</v>
      </c>
      <c r="C15" s="356" t="s">
        <v>25</v>
      </c>
      <c r="D15" s="357"/>
      <c r="E15" s="356" t="s">
        <v>12</v>
      </c>
      <c r="F15" s="357"/>
      <c r="G15" s="356" t="s">
        <v>26</v>
      </c>
      <c r="H15" s="357"/>
      <c r="I15" s="356" t="s">
        <v>12</v>
      </c>
      <c r="J15" s="357"/>
      <c r="K15" s="356" t="s">
        <v>12</v>
      </c>
      <c r="L15" s="357"/>
    </row>
    <row r="16" ht="18" customHeight="1" spans="1:12">
      <c r="A16" s="249" t="s">
        <v>27</v>
      </c>
      <c r="B16" s="250" t="s">
        <v>11</v>
      </c>
      <c r="C16" s="146">
        <v>1006.7434956825</v>
      </c>
      <c r="D16" s="147">
        <v>-1.7</v>
      </c>
      <c r="E16" s="146">
        <v>150.34</v>
      </c>
      <c r="F16" s="147">
        <v>-8</v>
      </c>
      <c r="G16" s="146">
        <v>232.21</v>
      </c>
      <c r="H16" s="147">
        <v>-9.1</v>
      </c>
      <c r="I16" s="146">
        <v>313.98</v>
      </c>
      <c r="J16" s="147">
        <v>-6</v>
      </c>
      <c r="K16" s="146">
        <v>394.713608604548</v>
      </c>
      <c r="L16" s="147">
        <v>-4.5</v>
      </c>
    </row>
    <row r="17" ht="18" customHeight="1" spans="1:12">
      <c r="A17" s="249" t="s">
        <v>28</v>
      </c>
      <c r="B17" s="250" t="s">
        <v>11</v>
      </c>
      <c r="C17" s="146">
        <v>140.2526</v>
      </c>
      <c r="D17" s="147">
        <v>-1.20800800800801</v>
      </c>
      <c r="E17" s="146">
        <v>23.3246418749766</v>
      </c>
      <c r="F17" s="147">
        <v>6.84750001198312</v>
      </c>
      <c r="G17" s="146">
        <v>36.54</v>
      </c>
      <c r="H17" s="147">
        <v>5.31428573414129</v>
      </c>
      <c r="I17" s="146">
        <v>47.54</v>
      </c>
      <c r="J17" s="147">
        <v>3.8</v>
      </c>
      <c r="K17" s="146">
        <v>58.8818595836197</v>
      </c>
      <c r="L17" s="147">
        <v>1.9</v>
      </c>
    </row>
    <row r="18" ht="18" customHeight="1" spans="1:12">
      <c r="A18" s="249" t="s">
        <v>29</v>
      </c>
      <c r="B18" s="250" t="s">
        <v>11</v>
      </c>
      <c r="C18" s="146">
        <v>866.4909</v>
      </c>
      <c r="D18" s="147">
        <v>-1.7983983983984</v>
      </c>
      <c r="E18" s="146">
        <v>127.019588301424</v>
      </c>
      <c r="F18" s="147">
        <v>-10.409638536</v>
      </c>
      <c r="G18" s="146">
        <v>195.67</v>
      </c>
      <c r="H18" s="147">
        <v>-11.350537592</v>
      </c>
      <c r="I18" s="146">
        <v>266.44</v>
      </c>
      <c r="J18" s="147">
        <v>-7.5</v>
      </c>
      <c r="K18" s="146">
        <v>335.831749020928</v>
      </c>
      <c r="L18" s="147">
        <v>-5.5</v>
      </c>
    </row>
    <row r="19" ht="18" customHeight="1" spans="1:12">
      <c r="A19" s="249" t="s">
        <v>30</v>
      </c>
      <c r="B19" s="250" t="s">
        <v>11</v>
      </c>
      <c r="C19" s="146">
        <v>630.403357330475</v>
      </c>
      <c r="D19" s="147">
        <v>-9.67027027027028</v>
      </c>
      <c r="E19" s="146">
        <v>92.592493219132</v>
      </c>
      <c r="F19" s="147">
        <v>-11.1</v>
      </c>
      <c r="G19" s="146">
        <v>141.514291439154</v>
      </c>
      <c r="H19" s="147">
        <v>-12.329032212</v>
      </c>
      <c r="I19" s="146">
        <v>190.34</v>
      </c>
      <c r="J19" s="147">
        <v>-7.6</v>
      </c>
      <c r="K19" s="146">
        <v>238.033356796161</v>
      </c>
      <c r="L19" s="147">
        <v>-5.7</v>
      </c>
    </row>
    <row r="20" ht="18" customHeight="1" spans="1:12">
      <c r="A20" s="273" t="s">
        <v>31</v>
      </c>
      <c r="B20" s="274" t="s">
        <v>11</v>
      </c>
      <c r="C20" s="146">
        <v>617.846885226217</v>
      </c>
      <c r="D20" s="147">
        <v>3.8103103103103</v>
      </c>
      <c r="E20" s="146">
        <v>91.8081633621888</v>
      </c>
      <c r="F20" s="147">
        <v>-5.1</v>
      </c>
      <c r="G20" s="146">
        <v>142.010570248383</v>
      </c>
      <c r="H20" s="147">
        <v>-6.555913954</v>
      </c>
      <c r="I20" s="146">
        <v>193.52</v>
      </c>
      <c r="J20" s="147">
        <v>-4.3</v>
      </c>
      <c r="K20" s="146">
        <v>244.133826820534</v>
      </c>
      <c r="L20" s="147">
        <v>-2.8</v>
      </c>
    </row>
    <row r="21" ht="18" customHeight="1" spans="1:12">
      <c r="A21" s="273" t="s">
        <v>32</v>
      </c>
      <c r="B21" s="274" t="s">
        <v>11</v>
      </c>
      <c r="C21" s="146">
        <v>231.232793490552</v>
      </c>
      <c r="D21" s="147">
        <v>-14.3933933933934</v>
      </c>
      <c r="E21" s="146">
        <v>35.58</v>
      </c>
      <c r="F21" s="147">
        <v>-13.783132506</v>
      </c>
      <c r="G21" s="146">
        <v>53.87</v>
      </c>
      <c r="H21" s="147">
        <v>-16.3</v>
      </c>
      <c r="I21" s="146">
        <v>70.85</v>
      </c>
      <c r="J21" s="147">
        <v>-10.3</v>
      </c>
      <c r="K21" s="146">
        <v>86.9</v>
      </c>
      <c r="L21" s="147">
        <v>-9</v>
      </c>
    </row>
    <row r="22" ht="18" customHeight="1" spans="1:12">
      <c r="A22" s="273" t="s">
        <v>33</v>
      </c>
      <c r="B22" s="274" t="s">
        <v>11</v>
      </c>
      <c r="C22" s="146">
        <v>351.241370732106</v>
      </c>
      <c r="D22" s="147">
        <v>-10.5558558558559</v>
      </c>
      <c r="E22" s="146">
        <v>50.5976958868257</v>
      </c>
      <c r="F22" s="147">
        <v>-13.397590338</v>
      </c>
      <c r="G22" s="146">
        <v>77.34</v>
      </c>
      <c r="H22" s="147">
        <v>-14.3</v>
      </c>
      <c r="I22" s="146">
        <v>106.31</v>
      </c>
      <c r="J22" s="147">
        <v>-9.7</v>
      </c>
      <c r="K22" s="146">
        <v>135.199410615821</v>
      </c>
      <c r="L22" s="147">
        <v>-5.1</v>
      </c>
    </row>
    <row r="23" ht="18" customHeight="1" spans="1:12">
      <c r="A23" s="273" t="s">
        <v>34</v>
      </c>
      <c r="B23" s="274" t="s">
        <v>11</v>
      </c>
      <c r="C23" s="146">
        <v>131.07558888906</v>
      </c>
      <c r="D23" s="147">
        <v>28.1147147147147</v>
      </c>
      <c r="E23" s="146">
        <v>19.4325484701344</v>
      </c>
      <c r="F23" s="147">
        <v>-5.590361436</v>
      </c>
      <c r="G23" s="146">
        <v>29.74</v>
      </c>
      <c r="H23" s="147">
        <v>-9</v>
      </c>
      <c r="I23" s="146">
        <v>41.09</v>
      </c>
      <c r="J23" s="147">
        <v>-8.3</v>
      </c>
      <c r="K23" s="146">
        <v>52.2356728548496</v>
      </c>
      <c r="L23" s="147">
        <v>-7.7</v>
      </c>
    </row>
    <row r="24" ht="18" customHeight="1" spans="1:12">
      <c r="A24" s="273" t="s">
        <v>35</v>
      </c>
      <c r="B24" s="274" t="s">
        <v>11</v>
      </c>
      <c r="C24" s="146">
        <v>35.3402856803128</v>
      </c>
      <c r="D24" s="147">
        <v>8.63183183183183</v>
      </c>
      <c r="E24" s="146">
        <v>4.8910819491917</v>
      </c>
      <c r="F24" s="147">
        <v>-9.927710826</v>
      </c>
      <c r="G24" s="146">
        <v>8.15</v>
      </c>
      <c r="H24" s="147">
        <v>0.3</v>
      </c>
      <c r="I24" s="146">
        <v>11.41</v>
      </c>
      <c r="J24" s="147">
        <v>8.2</v>
      </c>
      <c r="K24" s="146">
        <v>14.5158350697181</v>
      </c>
      <c r="L24" s="147">
        <v>6.2</v>
      </c>
    </row>
    <row r="25" ht="18" customHeight="1" spans="1:12">
      <c r="A25" s="273" t="s">
        <v>36</v>
      </c>
      <c r="B25" s="274" t="s">
        <v>11</v>
      </c>
      <c r="C25" s="146">
        <v>277.79</v>
      </c>
      <c r="D25" s="147">
        <v>24.2</v>
      </c>
      <c r="E25" s="146">
        <v>33.91</v>
      </c>
      <c r="F25" s="147">
        <v>13.9</v>
      </c>
      <c r="G25" s="146">
        <v>55.01</v>
      </c>
      <c r="H25" s="147">
        <v>14.2</v>
      </c>
      <c r="I25" s="146">
        <v>77.1</v>
      </c>
      <c r="J25" s="147">
        <v>6.8</v>
      </c>
      <c r="K25" s="146">
        <v>100.7306</v>
      </c>
      <c r="L25" s="147">
        <v>0.5</v>
      </c>
    </row>
    <row r="26" ht="18" customHeight="1" spans="1:12">
      <c r="A26" s="358" t="s">
        <v>37</v>
      </c>
      <c r="B26" s="359" t="s">
        <v>11</v>
      </c>
      <c r="C26" s="360"/>
      <c r="D26" s="361">
        <v>-9.6</v>
      </c>
      <c r="E26" s="360"/>
      <c r="F26" s="361">
        <v>-9.2</v>
      </c>
      <c r="G26" s="360"/>
      <c r="H26" s="361">
        <v>4.6</v>
      </c>
      <c r="I26" s="360"/>
      <c r="J26" s="361">
        <v>0.1</v>
      </c>
      <c r="K26" s="360"/>
      <c r="L26" s="361">
        <v>4.4</v>
      </c>
    </row>
    <row r="27" ht="18" customHeight="1" spans="1:12">
      <c r="A27" s="358" t="s">
        <v>38</v>
      </c>
      <c r="B27" s="359" t="s">
        <v>11</v>
      </c>
      <c r="C27" s="360"/>
      <c r="D27" s="361">
        <v>2</v>
      </c>
      <c r="E27" s="360"/>
      <c r="F27" s="361">
        <v>-9</v>
      </c>
      <c r="G27" s="360"/>
      <c r="H27" s="361">
        <v>7.7</v>
      </c>
      <c r="I27" s="360"/>
      <c r="J27" s="361">
        <v>3</v>
      </c>
      <c r="K27" s="360"/>
      <c r="L27" s="361">
        <v>9.5</v>
      </c>
    </row>
    <row r="28" ht="18" customHeight="1" spans="1:12">
      <c r="A28" s="358" t="s">
        <v>39</v>
      </c>
      <c r="B28" s="359" t="s">
        <v>11</v>
      </c>
      <c r="C28" s="360"/>
      <c r="D28" s="361">
        <v>-31.1</v>
      </c>
      <c r="E28" s="360"/>
      <c r="F28" s="361">
        <v>-9.7</v>
      </c>
      <c r="G28" s="360"/>
      <c r="H28" s="361">
        <v>-1.1</v>
      </c>
      <c r="I28" s="360"/>
      <c r="J28" s="361">
        <v>-5.9</v>
      </c>
      <c r="K28" s="360"/>
      <c r="L28" s="361">
        <v>-6.3</v>
      </c>
    </row>
    <row r="29" ht="18" customHeight="1" spans="1:12">
      <c r="A29" s="358" t="s">
        <v>13</v>
      </c>
      <c r="B29" s="359" t="s">
        <v>11</v>
      </c>
      <c r="C29" s="360"/>
      <c r="D29" s="361">
        <v>-48</v>
      </c>
      <c r="E29" s="360"/>
      <c r="F29" s="361">
        <v>10.7</v>
      </c>
      <c r="G29" s="360"/>
      <c r="H29" s="361">
        <v>-5.3</v>
      </c>
      <c r="I29" s="360"/>
      <c r="J29" s="361">
        <v>-11.6</v>
      </c>
      <c r="K29" s="360"/>
      <c r="L29" s="361">
        <v>5.4</v>
      </c>
    </row>
    <row r="30" ht="18" customHeight="1" spans="1:12">
      <c r="A30" s="358" t="s">
        <v>14</v>
      </c>
      <c r="B30" s="359" t="s">
        <v>11</v>
      </c>
      <c r="C30" s="360"/>
      <c r="D30" s="361">
        <v>-7.5</v>
      </c>
      <c r="E30" s="360"/>
      <c r="F30" s="361">
        <v>30.4</v>
      </c>
      <c r="G30" s="360"/>
      <c r="H30" s="361">
        <v>31.7</v>
      </c>
      <c r="I30" s="360"/>
      <c r="J30" s="361">
        <v>42</v>
      </c>
      <c r="K30" s="360"/>
      <c r="L30" s="361">
        <v>52.6</v>
      </c>
    </row>
    <row r="31" ht="18" customHeight="1" spans="1:12">
      <c r="A31" s="362" t="s">
        <v>16</v>
      </c>
      <c r="B31" s="363" t="s">
        <v>11</v>
      </c>
      <c r="C31" s="364"/>
      <c r="D31" s="365">
        <v>-9</v>
      </c>
      <c r="E31" s="364"/>
      <c r="F31" s="365">
        <v>-22.9</v>
      </c>
      <c r="G31" s="364"/>
      <c r="H31" s="365">
        <v>-6.4</v>
      </c>
      <c r="I31" s="364"/>
      <c r="J31" s="365">
        <v>-15.5</v>
      </c>
      <c r="K31" s="364"/>
      <c r="L31" s="365">
        <v>-14.5</v>
      </c>
    </row>
    <row r="32" ht="64" customHeight="1" spans="1:8">
      <c r="A32" s="285" t="s">
        <v>40</v>
      </c>
      <c r="B32" s="285"/>
      <c r="C32" s="285"/>
      <c r="D32" s="285"/>
      <c r="E32" s="285"/>
      <c r="F32" s="285"/>
      <c r="G32" s="285"/>
      <c r="H32" s="285"/>
    </row>
  </sheetData>
  <mergeCells count="14">
    <mergeCell ref="A1:L1"/>
    <mergeCell ref="C2:D2"/>
    <mergeCell ref="E2:F2"/>
    <mergeCell ref="G2:H2"/>
    <mergeCell ref="I2:J2"/>
    <mergeCell ref="K2:L2"/>
    <mergeCell ref="C15:D15"/>
    <mergeCell ref="E15:F15"/>
    <mergeCell ref="G15:H15"/>
    <mergeCell ref="I15:J15"/>
    <mergeCell ref="K15:L15"/>
    <mergeCell ref="A32:H3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Y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A1" sqref="A1:E1"/>
    </sheetView>
  </sheetViews>
  <sheetFormatPr defaultColWidth="9" defaultRowHeight="14.25"/>
  <cols>
    <col min="1" max="1" width="25.625" style="168" customWidth="1"/>
    <col min="2" max="2" width="10.375" style="168"/>
    <col min="3" max="3" width="9.375" style="168"/>
    <col min="4" max="181" width="9" style="168"/>
    <col min="182" max="210" width="9" style="167"/>
    <col min="211" max="16384" width="9" style="159"/>
  </cols>
  <sheetData>
    <row r="1" s="167" customFormat="1" ht="35" customHeight="1" spans="1:181">
      <c r="A1" s="135" t="s">
        <v>427</v>
      </c>
      <c r="B1" s="135"/>
      <c r="C1" s="135"/>
      <c r="D1" s="135"/>
      <c r="E1" s="135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168"/>
      <c r="CE1" s="168"/>
      <c r="CF1" s="168"/>
      <c r="CG1" s="168"/>
      <c r="CH1" s="168"/>
      <c r="CI1" s="168"/>
      <c r="CJ1" s="168"/>
      <c r="CK1" s="168"/>
      <c r="CL1" s="168"/>
      <c r="CM1" s="168"/>
      <c r="CN1" s="168"/>
      <c r="CO1" s="168"/>
      <c r="CP1" s="168"/>
      <c r="CQ1" s="168"/>
      <c r="CR1" s="168"/>
      <c r="CS1" s="168"/>
      <c r="CT1" s="168"/>
      <c r="CU1" s="168"/>
      <c r="CV1" s="168"/>
      <c r="CW1" s="168"/>
      <c r="CX1" s="168"/>
      <c r="CY1" s="168"/>
      <c r="CZ1" s="168"/>
      <c r="DA1" s="168"/>
      <c r="DB1" s="168"/>
      <c r="DC1" s="168"/>
      <c r="DD1" s="168"/>
      <c r="DE1" s="168"/>
      <c r="DF1" s="168"/>
      <c r="DG1" s="168"/>
      <c r="DH1" s="168"/>
      <c r="DI1" s="168"/>
      <c r="DJ1" s="168"/>
      <c r="DK1" s="168"/>
      <c r="DL1" s="168"/>
      <c r="DM1" s="168"/>
      <c r="DN1" s="168"/>
      <c r="DO1" s="168"/>
      <c r="DP1" s="168"/>
      <c r="DQ1" s="168"/>
      <c r="DR1" s="168"/>
      <c r="DS1" s="168"/>
      <c r="DT1" s="168"/>
      <c r="DU1" s="168"/>
      <c r="DV1" s="168"/>
      <c r="DW1" s="168"/>
      <c r="DX1" s="168"/>
      <c r="DY1" s="168"/>
      <c r="DZ1" s="168"/>
      <c r="EA1" s="168"/>
      <c r="EB1" s="168"/>
      <c r="EC1" s="168"/>
      <c r="ED1" s="168"/>
      <c r="EE1" s="168"/>
      <c r="EF1" s="168"/>
      <c r="EG1" s="168"/>
      <c r="EH1" s="168"/>
      <c r="EI1" s="168"/>
      <c r="EJ1" s="168"/>
      <c r="EK1" s="168"/>
      <c r="EL1" s="168"/>
      <c r="EM1" s="168"/>
      <c r="EN1" s="168"/>
      <c r="EO1" s="168"/>
      <c r="EP1" s="168"/>
      <c r="EQ1" s="168"/>
      <c r="ER1" s="168"/>
      <c r="ES1" s="168"/>
      <c r="ET1" s="168"/>
      <c r="EU1" s="168"/>
      <c r="EV1" s="168"/>
      <c r="EW1" s="168"/>
      <c r="EX1" s="168"/>
      <c r="EY1" s="168"/>
      <c r="EZ1" s="168"/>
      <c r="FA1" s="168"/>
      <c r="FB1" s="168"/>
      <c r="FC1" s="168"/>
      <c r="FD1" s="168"/>
      <c r="FE1" s="168"/>
      <c r="FF1" s="168"/>
      <c r="FG1" s="168"/>
      <c r="FH1" s="168"/>
      <c r="FI1" s="168"/>
      <c r="FJ1" s="168"/>
      <c r="FK1" s="168"/>
      <c r="FL1" s="168"/>
      <c r="FM1" s="168"/>
      <c r="FN1" s="168"/>
      <c r="FO1" s="168"/>
      <c r="FP1" s="168"/>
      <c r="FQ1" s="168"/>
      <c r="FR1" s="168"/>
      <c r="FS1" s="168"/>
      <c r="FT1" s="168"/>
      <c r="FU1" s="168"/>
      <c r="FV1" s="168"/>
      <c r="FW1" s="168"/>
      <c r="FX1" s="168"/>
      <c r="FY1" s="168"/>
    </row>
    <row r="2" ht="21" customHeight="1" spans="1:5">
      <c r="A2" s="136" t="s">
        <v>1</v>
      </c>
      <c r="B2" s="137" t="s">
        <v>3</v>
      </c>
      <c r="C2" s="138"/>
      <c r="D2" s="137" t="s">
        <v>5</v>
      </c>
      <c r="E2" s="138"/>
    </row>
    <row r="3" ht="29" customHeight="1" spans="1:5">
      <c r="A3" s="139"/>
      <c r="B3" s="140" t="s">
        <v>8</v>
      </c>
      <c r="C3" s="141" t="s">
        <v>9</v>
      </c>
      <c r="D3" s="140" t="s">
        <v>8</v>
      </c>
      <c r="E3" s="141" t="s">
        <v>9</v>
      </c>
    </row>
    <row r="4" s="167" customFormat="1" ht="33" customHeight="1" spans="1:181">
      <c r="A4" s="142" t="s">
        <v>428</v>
      </c>
      <c r="B4" s="169"/>
      <c r="C4" s="170"/>
      <c r="D4" s="160"/>
      <c r="E4" s="161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8"/>
      <c r="BD4" s="168"/>
      <c r="BE4" s="168"/>
      <c r="BF4" s="168"/>
      <c r="BG4" s="168"/>
      <c r="BH4" s="168"/>
      <c r="BI4" s="168"/>
      <c r="BJ4" s="168"/>
      <c r="BK4" s="168"/>
      <c r="BL4" s="168"/>
      <c r="BM4" s="168"/>
      <c r="BN4" s="168"/>
      <c r="BO4" s="168"/>
      <c r="BP4" s="168"/>
      <c r="BQ4" s="168"/>
      <c r="BR4" s="168"/>
      <c r="BS4" s="168"/>
      <c r="BT4" s="168"/>
      <c r="BU4" s="168"/>
      <c r="BV4" s="168"/>
      <c r="BW4" s="168"/>
      <c r="BX4" s="168"/>
      <c r="BY4" s="168"/>
      <c r="BZ4" s="168"/>
      <c r="CA4" s="168"/>
      <c r="CB4" s="168"/>
      <c r="CC4" s="168"/>
      <c r="CD4" s="168"/>
      <c r="CE4" s="168"/>
      <c r="CF4" s="168"/>
      <c r="CG4" s="168"/>
      <c r="CH4" s="168"/>
      <c r="CI4" s="168"/>
      <c r="CJ4" s="168"/>
      <c r="CK4" s="168"/>
      <c r="CL4" s="168"/>
      <c r="CM4" s="168"/>
      <c r="CN4" s="168"/>
      <c r="CO4" s="168"/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8"/>
      <c r="DN4" s="168"/>
      <c r="DO4" s="168"/>
      <c r="DP4" s="168"/>
      <c r="DQ4" s="168"/>
      <c r="DR4" s="168"/>
      <c r="DS4" s="168"/>
      <c r="DT4" s="168"/>
      <c r="DU4" s="168"/>
      <c r="DV4" s="168"/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  <c r="EH4" s="168"/>
      <c r="EI4" s="168"/>
      <c r="EJ4" s="168"/>
      <c r="EK4" s="168"/>
      <c r="EL4" s="168"/>
      <c r="EM4" s="168"/>
      <c r="EN4" s="168"/>
      <c r="EO4" s="168"/>
      <c r="EP4" s="168"/>
      <c r="EQ4" s="168"/>
      <c r="ER4" s="168"/>
      <c r="ES4" s="168"/>
      <c r="ET4" s="168"/>
      <c r="EU4" s="168"/>
      <c r="EV4" s="168"/>
      <c r="EW4" s="168"/>
      <c r="EX4" s="168"/>
      <c r="EY4" s="168"/>
      <c r="EZ4" s="168"/>
      <c r="FA4" s="168"/>
      <c r="FB4" s="168"/>
      <c r="FC4" s="168"/>
      <c r="FD4" s="168"/>
      <c r="FE4" s="168"/>
      <c r="FF4" s="168"/>
      <c r="FG4" s="168"/>
      <c r="FH4" s="168"/>
      <c r="FI4" s="168"/>
      <c r="FJ4" s="168"/>
      <c r="FK4" s="168"/>
      <c r="FL4" s="168"/>
      <c r="FM4" s="168"/>
      <c r="FN4" s="168"/>
      <c r="FO4" s="168"/>
      <c r="FP4" s="168"/>
      <c r="FQ4" s="168"/>
      <c r="FR4" s="168"/>
      <c r="FS4" s="168"/>
      <c r="FT4" s="168"/>
      <c r="FU4" s="168"/>
      <c r="FV4" s="168"/>
      <c r="FW4" s="168"/>
      <c r="FX4" s="168"/>
      <c r="FY4" s="168"/>
    </row>
    <row r="5" s="167" customFormat="1" ht="22.5" customHeight="1" spans="1:181">
      <c r="A5" s="145" t="s">
        <v>423</v>
      </c>
      <c r="B5" s="151">
        <v>1457.77349125215</v>
      </c>
      <c r="C5" s="150">
        <v>-0.885749288353793</v>
      </c>
      <c r="D5" s="146">
        <v>330.538769863375</v>
      </c>
      <c r="E5" s="150">
        <v>-4.78506140784559</v>
      </c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168"/>
      <c r="BI5" s="168"/>
      <c r="BJ5" s="168"/>
      <c r="BK5" s="168"/>
      <c r="BL5" s="168"/>
      <c r="BM5" s="168"/>
      <c r="BN5" s="168"/>
      <c r="BO5" s="168"/>
      <c r="BP5" s="168"/>
      <c r="BQ5" s="168"/>
      <c r="BR5" s="168"/>
      <c r="BS5" s="168"/>
      <c r="BT5" s="168"/>
      <c r="BU5" s="168"/>
      <c r="BV5" s="168"/>
      <c r="BW5" s="168"/>
      <c r="BX5" s="168"/>
      <c r="BY5" s="168"/>
      <c r="BZ5" s="168"/>
      <c r="CA5" s="168"/>
      <c r="CB5" s="168"/>
      <c r="CC5" s="168"/>
      <c r="CD5" s="168"/>
      <c r="CE5" s="168"/>
      <c r="CF5" s="168"/>
      <c r="CG5" s="168"/>
      <c r="CH5" s="168"/>
      <c r="CI5" s="168"/>
      <c r="CJ5" s="168"/>
      <c r="CK5" s="168"/>
      <c r="CL5" s="168"/>
      <c r="CM5" s="168"/>
      <c r="CN5" s="168"/>
      <c r="CO5" s="168"/>
      <c r="CP5" s="168"/>
      <c r="CQ5" s="168"/>
      <c r="CR5" s="168"/>
      <c r="CS5" s="168"/>
      <c r="CT5" s="168"/>
      <c r="CU5" s="168"/>
      <c r="CV5" s="168"/>
      <c r="CW5" s="168"/>
      <c r="CX5" s="168"/>
      <c r="CY5" s="168"/>
      <c r="CZ5" s="168"/>
      <c r="DA5" s="168"/>
      <c r="DB5" s="168"/>
      <c r="DC5" s="168"/>
      <c r="DD5" s="168"/>
      <c r="DE5" s="168"/>
      <c r="DF5" s="168"/>
      <c r="DG5" s="168"/>
      <c r="DH5" s="168"/>
      <c r="DI5" s="168"/>
      <c r="DJ5" s="168"/>
      <c r="DK5" s="168"/>
      <c r="DL5" s="168"/>
      <c r="DM5" s="168"/>
      <c r="DN5" s="168"/>
      <c r="DO5" s="168"/>
      <c r="DP5" s="168"/>
      <c r="DQ5" s="168"/>
      <c r="DR5" s="168"/>
      <c r="DS5" s="168"/>
      <c r="DT5" s="168"/>
      <c r="DU5" s="168"/>
      <c r="DV5" s="168"/>
      <c r="DW5" s="168"/>
      <c r="DX5" s="168"/>
      <c r="DY5" s="168"/>
      <c r="DZ5" s="168"/>
      <c r="EA5" s="168"/>
      <c r="EB5" s="168"/>
      <c r="EC5" s="168"/>
      <c r="ED5" s="168"/>
      <c r="EE5" s="168"/>
      <c r="EF5" s="168"/>
      <c r="EG5" s="168"/>
      <c r="EH5" s="168"/>
      <c r="EI5" s="168"/>
      <c r="EJ5" s="168"/>
      <c r="EK5" s="168"/>
      <c r="EL5" s="168"/>
      <c r="EM5" s="168"/>
      <c r="EN5" s="168"/>
      <c r="EO5" s="168"/>
      <c r="EP5" s="168"/>
      <c r="EQ5" s="168"/>
      <c r="ER5" s="168"/>
      <c r="ES5" s="168"/>
      <c r="ET5" s="168"/>
      <c r="EU5" s="168"/>
      <c r="EV5" s="168"/>
      <c r="EW5" s="168"/>
      <c r="EX5" s="168"/>
      <c r="EY5" s="168"/>
      <c r="EZ5" s="168"/>
      <c r="FA5" s="168"/>
      <c r="FB5" s="168"/>
      <c r="FC5" s="168"/>
      <c r="FD5" s="168"/>
      <c r="FE5" s="168"/>
      <c r="FF5" s="168"/>
      <c r="FG5" s="168"/>
      <c r="FH5" s="168"/>
      <c r="FI5" s="168"/>
      <c r="FJ5" s="168"/>
      <c r="FK5" s="168"/>
      <c r="FL5" s="168"/>
      <c r="FM5" s="168"/>
      <c r="FN5" s="168"/>
      <c r="FO5" s="168"/>
      <c r="FP5" s="168"/>
      <c r="FQ5" s="168"/>
      <c r="FR5" s="168"/>
      <c r="FS5" s="168"/>
      <c r="FT5" s="168"/>
      <c r="FU5" s="168"/>
      <c r="FV5" s="168"/>
      <c r="FW5" s="168"/>
      <c r="FX5" s="168"/>
      <c r="FY5" s="168"/>
    </row>
    <row r="6" ht="22.5" customHeight="1" spans="1:5">
      <c r="A6" s="148" t="s">
        <v>83</v>
      </c>
      <c r="B6" s="151">
        <v>79.093911261841</v>
      </c>
      <c r="C6" s="150">
        <v>0.523476321090172</v>
      </c>
      <c r="D6" s="146">
        <v>18.0879436223539</v>
      </c>
      <c r="E6" s="150">
        <v>9.54994568549073</v>
      </c>
    </row>
    <row r="7" ht="22.5" customHeight="1" spans="1:5">
      <c r="A7" s="148" t="s">
        <v>84</v>
      </c>
      <c r="B7" s="151">
        <v>181.530125796179</v>
      </c>
      <c r="C7" s="150">
        <v>-7.12990208277407</v>
      </c>
      <c r="D7" s="146">
        <v>46.7124283970921</v>
      </c>
      <c r="E7" s="150">
        <v>-7.31568329363525</v>
      </c>
    </row>
    <row r="8" ht="22.5" customHeight="1" spans="1:5">
      <c r="A8" s="148" t="s">
        <v>85</v>
      </c>
      <c r="B8" s="151">
        <v>219.780863364125</v>
      </c>
      <c r="C8" s="150">
        <v>-6.12820820799379</v>
      </c>
      <c r="D8" s="146">
        <v>68.2871674885706</v>
      </c>
      <c r="E8" s="150">
        <v>-14.9731823277221</v>
      </c>
    </row>
    <row r="9" ht="22.5" customHeight="1" spans="1:5">
      <c r="A9" s="148" t="s">
        <v>86</v>
      </c>
      <c r="B9" s="151">
        <v>73.3205450647394</v>
      </c>
      <c r="C9" s="150">
        <v>-0.489414032039946</v>
      </c>
      <c r="D9" s="146">
        <v>16.1792970250335</v>
      </c>
      <c r="E9" s="150">
        <v>-6.14487735855565</v>
      </c>
    </row>
    <row r="10" ht="22.5" customHeight="1" spans="1:5">
      <c r="A10" s="148" t="s">
        <v>87</v>
      </c>
      <c r="B10" s="151">
        <v>96.5736438358122</v>
      </c>
      <c r="C10" s="150">
        <v>-6.48004164588912</v>
      </c>
      <c r="D10" s="146">
        <v>19.8236699463196</v>
      </c>
      <c r="E10" s="150">
        <v>0.259607673869482</v>
      </c>
    </row>
    <row r="11" ht="22.5" customHeight="1" spans="1:5">
      <c r="A11" s="148" t="s">
        <v>88</v>
      </c>
      <c r="B11" s="151">
        <v>24.2415906261767</v>
      </c>
      <c r="C11" s="150">
        <v>9.30149847620557</v>
      </c>
      <c r="D11" s="146">
        <v>7.91639635626331</v>
      </c>
      <c r="E11" s="150">
        <v>-6.58615984363107</v>
      </c>
    </row>
    <row r="12" ht="22.5" customHeight="1" spans="1:5">
      <c r="A12" s="148" t="s">
        <v>89</v>
      </c>
      <c r="B12" s="152">
        <v>44.3083831133125</v>
      </c>
      <c r="C12" s="150">
        <v>7.38728938168491</v>
      </c>
      <c r="D12" s="146">
        <v>9.32056885685912</v>
      </c>
      <c r="E12" s="150">
        <v>-0.745147261871239</v>
      </c>
    </row>
    <row r="13" ht="22.5" customHeight="1" spans="1:5">
      <c r="A13" s="148" t="s">
        <v>90</v>
      </c>
      <c r="B13" s="152">
        <v>92.4938887606792</v>
      </c>
      <c r="C13" s="150">
        <v>0.106897201350534</v>
      </c>
      <c r="D13" s="146">
        <v>23.0780958391144</v>
      </c>
      <c r="E13" s="150">
        <v>-2.91375138451566</v>
      </c>
    </row>
    <row r="14" ht="22.5" customHeight="1" spans="1:5">
      <c r="A14" s="148" t="s">
        <v>91</v>
      </c>
      <c r="B14" s="152">
        <v>180.328221114268</v>
      </c>
      <c r="C14" s="150">
        <v>2.49067289549238</v>
      </c>
      <c r="D14" s="146">
        <v>31.6992380375349</v>
      </c>
      <c r="E14" s="150">
        <v>8.45158528205019</v>
      </c>
    </row>
    <row r="15" ht="22.5" customHeight="1" spans="1:5">
      <c r="A15" s="148" t="s">
        <v>424</v>
      </c>
      <c r="B15" s="151">
        <v>598.387183998065</v>
      </c>
      <c r="C15" s="150">
        <v>1.35287101101798</v>
      </c>
      <c r="D15" s="146">
        <v>133.62592861792</v>
      </c>
      <c r="E15" s="150">
        <v>-8.16963730502621</v>
      </c>
    </row>
    <row r="16" ht="19.5" customHeight="1" spans="1:5">
      <c r="A16" s="148"/>
      <c r="B16" s="174"/>
      <c r="C16" s="155"/>
      <c r="D16" s="146"/>
      <c r="E16" s="147"/>
    </row>
    <row r="17" ht="33" customHeight="1" spans="1:5">
      <c r="A17" s="153" t="s">
        <v>429</v>
      </c>
      <c r="B17" s="174"/>
      <c r="C17" s="155"/>
      <c r="D17" s="146"/>
      <c r="E17" s="147"/>
    </row>
    <row r="18" ht="22.5" customHeight="1" spans="1:5">
      <c r="A18" s="145" t="s">
        <v>423</v>
      </c>
      <c r="B18" s="151">
        <v>1571.99933372996</v>
      </c>
      <c r="C18" s="150">
        <v>1.38975122544839</v>
      </c>
      <c r="D18" s="146">
        <v>373.168990571214</v>
      </c>
      <c r="E18" s="147">
        <v>5.10852449436301</v>
      </c>
    </row>
    <row r="19" ht="22.5" customHeight="1" spans="1:5">
      <c r="A19" s="148" t="s">
        <v>83</v>
      </c>
      <c r="B19" s="151">
        <v>281.914296772957</v>
      </c>
      <c r="C19" s="150">
        <v>1.18024686143042</v>
      </c>
      <c r="D19" s="162">
        <v>64.8466280718446</v>
      </c>
      <c r="E19" s="163">
        <v>2.21172251979608</v>
      </c>
    </row>
    <row r="20" ht="22.5" customHeight="1" spans="1:5">
      <c r="A20" s="148" t="s">
        <v>84</v>
      </c>
      <c r="B20" s="151">
        <v>244.671146365418</v>
      </c>
      <c r="C20" s="150">
        <v>3.14340827008131</v>
      </c>
      <c r="D20" s="146">
        <v>57.5450221422274</v>
      </c>
      <c r="E20" s="147">
        <v>5.58778531380931</v>
      </c>
    </row>
    <row r="21" ht="22.5" customHeight="1" spans="1:5">
      <c r="A21" s="148" t="s">
        <v>85</v>
      </c>
      <c r="B21" s="151">
        <v>103.567623688674</v>
      </c>
      <c r="C21" s="150">
        <v>5.2293456328278</v>
      </c>
      <c r="D21" s="146">
        <v>27.3922611827469</v>
      </c>
      <c r="E21" s="147">
        <v>8.41569266307268</v>
      </c>
    </row>
    <row r="22" ht="22.5" customHeight="1" spans="1:5">
      <c r="A22" s="148" t="s">
        <v>86</v>
      </c>
      <c r="B22" s="151">
        <v>101.554869744247</v>
      </c>
      <c r="C22" s="171">
        <v>0.373753015833273</v>
      </c>
      <c r="D22" s="146">
        <v>26.1935668886231</v>
      </c>
      <c r="E22" s="147">
        <v>12.7937538410424</v>
      </c>
    </row>
    <row r="23" ht="22.5" customHeight="1" spans="1:5">
      <c r="A23" s="148" t="s">
        <v>87</v>
      </c>
      <c r="B23" s="151">
        <v>163.750870215102</v>
      </c>
      <c r="C23" s="171">
        <v>0.633984602782206</v>
      </c>
      <c r="D23" s="146">
        <v>39.2314150996616</v>
      </c>
      <c r="E23" s="147">
        <v>3.45601836517714</v>
      </c>
    </row>
    <row r="24" ht="22.5" customHeight="1" spans="1:5">
      <c r="A24" s="148" t="s">
        <v>88</v>
      </c>
      <c r="B24" s="151">
        <v>88.998289264705</v>
      </c>
      <c r="C24" s="171">
        <v>-0.0561431991417862</v>
      </c>
      <c r="D24" s="146">
        <v>19.9993877739401</v>
      </c>
      <c r="E24" s="147">
        <v>3.8127937003285</v>
      </c>
    </row>
    <row r="25" ht="22.5" customHeight="1" spans="1:5">
      <c r="A25" s="148" t="s">
        <v>89</v>
      </c>
      <c r="B25" s="151">
        <v>169.331452858485</v>
      </c>
      <c r="C25" s="171">
        <v>-0.608884404240158</v>
      </c>
      <c r="D25" s="146">
        <v>38.1269268683473</v>
      </c>
      <c r="E25" s="147">
        <v>2.15943245640989</v>
      </c>
    </row>
    <row r="26" ht="22.5" customHeight="1" spans="1:5">
      <c r="A26" s="148" t="s">
        <v>90</v>
      </c>
      <c r="B26" s="151">
        <v>179.391146860196</v>
      </c>
      <c r="C26" s="171">
        <v>0.331764291124401</v>
      </c>
      <c r="D26" s="146">
        <v>41.9915638744286</v>
      </c>
      <c r="E26" s="147">
        <v>3.03678651177385</v>
      </c>
    </row>
    <row r="27" ht="22.5" customHeight="1" spans="1:5">
      <c r="A27" s="148" t="s">
        <v>91</v>
      </c>
      <c r="B27" s="151">
        <v>213.988207475359</v>
      </c>
      <c r="C27" s="171">
        <v>0.825256422350279</v>
      </c>
      <c r="D27" s="146">
        <v>51.8828352062597</v>
      </c>
      <c r="E27" s="147">
        <v>2.40799774845995</v>
      </c>
    </row>
    <row r="28" ht="22.5" customHeight="1" spans="1:5">
      <c r="A28" s="156" t="s">
        <v>424</v>
      </c>
      <c r="B28" s="157">
        <v>172.155646543055</v>
      </c>
      <c r="C28" s="172">
        <v>2.68943438052345</v>
      </c>
      <c r="D28" s="176">
        <v>39.6821137911999</v>
      </c>
      <c r="E28" s="177">
        <v>4.83808177403056</v>
      </c>
    </row>
    <row r="29" ht="44.25" customHeight="1" spans="1:3">
      <c r="A29" s="173" t="s">
        <v>426</v>
      </c>
      <c r="B29" s="173"/>
      <c r="C29" s="173"/>
    </row>
  </sheetData>
  <mergeCells count="5">
    <mergeCell ref="A1:E1"/>
    <mergeCell ref="B2:C2"/>
    <mergeCell ref="D2:E2"/>
    <mergeCell ref="A29:C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C29"/>
  <sheetViews>
    <sheetView zoomScale="90" zoomScaleNormal="90" workbookViewId="0">
      <pane xSplit="1" ySplit="3" topLeftCell="B11" activePane="bottomRight" state="frozen"/>
      <selection/>
      <selection pane="topRight"/>
      <selection pane="bottomLeft"/>
      <selection pane="bottomRight" activeCell="G17" sqref="G17"/>
    </sheetView>
  </sheetViews>
  <sheetFormatPr defaultColWidth="9" defaultRowHeight="14.25"/>
  <cols>
    <col min="1" max="1" width="25.625" style="168" customWidth="1"/>
    <col min="2" max="3" width="9.375" style="168"/>
    <col min="4" max="4" width="10.375" style="168"/>
    <col min="5" max="6" width="9.375" style="168"/>
    <col min="7" max="7" width="9" style="168"/>
    <col min="8" max="8" width="9.375" style="168"/>
    <col min="9" max="9" width="9" style="168"/>
    <col min="10" max="10" width="9.375" style="168"/>
    <col min="11" max="159" width="9" style="168"/>
    <col min="160" max="16384" width="9" style="167"/>
  </cols>
  <sheetData>
    <row r="1" s="167" customFormat="1" ht="28.5" customHeight="1" spans="1:159">
      <c r="A1" s="135" t="s">
        <v>430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168"/>
      <c r="CE1" s="168"/>
      <c r="CF1" s="168"/>
      <c r="CG1" s="168"/>
      <c r="CH1" s="168"/>
      <c r="CI1" s="168"/>
      <c r="CJ1" s="168"/>
      <c r="CK1" s="168"/>
      <c r="CL1" s="168"/>
      <c r="CM1" s="168"/>
      <c r="CN1" s="168"/>
      <c r="CO1" s="168"/>
      <c r="CP1" s="168"/>
      <c r="CQ1" s="168"/>
      <c r="CR1" s="168"/>
      <c r="CS1" s="168"/>
      <c r="CT1" s="168"/>
      <c r="CU1" s="168"/>
      <c r="CV1" s="168"/>
      <c r="CW1" s="168"/>
      <c r="CX1" s="168"/>
      <c r="CY1" s="168"/>
      <c r="CZ1" s="168"/>
      <c r="DA1" s="168"/>
      <c r="DB1" s="168"/>
      <c r="DC1" s="168"/>
      <c r="DD1" s="168"/>
      <c r="DE1" s="168"/>
      <c r="DF1" s="168"/>
      <c r="DG1" s="168"/>
      <c r="DH1" s="168"/>
      <c r="DI1" s="168"/>
      <c r="DJ1" s="168"/>
      <c r="DK1" s="168"/>
      <c r="DL1" s="168"/>
      <c r="DM1" s="168"/>
      <c r="DN1" s="168"/>
      <c r="DO1" s="168"/>
      <c r="DP1" s="168"/>
      <c r="DQ1" s="168"/>
      <c r="DR1" s="168"/>
      <c r="DS1" s="168"/>
      <c r="DT1" s="168"/>
      <c r="DU1" s="168"/>
      <c r="DV1" s="168"/>
      <c r="DW1" s="168"/>
      <c r="DX1" s="168"/>
      <c r="DY1" s="168"/>
      <c r="DZ1" s="168"/>
      <c r="EA1" s="168"/>
      <c r="EB1" s="168"/>
      <c r="EC1" s="168"/>
      <c r="ED1" s="168"/>
      <c r="EE1" s="168"/>
      <c r="EF1" s="168"/>
      <c r="EG1" s="168"/>
      <c r="EH1" s="168"/>
      <c r="EI1" s="168"/>
      <c r="EJ1" s="168"/>
      <c r="EK1" s="168"/>
      <c r="EL1" s="168"/>
      <c r="EM1" s="168"/>
      <c r="EN1" s="168"/>
      <c r="EO1" s="168"/>
      <c r="EP1" s="168"/>
      <c r="EQ1" s="168"/>
      <c r="ER1" s="168"/>
      <c r="ES1" s="168"/>
      <c r="ET1" s="168"/>
      <c r="EU1" s="168"/>
      <c r="EV1" s="168"/>
      <c r="EW1" s="168"/>
      <c r="EX1" s="168"/>
      <c r="EY1" s="168"/>
      <c r="EZ1" s="168"/>
      <c r="FA1" s="168"/>
      <c r="FB1" s="168"/>
      <c r="FC1" s="168"/>
    </row>
    <row r="2" ht="21" customHeight="1" spans="1:11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</row>
    <row r="3" ht="29" customHeight="1" spans="1:11">
      <c r="A3" s="139"/>
      <c r="B3" s="140" t="s">
        <v>8</v>
      </c>
      <c r="C3" s="141" t="s">
        <v>9</v>
      </c>
      <c r="D3" s="140" t="s">
        <v>8</v>
      </c>
      <c r="E3" s="141" t="s">
        <v>9</v>
      </c>
      <c r="F3" s="140" t="s">
        <v>8</v>
      </c>
      <c r="G3" s="141" t="s">
        <v>9</v>
      </c>
      <c r="H3" s="140" t="s">
        <v>8</v>
      </c>
      <c r="I3" s="141" t="s">
        <v>9</v>
      </c>
      <c r="J3" s="140" t="s">
        <v>8</v>
      </c>
      <c r="K3" s="141" t="s">
        <v>9</v>
      </c>
    </row>
    <row r="4" s="167" customFormat="1" ht="33" customHeight="1" spans="1:159">
      <c r="A4" s="142" t="s">
        <v>431</v>
      </c>
      <c r="B4" s="169"/>
      <c r="C4" s="170"/>
      <c r="D4" s="169"/>
      <c r="E4" s="170"/>
      <c r="F4" s="169"/>
      <c r="G4" s="170"/>
      <c r="H4" s="169"/>
      <c r="I4" s="170"/>
      <c r="J4" s="169"/>
      <c r="K4" s="170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8"/>
      <c r="BD4" s="168"/>
      <c r="BE4" s="168"/>
      <c r="BF4" s="168"/>
      <c r="BG4" s="168"/>
      <c r="BH4" s="168"/>
      <c r="BI4" s="168"/>
      <c r="BJ4" s="168"/>
      <c r="BK4" s="168"/>
      <c r="BL4" s="168"/>
      <c r="BM4" s="168"/>
      <c r="BN4" s="168"/>
      <c r="BO4" s="168"/>
      <c r="BP4" s="168"/>
      <c r="BQ4" s="168"/>
      <c r="BR4" s="168"/>
      <c r="BS4" s="168"/>
      <c r="BT4" s="168"/>
      <c r="BU4" s="168"/>
      <c r="BV4" s="168"/>
      <c r="BW4" s="168"/>
      <c r="BX4" s="168"/>
      <c r="BY4" s="168"/>
      <c r="BZ4" s="168"/>
      <c r="CA4" s="168"/>
      <c r="CB4" s="168"/>
      <c r="CC4" s="168"/>
      <c r="CD4" s="168"/>
      <c r="CE4" s="168"/>
      <c r="CF4" s="168"/>
      <c r="CG4" s="168"/>
      <c r="CH4" s="168"/>
      <c r="CI4" s="168"/>
      <c r="CJ4" s="168"/>
      <c r="CK4" s="168"/>
      <c r="CL4" s="168"/>
      <c r="CM4" s="168"/>
      <c r="CN4" s="168"/>
      <c r="CO4" s="168"/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8"/>
      <c r="DN4" s="168"/>
      <c r="DO4" s="168"/>
      <c r="DP4" s="168"/>
      <c r="DQ4" s="168"/>
      <c r="DR4" s="168"/>
      <c r="DS4" s="168"/>
      <c r="DT4" s="168"/>
      <c r="DU4" s="168"/>
      <c r="DV4" s="168"/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  <c r="EH4" s="168"/>
      <c r="EI4" s="168"/>
      <c r="EJ4" s="168"/>
      <c r="EK4" s="168"/>
      <c r="EL4" s="168"/>
      <c r="EM4" s="168"/>
      <c r="EN4" s="168"/>
      <c r="EO4" s="168"/>
      <c r="EP4" s="168"/>
      <c r="EQ4" s="168"/>
      <c r="ER4" s="168"/>
      <c r="ES4" s="168"/>
      <c r="ET4" s="168"/>
      <c r="EU4" s="168"/>
      <c r="EV4" s="168"/>
      <c r="EW4" s="168"/>
      <c r="EX4" s="168"/>
      <c r="EY4" s="168"/>
      <c r="EZ4" s="168"/>
      <c r="FA4" s="168"/>
      <c r="FB4" s="168"/>
      <c r="FC4" s="168"/>
    </row>
    <row r="5" s="167" customFormat="1" ht="22.5" customHeight="1" spans="1:159">
      <c r="A5" s="145" t="s">
        <v>423</v>
      </c>
      <c r="B5" s="151">
        <v>1104.578659</v>
      </c>
      <c r="C5" s="150">
        <v>4.7</v>
      </c>
      <c r="D5" s="174" t="s">
        <v>12</v>
      </c>
      <c r="E5" s="155" t="s">
        <v>12</v>
      </c>
      <c r="F5" s="151">
        <v>229.72</v>
      </c>
      <c r="G5" s="150">
        <v>4</v>
      </c>
      <c r="H5" s="174" t="s">
        <v>12</v>
      </c>
      <c r="I5" s="155" t="s">
        <v>12</v>
      </c>
      <c r="J5" s="174" t="s">
        <v>12</v>
      </c>
      <c r="K5" s="155" t="s">
        <v>12</v>
      </c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168"/>
      <c r="BI5" s="168"/>
      <c r="BJ5" s="168"/>
      <c r="BK5" s="168"/>
      <c r="BL5" s="168"/>
      <c r="BM5" s="168"/>
      <c r="BN5" s="168"/>
      <c r="BO5" s="168"/>
      <c r="BP5" s="168"/>
      <c r="BQ5" s="168"/>
      <c r="BR5" s="168"/>
      <c r="BS5" s="168"/>
      <c r="BT5" s="168"/>
      <c r="BU5" s="168"/>
      <c r="BV5" s="168"/>
      <c r="BW5" s="168"/>
      <c r="BX5" s="168"/>
      <c r="BY5" s="168"/>
      <c r="BZ5" s="168"/>
      <c r="CA5" s="168"/>
      <c r="CB5" s="168"/>
      <c r="CC5" s="168"/>
      <c r="CD5" s="168"/>
      <c r="CE5" s="168"/>
      <c r="CF5" s="168"/>
      <c r="CG5" s="168"/>
      <c r="CH5" s="168"/>
      <c r="CI5" s="168"/>
      <c r="CJ5" s="168"/>
      <c r="CK5" s="168"/>
      <c r="CL5" s="168"/>
      <c r="CM5" s="168"/>
      <c r="CN5" s="168"/>
      <c r="CO5" s="168"/>
      <c r="CP5" s="168"/>
      <c r="CQ5" s="168"/>
      <c r="CR5" s="168"/>
      <c r="CS5" s="168"/>
      <c r="CT5" s="168"/>
      <c r="CU5" s="168"/>
      <c r="CV5" s="168"/>
      <c r="CW5" s="168"/>
      <c r="CX5" s="168"/>
      <c r="CY5" s="168"/>
      <c r="CZ5" s="168"/>
      <c r="DA5" s="168"/>
      <c r="DB5" s="168"/>
      <c r="DC5" s="168"/>
      <c r="DD5" s="168"/>
      <c r="DE5" s="168"/>
      <c r="DF5" s="168"/>
      <c r="DG5" s="168"/>
      <c r="DH5" s="168"/>
      <c r="DI5" s="168"/>
      <c r="DJ5" s="168"/>
      <c r="DK5" s="168"/>
      <c r="DL5" s="168"/>
      <c r="DM5" s="168"/>
      <c r="DN5" s="168"/>
      <c r="DO5" s="168"/>
      <c r="DP5" s="168"/>
      <c r="DQ5" s="168"/>
      <c r="DR5" s="168"/>
      <c r="DS5" s="168"/>
      <c r="DT5" s="168"/>
      <c r="DU5" s="168"/>
      <c r="DV5" s="168"/>
      <c r="DW5" s="168"/>
      <c r="DX5" s="168"/>
      <c r="DY5" s="168"/>
      <c r="DZ5" s="168"/>
      <c r="EA5" s="168"/>
      <c r="EB5" s="168"/>
      <c r="EC5" s="168"/>
      <c r="ED5" s="168"/>
      <c r="EE5" s="168"/>
      <c r="EF5" s="168"/>
      <c r="EG5" s="168"/>
      <c r="EH5" s="168"/>
      <c r="EI5" s="168"/>
      <c r="EJ5" s="168"/>
      <c r="EK5" s="168"/>
      <c r="EL5" s="168"/>
      <c r="EM5" s="168"/>
      <c r="EN5" s="168"/>
      <c r="EO5" s="168"/>
      <c r="EP5" s="168"/>
      <c r="EQ5" s="168"/>
      <c r="ER5" s="168"/>
      <c r="ES5" s="168"/>
      <c r="ET5" s="168"/>
      <c r="EU5" s="168"/>
      <c r="EV5" s="168"/>
      <c r="EW5" s="168"/>
      <c r="EX5" s="168"/>
      <c r="EY5" s="168"/>
      <c r="EZ5" s="168"/>
      <c r="FA5" s="168"/>
      <c r="FB5" s="168"/>
      <c r="FC5" s="168"/>
    </row>
    <row r="6" ht="22.5" customHeight="1" spans="1:11">
      <c r="A6" s="148" t="s">
        <v>83</v>
      </c>
      <c r="B6" s="151">
        <v>2.275233</v>
      </c>
      <c r="C6" s="150">
        <v>32.7</v>
      </c>
      <c r="D6" s="174" t="s">
        <v>12</v>
      </c>
      <c r="E6" s="155" t="s">
        <v>12</v>
      </c>
      <c r="F6" s="151">
        <v>0.37</v>
      </c>
      <c r="G6" s="150">
        <v>-57</v>
      </c>
      <c r="H6" s="174" t="s">
        <v>12</v>
      </c>
      <c r="I6" s="155" t="s">
        <v>12</v>
      </c>
      <c r="J6" s="174" t="s">
        <v>12</v>
      </c>
      <c r="K6" s="155" t="s">
        <v>12</v>
      </c>
    </row>
    <row r="7" ht="22.5" customHeight="1" spans="1:11">
      <c r="A7" s="148" t="s">
        <v>84</v>
      </c>
      <c r="B7" s="151">
        <v>4.578254</v>
      </c>
      <c r="C7" s="150">
        <v>-9.59999999999999</v>
      </c>
      <c r="D7" s="174" t="s">
        <v>12</v>
      </c>
      <c r="E7" s="155" t="s">
        <v>12</v>
      </c>
      <c r="F7" s="151">
        <v>0.73</v>
      </c>
      <c r="G7" s="150">
        <v>3.7</v>
      </c>
      <c r="H7" s="174" t="s">
        <v>12</v>
      </c>
      <c r="I7" s="155" t="s">
        <v>12</v>
      </c>
      <c r="J7" s="174" t="s">
        <v>12</v>
      </c>
      <c r="K7" s="155" t="s">
        <v>12</v>
      </c>
    </row>
    <row r="8" ht="22.5" customHeight="1" spans="1:11">
      <c r="A8" s="148" t="s">
        <v>85</v>
      </c>
      <c r="B8" s="151">
        <v>39.935347</v>
      </c>
      <c r="C8" s="150">
        <v>4</v>
      </c>
      <c r="D8" s="174" t="s">
        <v>12</v>
      </c>
      <c r="E8" s="155" t="s">
        <v>12</v>
      </c>
      <c r="F8" s="151">
        <v>9.19</v>
      </c>
      <c r="G8" s="150">
        <v>0</v>
      </c>
      <c r="H8" s="174" t="s">
        <v>12</v>
      </c>
      <c r="I8" s="155" t="s">
        <v>12</v>
      </c>
      <c r="J8" s="174" t="s">
        <v>12</v>
      </c>
      <c r="K8" s="155" t="s">
        <v>12</v>
      </c>
    </row>
    <row r="9" ht="22.5" customHeight="1" spans="1:11">
      <c r="A9" s="148" t="s">
        <v>86</v>
      </c>
      <c r="B9" s="151">
        <v>50.382363</v>
      </c>
      <c r="C9" s="150">
        <v>11.7</v>
      </c>
      <c r="D9" s="174" t="s">
        <v>12</v>
      </c>
      <c r="E9" s="155" t="s">
        <v>12</v>
      </c>
      <c r="F9" s="151">
        <v>10.22</v>
      </c>
      <c r="G9" s="150">
        <v>11</v>
      </c>
      <c r="H9" s="174" t="s">
        <v>12</v>
      </c>
      <c r="I9" s="155" t="s">
        <v>12</v>
      </c>
      <c r="J9" s="174" t="s">
        <v>12</v>
      </c>
      <c r="K9" s="155" t="s">
        <v>12</v>
      </c>
    </row>
    <row r="10" ht="22.5" customHeight="1" spans="1:11">
      <c r="A10" s="148" t="s">
        <v>87</v>
      </c>
      <c r="B10" s="151">
        <v>68.660459</v>
      </c>
      <c r="C10" s="150">
        <v>2</v>
      </c>
      <c r="D10" s="174" t="s">
        <v>12</v>
      </c>
      <c r="E10" s="155" t="s">
        <v>12</v>
      </c>
      <c r="F10" s="151">
        <v>14.25</v>
      </c>
      <c r="G10" s="150">
        <v>3.8</v>
      </c>
      <c r="H10" s="174" t="s">
        <v>12</v>
      </c>
      <c r="I10" s="155" t="s">
        <v>12</v>
      </c>
      <c r="J10" s="174" t="s">
        <v>12</v>
      </c>
      <c r="K10" s="155" t="s">
        <v>12</v>
      </c>
    </row>
    <row r="11" ht="22.5" customHeight="1" spans="1:11">
      <c r="A11" s="148" t="s">
        <v>88</v>
      </c>
      <c r="B11" s="151">
        <v>179.88033</v>
      </c>
      <c r="C11" s="150">
        <v>5.8</v>
      </c>
      <c r="D11" s="174" t="s">
        <v>12</v>
      </c>
      <c r="E11" s="155" t="s">
        <v>12</v>
      </c>
      <c r="F11" s="151">
        <v>39.66</v>
      </c>
      <c r="G11" s="150">
        <v>6.5</v>
      </c>
      <c r="H11" s="174" t="s">
        <v>12</v>
      </c>
      <c r="I11" s="155" t="s">
        <v>12</v>
      </c>
      <c r="J11" s="174" t="s">
        <v>12</v>
      </c>
      <c r="K11" s="155" t="s">
        <v>12</v>
      </c>
    </row>
    <row r="12" ht="22.5" customHeight="1" spans="1:11">
      <c r="A12" s="148" t="s">
        <v>89</v>
      </c>
      <c r="B12" s="152">
        <v>242.198013</v>
      </c>
      <c r="C12" s="150">
        <v>3.90000000000001</v>
      </c>
      <c r="D12" s="175" t="s">
        <v>12</v>
      </c>
      <c r="E12" s="155" t="s">
        <v>12</v>
      </c>
      <c r="F12" s="152">
        <v>56.04</v>
      </c>
      <c r="G12" s="150">
        <v>4.2</v>
      </c>
      <c r="H12" s="175" t="s">
        <v>12</v>
      </c>
      <c r="I12" s="155" t="s">
        <v>12</v>
      </c>
      <c r="J12" s="175" t="s">
        <v>12</v>
      </c>
      <c r="K12" s="155" t="s">
        <v>12</v>
      </c>
    </row>
    <row r="13" ht="22.5" customHeight="1" spans="1:11">
      <c r="A13" s="148" t="s">
        <v>90</v>
      </c>
      <c r="B13" s="152">
        <v>251.059741</v>
      </c>
      <c r="C13" s="150">
        <v>6.8</v>
      </c>
      <c r="D13" s="175" t="s">
        <v>12</v>
      </c>
      <c r="E13" s="155" t="s">
        <v>12</v>
      </c>
      <c r="F13" s="152">
        <v>46.84</v>
      </c>
      <c r="G13" s="150">
        <v>4.2</v>
      </c>
      <c r="H13" s="175" t="s">
        <v>12</v>
      </c>
      <c r="I13" s="155" t="s">
        <v>12</v>
      </c>
      <c r="J13" s="175" t="s">
        <v>12</v>
      </c>
      <c r="K13" s="155" t="s">
        <v>12</v>
      </c>
    </row>
    <row r="14" ht="22.5" customHeight="1" spans="1:11">
      <c r="A14" s="148" t="s">
        <v>91</v>
      </c>
      <c r="B14" s="152">
        <v>229.715931</v>
      </c>
      <c r="C14" s="150">
        <v>3.2</v>
      </c>
      <c r="D14" s="175" t="s">
        <v>12</v>
      </c>
      <c r="E14" s="155" t="s">
        <v>12</v>
      </c>
      <c r="F14" s="152">
        <v>43.33</v>
      </c>
      <c r="G14" s="150">
        <v>4</v>
      </c>
      <c r="H14" s="175" t="s">
        <v>12</v>
      </c>
      <c r="I14" s="155" t="s">
        <v>12</v>
      </c>
      <c r="J14" s="175" t="s">
        <v>12</v>
      </c>
      <c r="K14" s="155" t="s">
        <v>12</v>
      </c>
    </row>
    <row r="15" ht="22.5" customHeight="1" spans="1:11">
      <c r="A15" s="148" t="s">
        <v>424</v>
      </c>
      <c r="B15" s="151">
        <v>35.720782</v>
      </c>
      <c r="C15" s="150">
        <v>1.90000000000001</v>
      </c>
      <c r="D15" s="174" t="s">
        <v>12</v>
      </c>
      <c r="E15" s="155" t="s">
        <v>12</v>
      </c>
      <c r="F15" s="151">
        <v>9.09</v>
      </c>
      <c r="G15" s="150">
        <v>-3</v>
      </c>
      <c r="H15" s="174" t="s">
        <v>12</v>
      </c>
      <c r="I15" s="155" t="s">
        <v>12</v>
      </c>
      <c r="J15" s="174" t="s">
        <v>12</v>
      </c>
      <c r="K15" s="155" t="s">
        <v>12</v>
      </c>
    </row>
    <row r="16" ht="19.5" customHeight="1" spans="1:11">
      <c r="A16" s="148"/>
      <c r="B16" s="151"/>
      <c r="C16" s="150"/>
      <c r="D16" s="151"/>
      <c r="E16" s="150"/>
      <c r="F16" s="151"/>
      <c r="G16" s="150"/>
      <c r="H16" s="151"/>
      <c r="I16" s="150"/>
      <c r="J16" s="151"/>
      <c r="K16" s="150"/>
    </row>
    <row r="17" ht="33" customHeight="1" spans="1:11">
      <c r="A17" s="153" t="s">
        <v>432</v>
      </c>
      <c r="B17" s="151"/>
      <c r="C17" s="150"/>
      <c r="D17" s="151"/>
      <c r="E17" s="150"/>
      <c r="F17" s="151"/>
      <c r="G17" s="150"/>
      <c r="H17" s="151"/>
      <c r="I17" s="150"/>
      <c r="J17" s="151"/>
      <c r="K17" s="150"/>
    </row>
    <row r="18" ht="22.5" customHeight="1" spans="1:11">
      <c r="A18" s="145" t="s">
        <v>423</v>
      </c>
      <c r="B18" s="151">
        <v>1006.7434956825</v>
      </c>
      <c r="C18" s="150">
        <v>-1.7</v>
      </c>
      <c r="D18" s="151">
        <v>150.34421747638</v>
      </c>
      <c r="E18" s="150">
        <v>-8</v>
      </c>
      <c r="F18" s="151">
        <v>232.208979095116</v>
      </c>
      <c r="G18" s="150">
        <v>-9.1</v>
      </c>
      <c r="H18" s="151">
        <v>313.98</v>
      </c>
      <c r="I18" s="150">
        <v>-6</v>
      </c>
      <c r="J18" s="151">
        <v>394.713603714034</v>
      </c>
      <c r="K18" s="150">
        <v>-4.5</v>
      </c>
    </row>
    <row r="19" ht="22.5" customHeight="1" spans="1:11">
      <c r="A19" s="148" t="s">
        <v>83</v>
      </c>
      <c r="B19" s="151">
        <v>43.145120238507</v>
      </c>
      <c r="C19" s="150">
        <v>1.2</v>
      </c>
      <c r="D19" s="151">
        <v>9.51094810932</v>
      </c>
      <c r="E19" s="150">
        <v>15.8</v>
      </c>
      <c r="F19" s="151">
        <v>14.959519142019</v>
      </c>
      <c r="G19" s="150">
        <v>12.8</v>
      </c>
      <c r="H19" s="151">
        <v>18.76</v>
      </c>
      <c r="I19" s="150">
        <v>10.4</v>
      </c>
      <c r="J19" s="151">
        <v>22.6335879418845</v>
      </c>
      <c r="K19" s="150">
        <v>9.8</v>
      </c>
    </row>
    <row r="20" ht="22.5" customHeight="1" spans="1:11">
      <c r="A20" s="148" t="s">
        <v>84</v>
      </c>
      <c r="B20" s="151">
        <v>192.870454142165</v>
      </c>
      <c r="C20" s="150">
        <v>-5.7</v>
      </c>
      <c r="D20" s="151">
        <v>28.956048108</v>
      </c>
      <c r="E20" s="150">
        <v>-8.3</v>
      </c>
      <c r="F20" s="151">
        <v>43.7169669513365</v>
      </c>
      <c r="G20" s="150">
        <v>-11</v>
      </c>
      <c r="H20" s="151">
        <v>59.47</v>
      </c>
      <c r="I20" s="150">
        <v>-7.2</v>
      </c>
      <c r="J20" s="151">
        <v>75.771848999343</v>
      </c>
      <c r="K20" s="150">
        <v>-3.9</v>
      </c>
    </row>
    <row r="21" ht="22.5" customHeight="1" spans="1:11">
      <c r="A21" s="148" t="s">
        <v>85</v>
      </c>
      <c r="B21" s="151">
        <v>244.39739199021</v>
      </c>
      <c r="C21" s="150">
        <v>-11</v>
      </c>
      <c r="D21" s="151">
        <v>36.95246985491</v>
      </c>
      <c r="E21" s="150">
        <v>-12.6</v>
      </c>
      <c r="F21" s="151">
        <v>56.157443660287</v>
      </c>
      <c r="G21" s="150">
        <v>-15.1</v>
      </c>
      <c r="H21" s="151">
        <v>74.05</v>
      </c>
      <c r="I21" s="150">
        <v>-10</v>
      </c>
      <c r="J21" s="151">
        <v>91.1758892727165</v>
      </c>
      <c r="K21" s="150">
        <v>-8.1</v>
      </c>
    </row>
    <row r="22" ht="22.5" customHeight="1" spans="1:11">
      <c r="A22" s="148" t="s">
        <v>86</v>
      </c>
      <c r="B22" s="151">
        <v>40.7820883457471</v>
      </c>
      <c r="C22" s="171">
        <v>1.2</v>
      </c>
      <c r="D22" s="151">
        <v>5.54189843816</v>
      </c>
      <c r="E22" s="171">
        <v>-15.6</v>
      </c>
      <c r="F22" s="151">
        <v>9.1089754432985</v>
      </c>
      <c r="G22" s="171">
        <v>-9</v>
      </c>
      <c r="H22" s="151">
        <v>12.86</v>
      </c>
      <c r="I22" s="171">
        <v>-1</v>
      </c>
      <c r="J22" s="151">
        <v>16.3934888787075</v>
      </c>
      <c r="K22" s="171">
        <v>-1.5</v>
      </c>
    </row>
    <row r="23" ht="22.5" customHeight="1" spans="1:11">
      <c r="A23" s="148" t="s">
        <v>87</v>
      </c>
      <c r="B23" s="151">
        <v>11.6037938183861</v>
      </c>
      <c r="C23" s="171">
        <v>-9.5</v>
      </c>
      <c r="D23" s="151">
        <v>1.55067257631</v>
      </c>
      <c r="E23" s="171">
        <v>-9.5</v>
      </c>
      <c r="F23" s="151">
        <v>2.495304607372</v>
      </c>
      <c r="G23" s="171">
        <v>-10.5</v>
      </c>
      <c r="H23" s="151">
        <v>3.41</v>
      </c>
      <c r="I23" s="171">
        <v>-10</v>
      </c>
      <c r="J23" s="151">
        <v>4.319888009409</v>
      </c>
      <c r="K23" s="171">
        <v>-6.9</v>
      </c>
    </row>
    <row r="24" ht="22.5" customHeight="1" spans="1:11">
      <c r="A24" s="148" t="s">
        <v>88</v>
      </c>
      <c r="B24" s="151">
        <v>24.2472624457296</v>
      </c>
      <c r="C24" s="171">
        <v>36</v>
      </c>
      <c r="D24" s="151">
        <v>4.96658748233</v>
      </c>
      <c r="E24" s="171">
        <v>-7</v>
      </c>
      <c r="F24" s="151">
        <v>7.2044789421505</v>
      </c>
      <c r="G24" s="171">
        <v>-5.9</v>
      </c>
      <c r="H24" s="151">
        <v>9.93</v>
      </c>
      <c r="I24" s="171">
        <v>-0.7</v>
      </c>
      <c r="J24" s="151">
        <v>12.385909034268</v>
      </c>
      <c r="K24" s="171">
        <v>4.4</v>
      </c>
    </row>
    <row r="25" ht="22.5" customHeight="1" spans="1:11">
      <c r="A25" s="148" t="s">
        <v>89</v>
      </c>
      <c r="B25" s="151">
        <v>13.8633158957983</v>
      </c>
      <c r="C25" s="171">
        <v>5.6</v>
      </c>
      <c r="D25" s="151">
        <v>2.31961000768</v>
      </c>
      <c r="E25" s="171">
        <v>-10.1</v>
      </c>
      <c r="F25" s="151">
        <v>3.6582626934495</v>
      </c>
      <c r="G25" s="171">
        <v>-2.3</v>
      </c>
      <c r="H25" s="151">
        <v>5.04</v>
      </c>
      <c r="I25" s="171">
        <v>0.8</v>
      </c>
      <c r="J25" s="151">
        <v>6.333214432125</v>
      </c>
      <c r="K25" s="171">
        <v>2.8</v>
      </c>
    </row>
    <row r="26" ht="22.5" customHeight="1" spans="1:11">
      <c r="A26" s="148" t="s">
        <v>90</v>
      </c>
      <c r="B26" s="151">
        <v>29.6764942122844</v>
      </c>
      <c r="C26" s="171">
        <v>0.7</v>
      </c>
      <c r="D26" s="151">
        <v>4.04378441071</v>
      </c>
      <c r="E26" s="171">
        <v>-12.5</v>
      </c>
      <c r="F26" s="151">
        <v>6.403547119576</v>
      </c>
      <c r="G26" s="171">
        <v>-9.5</v>
      </c>
      <c r="H26" s="151">
        <v>8.22</v>
      </c>
      <c r="I26" s="171">
        <v>-15.8</v>
      </c>
      <c r="J26" s="151">
        <v>10.480565140248</v>
      </c>
      <c r="K26" s="171">
        <v>-15.7</v>
      </c>
    </row>
    <row r="27" ht="22.5" customHeight="1" spans="1:11">
      <c r="A27" s="148" t="s">
        <v>91</v>
      </c>
      <c r="B27" s="151">
        <v>22.5613283094453</v>
      </c>
      <c r="C27" s="171">
        <v>-6.5</v>
      </c>
      <c r="D27" s="151">
        <v>3.1290898141</v>
      </c>
      <c r="E27" s="171">
        <v>-6.3</v>
      </c>
      <c r="F27" s="151">
        <v>5.2849387160755</v>
      </c>
      <c r="G27" s="171">
        <v>-1.6</v>
      </c>
      <c r="H27" s="151">
        <v>7.33</v>
      </c>
      <c r="I27" s="171">
        <v>2.9</v>
      </c>
      <c r="J27" s="151">
        <v>9.494637704328</v>
      </c>
      <c r="K27" s="171">
        <v>4.3</v>
      </c>
    </row>
    <row r="28" ht="22.5" customHeight="1" spans="1:11">
      <c r="A28" s="156" t="s">
        <v>424</v>
      </c>
      <c r="B28" s="157">
        <v>587.896852046207</v>
      </c>
      <c r="C28" s="172">
        <v>2.4</v>
      </c>
      <c r="D28" s="157">
        <v>85.37296107065</v>
      </c>
      <c r="E28" s="172">
        <v>-8</v>
      </c>
      <c r="F28" s="157">
        <v>131.313353545916</v>
      </c>
      <c r="G28" s="172">
        <v>-9.7</v>
      </c>
      <c r="H28" s="157">
        <v>180.34</v>
      </c>
      <c r="I28" s="172">
        <v>-6.9</v>
      </c>
      <c r="J28" s="157">
        <v>228.715407460617</v>
      </c>
      <c r="K28" s="172">
        <v>-4.8</v>
      </c>
    </row>
    <row r="29" ht="48" customHeight="1" spans="1:5">
      <c r="A29" s="173" t="s">
        <v>433</v>
      </c>
      <c r="B29" s="173"/>
      <c r="C29" s="173"/>
      <c r="D29" s="173"/>
      <c r="E29" s="173"/>
    </row>
  </sheetData>
  <mergeCells count="8">
    <mergeCell ref="A1:K1"/>
    <mergeCell ref="B2:C2"/>
    <mergeCell ref="D2:E2"/>
    <mergeCell ref="F2:G2"/>
    <mergeCell ref="H2:I2"/>
    <mergeCell ref="J2:K2"/>
    <mergeCell ref="A29:E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A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F8" sqref="F8"/>
    </sheetView>
  </sheetViews>
  <sheetFormatPr defaultColWidth="9" defaultRowHeight="14.25"/>
  <cols>
    <col min="1" max="1" width="25.625" style="168" customWidth="1"/>
    <col min="2" max="2" width="10.375" style="168"/>
    <col min="3" max="3" width="9.375" style="168"/>
    <col min="4" max="4" width="10.375" style="168"/>
    <col min="5" max="5" width="9.375" style="168"/>
    <col min="6" max="6" width="10.375" style="168"/>
    <col min="7" max="9" width="9.375" style="168"/>
    <col min="10" max="157" width="9" style="168"/>
    <col min="158" max="16384" width="9" style="167"/>
  </cols>
  <sheetData>
    <row r="1" s="167" customFormat="1" ht="28.5" customHeight="1" spans="1:157">
      <c r="A1" s="135" t="s">
        <v>434</v>
      </c>
      <c r="B1" s="135"/>
      <c r="C1" s="135"/>
      <c r="D1" s="135"/>
      <c r="E1" s="135"/>
      <c r="F1" s="135"/>
      <c r="G1" s="135"/>
      <c r="H1" s="135"/>
      <c r="I1" s="135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168"/>
      <c r="CE1" s="168"/>
      <c r="CF1" s="168"/>
      <c r="CG1" s="168"/>
      <c r="CH1" s="168"/>
      <c r="CI1" s="168"/>
      <c r="CJ1" s="168"/>
      <c r="CK1" s="168"/>
      <c r="CL1" s="168"/>
      <c r="CM1" s="168"/>
      <c r="CN1" s="168"/>
      <c r="CO1" s="168"/>
      <c r="CP1" s="168"/>
      <c r="CQ1" s="168"/>
      <c r="CR1" s="168"/>
      <c r="CS1" s="168"/>
      <c r="CT1" s="168"/>
      <c r="CU1" s="168"/>
      <c r="CV1" s="168"/>
      <c r="CW1" s="168"/>
      <c r="CX1" s="168"/>
      <c r="CY1" s="168"/>
      <c r="CZ1" s="168"/>
      <c r="DA1" s="168"/>
      <c r="DB1" s="168"/>
      <c r="DC1" s="168"/>
      <c r="DD1" s="168"/>
      <c r="DE1" s="168"/>
      <c r="DF1" s="168"/>
      <c r="DG1" s="168"/>
      <c r="DH1" s="168"/>
      <c r="DI1" s="168"/>
      <c r="DJ1" s="168"/>
      <c r="DK1" s="168"/>
      <c r="DL1" s="168"/>
      <c r="DM1" s="168"/>
      <c r="DN1" s="168"/>
      <c r="DO1" s="168"/>
      <c r="DP1" s="168"/>
      <c r="DQ1" s="168"/>
      <c r="DR1" s="168"/>
      <c r="DS1" s="168"/>
      <c r="DT1" s="168"/>
      <c r="DU1" s="168"/>
      <c r="DV1" s="168"/>
      <c r="DW1" s="168"/>
      <c r="DX1" s="168"/>
      <c r="DY1" s="168"/>
      <c r="DZ1" s="168"/>
      <c r="EA1" s="168"/>
      <c r="EB1" s="168"/>
      <c r="EC1" s="168"/>
      <c r="ED1" s="168"/>
      <c r="EE1" s="168"/>
      <c r="EF1" s="168"/>
      <c r="EG1" s="168"/>
      <c r="EH1" s="168"/>
      <c r="EI1" s="168"/>
      <c r="EJ1" s="168"/>
      <c r="EK1" s="168"/>
      <c r="EL1" s="168"/>
      <c r="EM1" s="168"/>
      <c r="EN1" s="168"/>
      <c r="EO1" s="168"/>
      <c r="EP1" s="168"/>
      <c r="EQ1" s="168"/>
      <c r="ER1" s="168"/>
      <c r="ES1" s="168"/>
      <c r="ET1" s="168"/>
      <c r="EU1" s="168"/>
      <c r="EV1" s="168"/>
      <c r="EW1" s="168"/>
      <c r="EX1" s="168"/>
      <c r="EY1" s="168"/>
      <c r="EZ1" s="168"/>
      <c r="FA1" s="168"/>
    </row>
    <row r="2" ht="21" customHeight="1" spans="1:9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</row>
    <row r="3" ht="29" customHeight="1" spans="1:9">
      <c r="A3" s="139"/>
      <c r="B3" s="140" t="s">
        <v>8</v>
      </c>
      <c r="C3" s="141" t="s">
        <v>9</v>
      </c>
      <c r="D3" s="140" t="s">
        <v>8</v>
      </c>
      <c r="E3" s="141" t="s">
        <v>9</v>
      </c>
      <c r="F3" s="140" t="s">
        <v>8</v>
      </c>
      <c r="G3" s="141" t="s">
        <v>9</v>
      </c>
      <c r="H3" s="140" t="s">
        <v>8</v>
      </c>
      <c r="I3" s="141" t="s">
        <v>9</v>
      </c>
    </row>
    <row r="4" s="167" customFormat="1" ht="33" customHeight="1" spans="1:157">
      <c r="A4" s="142" t="s">
        <v>435</v>
      </c>
      <c r="B4" s="169"/>
      <c r="C4" s="170"/>
      <c r="D4" s="169"/>
      <c r="E4" s="170"/>
      <c r="F4" s="169"/>
      <c r="G4" s="170"/>
      <c r="H4" s="169"/>
      <c r="I4" s="170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8"/>
      <c r="BD4" s="168"/>
      <c r="BE4" s="168"/>
      <c r="BF4" s="168"/>
      <c r="BG4" s="168"/>
      <c r="BH4" s="168"/>
      <c r="BI4" s="168"/>
      <c r="BJ4" s="168"/>
      <c r="BK4" s="168"/>
      <c r="BL4" s="168"/>
      <c r="BM4" s="168"/>
      <c r="BN4" s="168"/>
      <c r="BO4" s="168"/>
      <c r="BP4" s="168"/>
      <c r="BQ4" s="168"/>
      <c r="BR4" s="168"/>
      <c r="BS4" s="168"/>
      <c r="BT4" s="168"/>
      <c r="BU4" s="168"/>
      <c r="BV4" s="168"/>
      <c r="BW4" s="168"/>
      <c r="BX4" s="168"/>
      <c r="BY4" s="168"/>
      <c r="BZ4" s="168"/>
      <c r="CA4" s="168"/>
      <c r="CB4" s="168"/>
      <c r="CC4" s="168"/>
      <c r="CD4" s="168"/>
      <c r="CE4" s="168"/>
      <c r="CF4" s="168"/>
      <c r="CG4" s="168"/>
      <c r="CH4" s="168"/>
      <c r="CI4" s="168"/>
      <c r="CJ4" s="168"/>
      <c r="CK4" s="168"/>
      <c r="CL4" s="168"/>
      <c r="CM4" s="168"/>
      <c r="CN4" s="168"/>
      <c r="CO4" s="168"/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8"/>
      <c r="DN4" s="168"/>
      <c r="DO4" s="168"/>
      <c r="DP4" s="168"/>
      <c r="DQ4" s="168"/>
      <c r="DR4" s="168"/>
      <c r="DS4" s="168"/>
      <c r="DT4" s="168"/>
      <c r="DU4" s="168"/>
      <c r="DV4" s="168"/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  <c r="EH4" s="168"/>
      <c r="EI4" s="168"/>
      <c r="EJ4" s="168"/>
      <c r="EK4" s="168"/>
      <c r="EL4" s="168"/>
      <c r="EM4" s="168"/>
      <c r="EN4" s="168"/>
      <c r="EO4" s="168"/>
      <c r="EP4" s="168"/>
      <c r="EQ4" s="168"/>
      <c r="ER4" s="168"/>
      <c r="ES4" s="168"/>
      <c r="ET4" s="168"/>
      <c r="EU4" s="168"/>
      <c r="EV4" s="168"/>
      <c r="EW4" s="168"/>
      <c r="EX4" s="168"/>
      <c r="EY4" s="168"/>
      <c r="EZ4" s="168"/>
      <c r="FA4" s="168"/>
    </row>
    <row r="5" s="167" customFormat="1" ht="22.5" customHeight="1" spans="1:157">
      <c r="A5" s="145" t="s">
        <v>423</v>
      </c>
      <c r="B5" s="151">
        <v>178.47</v>
      </c>
      <c r="C5" s="150">
        <v>-26.4</v>
      </c>
      <c r="D5" s="151">
        <v>22.00516</v>
      </c>
      <c r="E5" s="150">
        <v>-46.1</v>
      </c>
      <c r="F5" s="151">
        <v>34</v>
      </c>
      <c r="G5" s="150">
        <v>-53.2</v>
      </c>
      <c r="H5" s="151">
        <v>47.84</v>
      </c>
      <c r="I5" s="150">
        <v>-47.4</v>
      </c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168"/>
      <c r="BI5" s="168"/>
      <c r="BJ5" s="168"/>
      <c r="BK5" s="168"/>
      <c r="BL5" s="168"/>
      <c r="BM5" s="168"/>
      <c r="BN5" s="168"/>
      <c r="BO5" s="168"/>
      <c r="BP5" s="168"/>
      <c r="BQ5" s="168"/>
      <c r="BR5" s="168"/>
      <c r="BS5" s="168"/>
      <c r="BT5" s="168"/>
      <c r="BU5" s="168"/>
      <c r="BV5" s="168"/>
      <c r="BW5" s="168"/>
      <c r="BX5" s="168"/>
      <c r="BY5" s="168"/>
      <c r="BZ5" s="168"/>
      <c r="CA5" s="168"/>
      <c r="CB5" s="168"/>
      <c r="CC5" s="168"/>
      <c r="CD5" s="168"/>
      <c r="CE5" s="168"/>
      <c r="CF5" s="168"/>
      <c r="CG5" s="168"/>
      <c r="CH5" s="168"/>
      <c r="CI5" s="168"/>
      <c r="CJ5" s="168"/>
      <c r="CK5" s="168"/>
      <c r="CL5" s="168"/>
      <c r="CM5" s="168"/>
      <c r="CN5" s="168"/>
      <c r="CO5" s="168"/>
      <c r="CP5" s="168"/>
      <c r="CQ5" s="168"/>
      <c r="CR5" s="168"/>
      <c r="CS5" s="168"/>
      <c r="CT5" s="168"/>
      <c r="CU5" s="168"/>
      <c r="CV5" s="168"/>
      <c r="CW5" s="168"/>
      <c r="CX5" s="168"/>
      <c r="CY5" s="168"/>
      <c r="CZ5" s="168"/>
      <c r="DA5" s="168"/>
      <c r="DB5" s="168"/>
      <c r="DC5" s="168"/>
      <c r="DD5" s="168"/>
      <c r="DE5" s="168"/>
      <c r="DF5" s="168"/>
      <c r="DG5" s="168"/>
      <c r="DH5" s="168"/>
      <c r="DI5" s="168"/>
      <c r="DJ5" s="168"/>
      <c r="DK5" s="168"/>
      <c r="DL5" s="168"/>
      <c r="DM5" s="168"/>
      <c r="DN5" s="168"/>
      <c r="DO5" s="168"/>
      <c r="DP5" s="168"/>
      <c r="DQ5" s="168"/>
      <c r="DR5" s="168"/>
      <c r="DS5" s="168"/>
      <c r="DT5" s="168"/>
      <c r="DU5" s="168"/>
      <c r="DV5" s="168"/>
      <c r="DW5" s="168"/>
      <c r="DX5" s="168"/>
      <c r="DY5" s="168"/>
      <c r="DZ5" s="168"/>
      <c r="EA5" s="168"/>
      <c r="EB5" s="168"/>
      <c r="EC5" s="168"/>
      <c r="ED5" s="168"/>
      <c r="EE5" s="168"/>
      <c r="EF5" s="168"/>
      <c r="EG5" s="168"/>
      <c r="EH5" s="168"/>
      <c r="EI5" s="168"/>
      <c r="EJ5" s="168"/>
      <c r="EK5" s="168"/>
      <c r="EL5" s="168"/>
      <c r="EM5" s="168"/>
      <c r="EN5" s="168"/>
      <c r="EO5" s="168"/>
      <c r="EP5" s="168"/>
      <c r="EQ5" s="168"/>
      <c r="ER5" s="168"/>
      <c r="ES5" s="168"/>
      <c r="ET5" s="168"/>
      <c r="EU5" s="168"/>
      <c r="EV5" s="168"/>
      <c r="EW5" s="168"/>
      <c r="EX5" s="168"/>
      <c r="EY5" s="168"/>
      <c r="EZ5" s="168"/>
      <c r="FA5" s="168"/>
    </row>
    <row r="6" ht="22.5" customHeight="1" spans="1:9">
      <c r="A6" s="148" t="s">
        <v>83</v>
      </c>
      <c r="B6" s="151">
        <v>-5.2</v>
      </c>
      <c r="C6" s="150">
        <v>58.8</v>
      </c>
      <c r="D6" s="151">
        <v>0.33569</v>
      </c>
      <c r="E6" s="150">
        <v>-148.7</v>
      </c>
      <c r="F6" s="151">
        <v>0.74</v>
      </c>
      <c r="G6" s="150">
        <v>-166.3</v>
      </c>
      <c r="H6" s="151">
        <v>1.38</v>
      </c>
      <c r="I6" s="155" t="s">
        <v>12</v>
      </c>
    </row>
    <row r="7" ht="22.5" customHeight="1" spans="1:9">
      <c r="A7" s="148" t="s">
        <v>84</v>
      </c>
      <c r="B7" s="151">
        <v>15.5209</v>
      </c>
      <c r="C7" s="150">
        <v>-20.4</v>
      </c>
      <c r="D7" s="151">
        <v>-0.19</v>
      </c>
      <c r="E7" s="150">
        <v>-123.9</v>
      </c>
      <c r="F7" s="151">
        <v>-0.69</v>
      </c>
      <c r="G7" s="150">
        <v>-142</v>
      </c>
      <c r="H7" s="151">
        <v>-0.94</v>
      </c>
      <c r="I7" s="150">
        <v>-149.1</v>
      </c>
    </row>
    <row r="8" ht="22.5" customHeight="1" spans="1:9">
      <c r="A8" s="148" t="s">
        <v>85</v>
      </c>
      <c r="B8" s="151">
        <v>137.57</v>
      </c>
      <c r="C8" s="150">
        <v>37.7</v>
      </c>
      <c r="D8" s="151">
        <v>19.88178</v>
      </c>
      <c r="E8" s="150">
        <v>-17.9</v>
      </c>
      <c r="F8" s="151">
        <v>29.97</v>
      </c>
      <c r="G8" s="150">
        <v>-28.7</v>
      </c>
      <c r="H8" s="151">
        <v>38.19</v>
      </c>
      <c r="I8" s="150">
        <v>-27.1</v>
      </c>
    </row>
    <row r="9" ht="22.5" customHeight="1" spans="1:9">
      <c r="A9" s="148" t="s">
        <v>86</v>
      </c>
      <c r="B9" s="151">
        <v>2.9</v>
      </c>
      <c r="C9" s="150">
        <v>-83.3</v>
      </c>
      <c r="D9" s="151">
        <v>0.41599</v>
      </c>
      <c r="E9" s="150">
        <v>-19.9</v>
      </c>
      <c r="F9" s="151">
        <v>0.97</v>
      </c>
      <c r="G9" s="150">
        <v>-53</v>
      </c>
      <c r="H9" s="151">
        <v>1.41</v>
      </c>
      <c r="I9" s="150">
        <v>-43.3</v>
      </c>
    </row>
    <row r="10" ht="22.5" customHeight="1" spans="1:9">
      <c r="A10" s="148" t="s">
        <v>87</v>
      </c>
      <c r="B10" s="151">
        <v>1.08</v>
      </c>
      <c r="C10" s="150">
        <v>136</v>
      </c>
      <c r="D10" s="151">
        <v>0.28551</v>
      </c>
      <c r="E10" s="150">
        <v>-496.1</v>
      </c>
      <c r="F10" s="151">
        <v>0.32</v>
      </c>
      <c r="G10" s="150">
        <v>-313.2</v>
      </c>
      <c r="H10" s="151">
        <v>0.32</v>
      </c>
      <c r="I10" s="150">
        <v>2.6</v>
      </c>
    </row>
    <row r="11" ht="22.5" customHeight="1" spans="1:9">
      <c r="A11" s="148" t="s">
        <v>88</v>
      </c>
      <c r="B11" s="151">
        <v>6.32</v>
      </c>
      <c r="C11" s="150">
        <v>15.7</v>
      </c>
      <c r="D11" s="151">
        <v>2.20294</v>
      </c>
      <c r="E11" s="150">
        <v>-19.6</v>
      </c>
      <c r="F11" s="151">
        <v>1.14</v>
      </c>
      <c r="G11" s="150">
        <v>200.4</v>
      </c>
      <c r="H11" s="151">
        <v>2.47</v>
      </c>
      <c r="I11" s="150">
        <v>245.6</v>
      </c>
    </row>
    <row r="12" ht="22.5" customHeight="1" spans="1:9">
      <c r="A12" s="148" t="s">
        <v>89</v>
      </c>
      <c r="B12" s="151">
        <v>-4.24</v>
      </c>
      <c r="C12" s="150">
        <v>-13.6</v>
      </c>
      <c r="D12" s="151">
        <v>-0.35737</v>
      </c>
      <c r="E12" s="150">
        <v>-53.6</v>
      </c>
      <c r="F12" s="151">
        <v>0.08</v>
      </c>
      <c r="G12" s="150">
        <v>-116.3</v>
      </c>
      <c r="H12" s="151">
        <v>0.58</v>
      </c>
      <c r="I12" s="155" t="s">
        <v>12</v>
      </c>
    </row>
    <row r="13" ht="22.5" customHeight="1" spans="1:9">
      <c r="A13" s="148" t="s">
        <v>90</v>
      </c>
      <c r="B13" s="151">
        <v>-3.98</v>
      </c>
      <c r="C13" s="150">
        <v>-158.2</v>
      </c>
      <c r="D13" s="151">
        <v>-0.78234</v>
      </c>
      <c r="E13" s="150">
        <v>-577</v>
      </c>
      <c r="F13" s="151">
        <v>-0.79</v>
      </c>
      <c r="G13" s="150">
        <v>-388</v>
      </c>
      <c r="H13" s="151">
        <v>-0.33</v>
      </c>
      <c r="I13" s="150">
        <v>-157.4</v>
      </c>
    </row>
    <row r="14" ht="22.5" customHeight="1" spans="1:9">
      <c r="A14" s="148" t="s">
        <v>91</v>
      </c>
      <c r="B14" s="151">
        <v>2.24</v>
      </c>
      <c r="C14" s="150">
        <v>-63.2</v>
      </c>
      <c r="D14" s="151">
        <v>0.01719</v>
      </c>
      <c r="E14" s="150">
        <v>-87.5</v>
      </c>
      <c r="F14" s="151">
        <v>0.04</v>
      </c>
      <c r="G14" s="150">
        <v>-90.1</v>
      </c>
      <c r="H14" s="151">
        <v>0.39</v>
      </c>
      <c r="I14" s="150">
        <v>-36</v>
      </c>
    </row>
    <row r="15" ht="22.5" customHeight="1" spans="1:9">
      <c r="A15" s="148" t="s">
        <v>424</v>
      </c>
      <c r="B15" s="151">
        <v>27.22</v>
      </c>
      <c r="C15" s="150">
        <v>-78.3</v>
      </c>
      <c r="D15" s="151">
        <v>0.10935</v>
      </c>
      <c r="E15" s="150">
        <v>-99.2</v>
      </c>
      <c r="F15" s="151">
        <v>2.56</v>
      </c>
      <c r="G15" s="150">
        <v>-90.8</v>
      </c>
      <c r="H15" s="151">
        <v>4.95</v>
      </c>
      <c r="I15" s="150">
        <v>-85.6</v>
      </c>
    </row>
    <row r="16" ht="19.5" customHeight="1" spans="1:9">
      <c r="A16" s="148"/>
      <c r="B16" s="151"/>
      <c r="C16" s="150"/>
      <c r="D16" s="151"/>
      <c r="E16" s="150"/>
      <c r="F16" s="151"/>
      <c r="G16" s="150"/>
      <c r="H16" s="151"/>
      <c r="I16" s="150"/>
    </row>
    <row r="17" ht="33" customHeight="1" spans="1:9">
      <c r="A17" s="153" t="s">
        <v>436</v>
      </c>
      <c r="B17" s="151"/>
      <c r="C17" s="150"/>
      <c r="D17" s="151"/>
      <c r="E17" s="150"/>
      <c r="F17" s="151"/>
      <c r="G17" s="150"/>
      <c r="H17" s="151"/>
      <c r="I17" s="150"/>
    </row>
    <row r="18" ht="22.5" customHeight="1" spans="1:9">
      <c r="A18" s="145" t="s">
        <v>423</v>
      </c>
      <c r="B18" s="151">
        <v>3513.87</v>
      </c>
      <c r="C18" s="150">
        <v>12.7</v>
      </c>
      <c r="D18" s="151">
        <v>505.45865</v>
      </c>
      <c r="E18" s="150">
        <v>-1</v>
      </c>
      <c r="F18" s="151">
        <v>788.68</v>
      </c>
      <c r="G18" s="150">
        <v>-4</v>
      </c>
      <c r="H18" s="151">
        <v>1070.67</v>
      </c>
      <c r="I18" s="150">
        <v>-3.2</v>
      </c>
    </row>
    <row r="19" ht="22.5" customHeight="1" spans="1:9">
      <c r="A19" s="148" t="s">
        <v>83</v>
      </c>
      <c r="B19" s="151">
        <v>110.79</v>
      </c>
      <c r="C19" s="150">
        <v>-2.5</v>
      </c>
      <c r="D19" s="151">
        <v>20.67244</v>
      </c>
      <c r="E19" s="150">
        <v>27.6</v>
      </c>
      <c r="F19" s="151">
        <v>32.5745</v>
      </c>
      <c r="G19" s="150">
        <v>17.7</v>
      </c>
      <c r="H19" s="151">
        <v>42.57</v>
      </c>
      <c r="I19" s="150">
        <v>15.4</v>
      </c>
    </row>
    <row r="20" ht="22.5" customHeight="1" spans="1:9">
      <c r="A20" s="148" t="s">
        <v>84</v>
      </c>
      <c r="B20" s="151">
        <v>670.392</v>
      </c>
      <c r="C20" s="150">
        <v>1.4</v>
      </c>
      <c r="D20" s="151">
        <v>64.12</v>
      </c>
      <c r="E20" s="150">
        <v>15.4</v>
      </c>
      <c r="F20" s="151">
        <v>99.819</v>
      </c>
      <c r="G20" s="150">
        <v>18.4</v>
      </c>
      <c r="H20" s="151">
        <v>137.72</v>
      </c>
      <c r="I20" s="150">
        <v>18.7</v>
      </c>
    </row>
    <row r="21" ht="22.5" customHeight="1" spans="1:9">
      <c r="A21" s="148" t="s">
        <v>85</v>
      </c>
      <c r="B21" s="151">
        <v>350.16</v>
      </c>
      <c r="C21" s="150">
        <v>11.8</v>
      </c>
      <c r="D21" s="151">
        <v>48.03312</v>
      </c>
      <c r="E21" s="150">
        <v>-8.7</v>
      </c>
      <c r="F21" s="151">
        <v>75.064</v>
      </c>
      <c r="G21" s="150">
        <v>-16.7</v>
      </c>
      <c r="H21" s="151">
        <v>97.63</v>
      </c>
      <c r="I21" s="150">
        <v>-14.4</v>
      </c>
    </row>
    <row r="22" ht="22.5" customHeight="1" spans="1:9">
      <c r="A22" s="148" t="s">
        <v>86</v>
      </c>
      <c r="B22" s="151">
        <v>206.5</v>
      </c>
      <c r="C22" s="171">
        <v>-4.1</v>
      </c>
      <c r="D22" s="151">
        <v>23.42104</v>
      </c>
      <c r="E22" s="171">
        <v>-31.4</v>
      </c>
      <c r="F22" s="151">
        <v>37.8674</v>
      </c>
      <c r="G22" s="171">
        <v>-28.3</v>
      </c>
      <c r="H22" s="151">
        <v>53.04</v>
      </c>
      <c r="I22" s="171">
        <v>-20.4</v>
      </c>
    </row>
    <row r="23" ht="22.5" customHeight="1" spans="1:9">
      <c r="A23" s="148" t="s">
        <v>87</v>
      </c>
      <c r="B23" s="151">
        <v>98.79</v>
      </c>
      <c r="C23" s="171">
        <v>-4.6</v>
      </c>
      <c r="D23" s="151">
        <v>14.73332</v>
      </c>
      <c r="E23" s="171">
        <v>7.3</v>
      </c>
      <c r="F23" s="151">
        <v>22.4989</v>
      </c>
      <c r="G23" s="171">
        <v>3.8</v>
      </c>
      <c r="H23" s="151">
        <v>29.56</v>
      </c>
      <c r="I23" s="171">
        <v>0.2</v>
      </c>
    </row>
    <row r="24" ht="22.5" customHeight="1" spans="1:9">
      <c r="A24" s="148" t="s">
        <v>88</v>
      </c>
      <c r="B24" s="151">
        <v>46.89</v>
      </c>
      <c r="C24" s="171">
        <v>43.8</v>
      </c>
      <c r="D24" s="151">
        <v>9.88982</v>
      </c>
      <c r="E24" s="171">
        <v>12.7</v>
      </c>
      <c r="F24" s="151">
        <v>14.4931</v>
      </c>
      <c r="G24" s="171">
        <v>14.5</v>
      </c>
      <c r="H24" s="151">
        <v>19.86</v>
      </c>
      <c r="I24" s="171">
        <v>17.9</v>
      </c>
    </row>
    <row r="25" ht="22.5" customHeight="1" spans="1:9">
      <c r="A25" s="148" t="s">
        <v>89</v>
      </c>
      <c r="B25" s="151">
        <v>96.43</v>
      </c>
      <c r="C25" s="171">
        <v>17.1</v>
      </c>
      <c r="D25" s="151">
        <v>12.3996</v>
      </c>
      <c r="E25" s="171">
        <v>-1.8</v>
      </c>
      <c r="F25" s="151">
        <v>19.9766</v>
      </c>
      <c r="G25" s="171">
        <v>-3.4</v>
      </c>
      <c r="H25" s="151">
        <v>31</v>
      </c>
      <c r="I25" s="171">
        <v>7.9</v>
      </c>
    </row>
    <row r="26" ht="22.5" customHeight="1" spans="1:9">
      <c r="A26" s="148" t="s">
        <v>90</v>
      </c>
      <c r="B26" s="151">
        <v>264.97</v>
      </c>
      <c r="C26" s="171">
        <v>6.3</v>
      </c>
      <c r="D26" s="151">
        <v>36.90766</v>
      </c>
      <c r="E26" s="171">
        <v>-1.2</v>
      </c>
      <c r="F26" s="151">
        <v>58.1378</v>
      </c>
      <c r="G26" s="171">
        <v>-1.6</v>
      </c>
      <c r="H26" s="151">
        <v>75.32</v>
      </c>
      <c r="I26" s="171">
        <v>-5.8</v>
      </c>
    </row>
    <row r="27" ht="22.5" customHeight="1" spans="1:9">
      <c r="A27" s="148" t="s">
        <v>91</v>
      </c>
      <c r="B27" s="151">
        <v>151.39</v>
      </c>
      <c r="C27" s="171">
        <v>-11.9</v>
      </c>
      <c r="D27" s="151">
        <v>19.78116</v>
      </c>
      <c r="E27" s="171">
        <v>-10.1</v>
      </c>
      <c r="F27" s="151">
        <v>31.7405</v>
      </c>
      <c r="G27" s="171">
        <v>-7.4</v>
      </c>
      <c r="H27" s="151">
        <v>44.8</v>
      </c>
      <c r="I27" s="171">
        <v>-3.6</v>
      </c>
    </row>
    <row r="28" ht="22.5" customHeight="1" spans="1:9">
      <c r="A28" s="156" t="s">
        <v>424</v>
      </c>
      <c r="B28" s="157">
        <v>2030.05</v>
      </c>
      <c r="C28" s="172">
        <v>17.1</v>
      </c>
      <c r="D28" s="157">
        <v>289.52058</v>
      </c>
      <c r="E28" s="172">
        <v>-3.7</v>
      </c>
      <c r="F28" s="157">
        <v>452.2443</v>
      </c>
      <c r="G28" s="172">
        <v>-6.5</v>
      </c>
      <c r="H28" s="157">
        <v>618.33</v>
      </c>
      <c r="I28" s="172">
        <v>-5.7</v>
      </c>
    </row>
    <row r="29" ht="50" customHeight="1" spans="1:3">
      <c r="A29" s="173" t="s">
        <v>426</v>
      </c>
      <c r="B29" s="173"/>
      <c r="C29" s="173"/>
    </row>
  </sheetData>
  <mergeCells count="7">
    <mergeCell ref="A1:I1"/>
    <mergeCell ref="B2:C2"/>
    <mergeCell ref="D2:E2"/>
    <mergeCell ref="F2:G2"/>
    <mergeCell ref="H2:I2"/>
    <mergeCell ref="A29:C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K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G14" sqref="G14"/>
    </sheetView>
  </sheetViews>
  <sheetFormatPr defaultColWidth="9" defaultRowHeight="14.25"/>
  <cols>
    <col min="1" max="1" width="25.625" style="133" customWidth="1"/>
    <col min="2" max="2" width="10.375" style="133"/>
    <col min="3" max="3" width="9.375" style="133"/>
    <col min="4" max="4" width="10.375" style="133"/>
    <col min="5" max="6" width="9.375" style="133"/>
    <col min="7" max="7" width="9" style="133"/>
    <col min="8" max="8" width="9.375" style="133"/>
    <col min="9" max="9" width="9" style="133"/>
    <col min="10" max="11" width="9.375" style="133"/>
    <col min="12" max="184" width="9" style="133"/>
    <col min="185" max="16384" width="9" style="134"/>
  </cols>
  <sheetData>
    <row r="1" ht="28.5" customHeight="1" spans="1:11">
      <c r="A1" s="135" t="s">
        <v>437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ht="21" customHeight="1" spans="1:11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</row>
    <row r="3" ht="21" customHeight="1" spans="1:11">
      <c r="A3" s="139"/>
      <c r="B3" s="140" t="s">
        <v>8</v>
      </c>
      <c r="C3" s="141" t="s">
        <v>9</v>
      </c>
      <c r="D3" s="140" t="s">
        <v>8</v>
      </c>
      <c r="E3" s="141" t="s">
        <v>9</v>
      </c>
      <c r="F3" s="140" t="s">
        <v>8</v>
      </c>
      <c r="G3" s="141" t="s">
        <v>9</v>
      </c>
      <c r="H3" s="140" t="s">
        <v>8</v>
      </c>
      <c r="I3" s="141" t="s">
        <v>9</v>
      </c>
      <c r="J3" s="140" t="s">
        <v>8</v>
      </c>
      <c r="K3" s="141" t="s">
        <v>9</v>
      </c>
    </row>
    <row r="4" ht="33" customHeight="1" spans="1:11">
      <c r="A4" s="142" t="s">
        <v>295</v>
      </c>
      <c r="B4" s="160"/>
      <c r="C4" s="161"/>
      <c r="D4" s="160"/>
      <c r="E4" s="161"/>
      <c r="F4" s="160"/>
      <c r="G4" s="161"/>
      <c r="H4" s="160"/>
      <c r="I4" s="161"/>
      <c r="J4" s="160"/>
      <c r="K4" s="161"/>
    </row>
    <row r="5" ht="24" customHeight="1" spans="1:11">
      <c r="A5" s="145" t="s">
        <v>423</v>
      </c>
      <c r="B5" s="146">
        <v>1826.6312</v>
      </c>
      <c r="C5" s="147">
        <v>2.36</v>
      </c>
      <c r="D5" s="146">
        <v>310.1395</v>
      </c>
      <c r="E5" s="147">
        <v>1.2</v>
      </c>
      <c r="F5" s="146">
        <v>461.7344</v>
      </c>
      <c r="G5" s="147">
        <v>3.42</v>
      </c>
      <c r="H5" s="146">
        <v>612.8219</v>
      </c>
      <c r="I5" s="147">
        <v>5.53</v>
      </c>
      <c r="J5" s="146">
        <v>759.97</v>
      </c>
      <c r="K5" s="147">
        <v>6.6</v>
      </c>
    </row>
    <row r="6" ht="24" customHeight="1" spans="1:11">
      <c r="A6" s="148" t="s">
        <v>83</v>
      </c>
      <c r="B6" s="146">
        <v>429.01082</v>
      </c>
      <c r="C6" s="147">
        <v>1.19</v>
      </c>
      <c r="D6" s="146">
        <v>70.22146</v>
      </c>
      <c r="E6" s="147">
        <v>-3.83</v>
      </c>
      <c r="F6" s="146">
        <v>106.3232</v>
      </c>
      <c r="G6" s="147">
        <v>-1.21</v>
      </c>
      <c r="H6" s="146">
        <v>141.2669</v>
      </c>
      <c r="I6" s="147">
        <v>1.67</v>
      </c>
      <c r="J6" s="146">
        <v>176.53</v>
      </c>
      <c r="K6" s="147">
        <v>3.9</v>
      </c>
    </row>
    <row r="7" ht="24" customHeight="1" spans="1:11">
      <c r="A7" s="148" t="s">
        <v>84</v>
      </c>
      <c r="B7" s="146">
        <v>331.57849</v>
      </c>
      <c r="C7" s="147">
        <v>5.62</v>
      </c>
      <c r="D7" s="146">
        <v>57.13621</v>
      </c>
      <c r="E7" s="147">
        <v>6.29</v>
      </c>
      <c r="F7" s="146">
        <v>84.06692</v>
      </c>
      <c r="G7" s="147">
        <v>6.24</v>
      </c>
      <c r="H7" s="146">
        <v>111.84675</v>
      </c>
      <c r="I7" s="147">
        <v>7.41</v>
      </c>
      <c r="J7" s="146">
        <v>138.59</v>
      </c>
      <c r="K7" s="147">
        <v>7.5</v>
      </c>
    </row>
    <row r="8" ht="24" customHeight="1" spans="1:11">
      <c r="A8" s="148" t="s">
        <v>85</v>
      </c>
      <c r="B8" s="146">
        <v>43.64099</v>
      </c>
      <c r="C8" s="147">
        <v>1.73</v>
      </c>
      <c r="D8" s="146">
        <v>7.73457</v>
      </c>
      <c r="E8" s="147">
        <v>4.49</v>
      </c>
      <c r="F8" s="146">
        <v>11.17371</v>
      </c>
      <c r="G8" s="147">
        <v>6.97</v>
      </c>
      <c r="H8" s="146">
        <v>14.86957</v>
      </c>
      <c r="I8" s="147">
        <v>7.86</v>
      </c>
      <c r="J8" s="146">
        <v>18.41</v>
      </c>
      <c r="K8" s="147">
        <v>8.4</v>
      </c>
    </row>
    <row r="9" ht="24" customHeight="1" spans="1:11">
      <c r="A9" s="148" t="s">
        <v>86</v>
      </c>
      <c r="B9" s="146">
        <v>149.14329</v>
      </c>
      <c r="C9" s="147">
        <v>1.5</v>
      </c>
      <c r="D9" s="146">
        <v>25.38857</v>
      </c>
      <c r="E9" s="147">
        <v>-1.24</v>
      </c>
      <c r="F9" s="146">
        <v>38.30211</v>
      </c>
      <c r="G9" s="147">
        <v>3.44</v>
      </c>
      <c r="H9" s="146">
        <v>50.48162</v>
      </c>
      <c r="I9" s="147">
        <v>5.42</v>
      </c>
      <c r="J9" s="146">
        <v>62.22</v>
      </c>
      <c r="K9" s="147">
        <v>7.3</v>
      </c>
    </row>
    <row r="10" ht="24" customHeight="1" spans="1:11">
      <c r="A10" s="148" t="s">
        <v>87</v>
      </c>
      <c r="B10" s="146">
        <v>161.20934</v>
      </c>
      <c r="C10" s="147">
        <v>1.24</v>
      </c>
      <c r="D10" s="146">
        <v>27.93376</v>
      </c>
      <c r="E10" s="147">
        <v>1.39</v>
      </c>
      <c r="F10" s="146">
        <v>41.41055</v>
      </c>
      <c r="G10" s="147">
        <v>4.13</v>
      </c>
      <c r="H10" s="146">
        <v>54.92737</v>
      </c>
      <c r="I10" s="147">
        <v>6.3</v>
      </c>
      <c r="J10" s="146">
        <v>68.44</v>
      </c>
      <c r="K10" s="147">
        <v>7.8</v>
      </c>
    </row>
    <row r="11" ht="24" customHeight="1" spans="1:11">
      <c r="A11" s="148" t="s">
        <v>88</v>
      </c>
      <c r="B11" s="146">
        <v>74.6218</v>
      </c>
      <c r="C11" s="147">
        <v>2.26</v>
      </c>
      <c r="D11" s="146">
        <v>12.73866</v>
      </c>
      <c r="E11" s="147">
        <v>1.6</v>
      </c>
      <c r="F11" s="146">
        <v>18.93131</v>
      </c>
      <c r="G11" s="147">
        <v>3.99</v>
      </c>
      <c r="H11" s="146">
        <v>25.17633</v>
      </c>
      <c r="I11" s="147">
        <v>6.22</v>
      </c>
      <c r="J11" s="146">
        <v>31.1</v>
      </c>
      <c r="K11" s="147">
        <v>6.8</v>
      </c>
    </row>
    <row r="12" ht="24" customHeight="1" spans="1:11">
      <c r="A12" s="148" t="s">
        <v>89</v>
      </c>
      <c r="B12" s="146">
        <v>181.57453</v>
      </c>
      <c r="C12" s="147">
        <v>2.04</v>
      </c>
      <c r="D12" s="146">
        <v>31.7408</v>
      </c>
      <c r="E12" s="147">
        <v>1.93</v>
      </c>
      <c r="F12" s="146">
        <v>46.59279</v>
      </c>
      <c r="G12" s="147">
        <v>4.17</v>
      </c>
      <c r="H12" s="146">
        <v>61.81191</v>
      </c>
      <c r="I12" s="147">
        <v>6.51</v>
      </c>
      <c r="J12" s="146">
        <v>75.86</v>
      </c>
      <c r="K12" s="147">
        <v>6.9</v>
      </c>
    </row>
    <row r="13" ht="24" customHeight="1" spans="1:11">
      <c r="A13" s="148" t="s">
        <v>90</v>
      </c>
      <c r="B13" s="146">
        <v>144.53017</v>
      </c>
      <c r="C13" s="147">
        <v>2.28</v>
      </c>
      <c r="D13" s="146">
        <v>24.9328</v>
      </c>
      <c r="E13" s="147">
        <v>3.6</v>
      </c>
      <c r="F13" s="146">
        <v>37.5535</v>
      </c>
      <c r="G13" s="147">
        <v>6.66</v>
      </c>
      <c r="H13" s="146">
        <v>49.52898</v>
      </c>
      <c r="I13" s="147">
        <v>8.32</v>
      </c>
      <c r="J13" s="146">
        <v>61.08</v>
      </c>
      <c r="K13" s="147">
        <v>8.8</v>
      </c>
    </row>
    <row r="14" ht="24" customHeight="1" spans="1:11">
      <c r="A14" s="148" t="s">
        <v>91</v>
      </c>
      <c r="B14" s="146">
        <v>311.32185</v>
      </c>
      <c r="C14" s="147">
        <v>2</v>
      </c>
      <c r="D14" s="146">
        <v>52.31268</v>
      </c>
      <c r="E14" s="147">
        <v>1.98</v>
      </c>
      <c r="F14" s="146">
        <v>77.38032</v>
      </c>
      <c r="G14" s="147">
        <v>4.09</v>
      </c>
      <c r="H14" s="146">
        <v>102.91247</v>
      </c>
      <c r="I14" s="147">
        <v>6.28</v>
      </c>
      <c r="J14" s="146">
        <v>127.73</v>
      </c>
      <c r="K14" s="147">
        <v>6.9</v>
      </c>
    </row>
    <row r="15" ht="24" customHeight="1" spans="1:11">
      <c r="A15" s="148" t="s">
        <v>424</v>
      </c>
      <c r="B15" s="146">
        <v>113.82788</v>
      </c>
      <c r="C15" s="147">
        <v>5.93</v>
      </c>
      <c r="D15" s="146">
        <v>18.62957</v>
      </c>
      <c r="E15" s="147">
        <v>0.96</v>
      </c>
      <c r="F15" s="146">
        <v>27.84822</v>
      </c>
      <c r="G15" s="147">
        <v>3.19</v>
      </c>
      <c r="H15" s="146">
        <v>36.76738</v>
      </c>
      <c r="I15" s="147">
        <v>4.92</v>
      </c>
      <c r="J15" s="146">
        <v>45.64</v>
      </c>
      <c r="K15" s="147">
        <v>5</v>
      </c>
    </row>
    <row r="16" ht="22.9" customHeight="1" spans="1:11">
      <c r="A16" s="148"/>
      <c r="B16" s="143"/>
      <c r="C16" s="144"/>
      <c r="D16" s="143"/>
      <c r="E16" s="144"/>
      <c r="F16" s="143"/>
      <c r="G16" s="144"/>
      <c r="H16" s="143"/>
      <c r="I16" s="144"/>
      <c r="J16" s="143"/>
      <c r="K16" s="144"/>
    </row>
    <row r="17" ht="33" customHeight="1" spans="1:11">
      <c r="A17" s="153" t="s">
        <v>438</v>
      </c>
      <c r="B17" s="143"/>
      <c r="C17" s="144"/>
      <c r="D17" s="143"/>
      <c r="E17" s="144"/>
      <c r="F17" s="143"/>
      <c r="G17" s="144"/>
      <c r="H17" s="143"/>
      <c r="I17" s="144"/>
      <c r="J17" s="143"/>
      <c r="K17" s="144"/>
    </row>
    <row r="18" ht="24" customHeight="1" spans="1:11">
      <c r="A18" s="145" t="s">
        <v>423</v>
      </c>
      <c r="B18" s="146"/>
      <c r="C18" s="147">
        <v>-9.6</v>
      </c>
      <c r="D18" s="146"/>
      <c r="E18" s="147">
        <v>-9.2</v>
      </c>
      <c r="F18" s="146"/>
      <c r="G18" s="147">
        <v>4.6</v>
      </c>
      <c r="H18" s="146"/>
      <c r="I18" s="147">
        <v>0.1</v>
      </c>
      <c r="J18" s="146"/>
      <c r="K18" s="147">
        <v>4.42314362139331</v>
      </c>
    </row>
    <row r="19" ht="24" customHeight="1" spans="1:11">
      <c r="A19" s="148" t="s">
        <v>83</v>
      </c>
      <c r="B19" s="162"/>
      <c r="C19" s="163">
        <v>0.2</v>
      </c>
      <c r="D19" s="162"/>
      <c r="E19" s="163">
        <v>-12.1</v>
      </c>
      <c r="F19" s="162"/>
      <c r="G19" s="163">
        <v>14.1</v>
      </c>
      <c r="H19" s="162"/>
      <c r="I19" s="163">
        <v>-5.8</v>
      </c>
      <c r="J19" s="162"/>
      <c r="K19" s="163">
        <v>-8.86064589028955</v>
      </c>
    </row>
    <row r="20" ht="24" customHeight="1" spans="1:11">
      <c r="A20" s="148" t="s">
        <v>84</v>
      </c>
      <c r="B20" s="146"/>
      <c r="C20" s="147">
        <v>-12.6</v>
      </c>
      <c r="D20" s="146"/>
      <c r="E20" s="147">
        <v>-44.9</v>
      </c>
      <c r="F20" s="146"/>
      <c r="G20" s="147">
        <v>-24.3</v>
      </c>
      <c r="H20" s="146"/>
      <c r="I20" s="147">
        <v>-22.8</v>
      </c>
      <c r="J20" s="146"/>
      <c r="K20" s="147">
        <v>-16.2348680450075</v>
      </c>
    </row>
    <row r="21" ht="24" customHeight="1" spans="1:11">
      <c r="A21" s="148" t="s">
        <v>85</v>
      </c>
      <c r="B21" s="146"/>
      <c r="C21" s="147">
        <v>11.8</v>
      </c>
      <c r="D21" s="146"/>
      <c r="E21" s="147">
        <v>-32.7</v>
      </c>
      <c r="F21" s="146"/>
      <c r="G21" s="147">
        <v>8.7</v>
      </c>
      <c r="H21" s="146"/>
      <c r="I21" s="147">
        <v>-12.5</v>
      </c>
      <c r="J21" s="146"/>
      <c r="K21" s="147">
        <v>-8.29404558271375</v>
      </c>
    </row>
    <row r="22" ht="24" customHeight="1" spans="1:11">
      <c r="A22" s="148" t="s">
        <v>86</v>
      </c>
      <c r="B22" s="146"/>
      <c r="C22" s="147">
        <v>1.1</v>
      </c>
      <c r="D22" s="146"/>
      <c r="E22" s="147">
        <v>-32.1</v>
      </c>
      <c r="F22" s="146"/>
      <c r="G22" s="147">
        <v>-23.9</v>
      </c>
      <c r="H22" s="146"/>
      <c r="I22" s="147">
        <v>-24.2</v>
      </c>
      <c r="J22" s="146"/>
      <c r="K22" s="147">
        <v>-16.8775791600503</v>
      </c>
    </row>
    <row r="23" ht="24" customHeight="1" spans="1:11">
      <c r="A23" s="148" t="s">
        <v>87</v>
      </c>
      <c r="B23" s="146"/>
      <c r="C23" s="147">
        <v>-15.7</v>
      </c>
      <c r="D23" s="146"/>
      <c r="E23" s="147">
        <v>4.6</v>
      </c>
      <c r="F23" s="146"/>
      <c r="G23" s="147">
        <v>6.2</v>
      </c>
      <c r="H23" s="146"/>
      <c r="I23" s="147">
        <v>-11.1</v>
      </c>
      <c r="J23" s="146"/>
      <c r="K23" s="147">
        <v>-8.79697673738301</v>
      </c>
    </row>
    <row r="24" ht="24" customHeight="1" spans="1:11">
      <c r="A24" s="148" t="s">
        <v>88</v>
      </c>
      <c r="B24" s="146"/>
      <c r="C24" s="147">
        <v>-44.4</v>
      </c>
      <c r="D24" s="146"/>
      <c r="E24" s="147">
        <v>-2.2</v>
      </c>
      <c r="F24" s="146"/>
      <c r="G24" s="147">
        <v>-26.8</v>
      </c>
      <c r="H24" s="146"/>
      <c r="I24" s="147">
        <v>-24.9</v>
      </c>
      <c r="J24" s="146"/>
      <c r="K24" s="147">
        <v>-13.5570509315195</v>
      </c>
    </row>
    <row r="25" ht="24" customHeight="1" spans="1:11">
      <c r="A25" s="148" t="s">
        <v>89</v>
      </c>
      <c r="B25" s="146"/>
      <c r="C25" s="147">
        <v>3.6</v>
      </c>
      <c r="D25" s="146"/>
      <c r="E25" s="147">
        <v>5.3</v>
      </c>
      <c r="F25" s="146"/>
      <c r="G25" s="147">
        <v>8.8</v>
      </c>
      <c r="H25" s="146"/>
      <c r="I25" s="147">
        <v>21.4</v>
      </c>
      <c r="J25" s="146"/>
      <c r="K25" s="147">
        <v>16.6888783609775</v>
      </c>
    </row>
    <row r="26" ht="24" customHeight="1" spans="1:11">
      <c r="A26" s="148" t="s">
        <v>90</v>
      </c>
      <c r="B26" s="146"/>
      <c r="C26" s="147">
        <v>7.2</v>
      </c>
      <c r="D26" s="146"/>
      <c r="E26" s="147">
        <v>0.8</v>
      </c>
      <c r="F26" s="146"/>
      <c r="G26" s="147">
        <v>9.2</v>
      </c>
      <c r="H26" s="146"/>
      <c r="I26" s="147">
        <v>0.3</v>
      </c>
      <c r="J26" s="146"/>
      <c r="K26" s="147">
        <v>-3.29436914706828</v>
      </c>
    </row>
    <row r="27" ht="24" customHeight="1" spans="1:11">
      <c r="A27" s="148" t="s">
        <v>91</v>
      </c>
      <c r="B27" s="146"/>
      <c r="C27" s="147">
        <v>21.5</v>
      </c>
      <c r="D27" s="146"/>
      <c r="E27" s="147">
        <v>23.6</v>
      </c>
      <c r="F27" s="146"/>
      <c r="G27" s="147">
        <v>21.2</v>
      </c>
      <c r="H27" s="146"/>
      <c r="I27" s="147">
        <v>18.1</v>
      </c>
      <c r="J27" s="146"/>
      <c r="K27" s="147">
        <v>31.8182913024374</v>
      </c>
    </row>
    <row r="28" ht="24" customHeight="1" spans="1:11">
      <c r="A28" s="156" t="s">
        <v>439</v>
      </c>
      <c r="B28" s="164"/>
      <c r="C28" s="165">
        <v>-30.3</v>
      </c>
      <c r="D28" s="164"/>
      <c r="E28" s="165">
        <v>11.8</v>
      </c>
      <c r="F28" s="164"/>
      <c r="G28" s="165">
        <v>48</v>
      </c>
      <c r="H28" s="164"/>
      <c r="I28" s="165">
        <v>69.2</v>
      </c>
      <c r="J28" s="164"/>
      <c r="K28" s="165">
        <v>62.3018801512181</v>
      </c>
    </row>
  </sheetData>
  <mergeCells count="7">
    <mergeCell ref="A1:K1"/>
    <mergeCell ref="B2:C2"/>
    <mergeCell ref="D2:E2"/>
    <mergeCell ref="F2:G2"/>
    <mergeCell ref="H2:I2"/>
    <mergeCell ref="J2:K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K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A1" sqref="A1:K1"/>
    </sheetView>
  </sheetViews>
  <sheetFormatPr defaultColWidth="9" defaultRowHeight="14.25"/>
  <cols>
    <col min="1" max="1" width="25.625" style="133" customWidth="1"/>
    <col min="2" max="2" width="9.375" style="133"/>
    <col min="3" max="3" width="9" style="133"/>
    <col min="4" max="4" width="9.375" style="133"/>
    <col min="5" max="5" width="9" style="133"/>
    <col min="6" max="6" width="9.375" style="133"/>
    <col min="7" max="7" width="9" style="133"/>
    <col min="8" max="8" width="9.375" style="133"/>
    <col min="9" max="9" width="9" style="133"/>
    <col min="10" max="10" width="9.375" style="133"/>
    <col min="11" max="182" width="9" style="133"/>
    <col min="183" max="16384" width="9" style="134"/>
  </cols>
  <sheetData>
    <row r="1" ht="28.5" customHeight="1" spans="1:11">
      <c r="A1" s="135" t="s">
        <v>440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ht="21" customHeight="1" spans="1:11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</row>
    <row r="3" ht="37" customHeight="1" spans="1:11">
      <c r="A3" s="139"/>
      <c r="B3" s="140" t="s">
        <v>8</v>
      </c>
      <c r="C3" s="141" t="s">
        <v>9</v>
      </c>
      <c r="D3" s="140" t="s">
        <v>8</v>
      </c>
      <c r="E3" s="141" t="s">
        <v>9</v>
      </c>
      <c r="F3" s="140" t="s">
        <v>8</v>
      </c>
      <c r="G3" s="141" t="s">
        <v>9</v>
      </c>
      <c r="H3" s="140" t="s">
        <v>8</v>
      </c>
      <c r="I3" s="141" t="s">
        <v>9</v>
      </c>
      <c r="J3" s="140" t="s">
        <v>8</v>
      </c>
      <c r="K3" s="141" t="s">
        <v>9</v>
      </c>
    </row>
    <row r="4" ht="33" customHeight="1" spans="1:11">
      <c r="A4" s="142" t="s">
        <v>441</v>
      </c>
      <c r="B4" s="160"/>
      <c r="C4" s="161"/>
      <c r="D4" s="160"/>
      <c r="E4" s="161"/>
      <c r="F4" s="160"/>
      <c r="G4" s="161"/>
      <c r="H4" s="160"/>
      <c r="I4" s="161"/>
      <c r="J4" s="160"/>
      <c r="K4" s="161"/>
    </row>
    <row r="5" ht="24" customHeight="1" spans="1:11">
      <c r="A5" s="145" t="s">
        <v>423</v>
      </c>
      <c r="B5" s="146"/>
      <c r="C5" s="147">
        <v>-7.4</v>
      </c>
      <c r="D5" s="146"/>
      <c r="E5" s="147">
        <v>30.6</v>
      </c>
      <c r="F5" s="146"/>
      <c r="G5" s="147">
        <v>31.8</v>
      </c>
      <c r="H5" s="146"/>
      <c r="I5" s="147">
        <v>42.1</v>
      </c>
      <c r="J5" s="146"/>
      <c r="K5" s="147">
        <v>52.6372238058681</v>
      </c>
    </row>
    <row r="6" ht="24" customHeight="1" spans="1:11">
      <c r="A6" s="148" t="s">
        <v>83</v>
      </c>
      <c r="B6" s="146"/>
      <c r="C6" s="147">
        <v>-10.1</v>
      </c>
      <c r="D6" s="146"/>
      <c r="E6" s="147">
        <v>54.4</v>
      </c>
      <c r="F6" s="146"/>
      <c r="G6" s="147">
        <v>-37.4</v>
      </c>
      <c r="H6" s="146"/>
      <c r="I6" s="147">
        <v>-41.4</v>
      </c>
      <c r="J6" s="146"/>
      <c r="K6" s="147">
        <v>-35.2225888055357</v>
      </c>
    </row>
    <row r="7" ht="24" customHeight="1" spans="1:11">
      <c r="A7" s="148" t="s">
        <v>84</v>
      </c>
      <c r="B7" s="146"/>
      <c r="C7" s="147">
        <v>-1.5</v>
      </c>
      <c r="D7" s="146"/>
      <c r="E7" s="147">
        <v>-84.2</v>
      </c>
      <c r="F7" s="146"/>
      <c r="G7" s="147">
        <v>-39.6</v>
      </c>
      <c r="H7" s="146"/>
      <c r="I7" s="147">
        <v>-50.4</v>
      </c>
      <c r="J7" s="146"/>
      <c r="K7" s="147">
        <v>-52.3244367698442</v>
      </c>
    </row>
    <row r="8" ht="24" customHeight="1" spans="1:11">
      <c r="A8" s="148" t="s">
        <v>85</v>
      </c>
      <c r="B8" s="146"/>
      <c r="C8" s="147">
        <v>16.3</v>
      </c>
      <c r="D8" s="146"/>
      <c r="E8" s="147">
        <v>-28.6</v>
      </c>
      <c r="F8" s="146"/>
      <c r="G8" s="147">
        <v>27.4</v>
      </c>
      <c r="H8" s="146"/>
      <c r="I8" s="147">
        <v>43.5</v>
      </c>
      <c r="J8" s="146"/>
      <c r="K8" s="147">
        <v>48.9634251908741</v>
      </c>
    </row>
    <row r="9" ht="24" customHeight="1" spans="1:11">
      <c r="A9" s="148" t="s">
        <v>86</v>
      </c>
      <c r="B9" s="146"/>
      <c r="C9" s="147">
        <v>69.1</v>
      </c>
      <c r="D9" s="146"/>
      <c r="E9" s="147">
        <v>57.4</v>
      </c>
      <c r="F9" s="146"/>
      <c r="G9" s="147">
        <v>-23.5</v>
      </c>
      <c r="H9" s="146"/>
      <c r="I9" s="147">
        <v>-38.1</v>
      </c>
      <c r="J9" s="146"/>
      <c r="K9" s="147">
        <v>-22.5849243065547</v>
      </c>
    </row>
    <row r="10" ht="24" customHeight="1" spans="1:11">
      <c r="A10" s="148" t="s">
        <v>87</v>
      </c>
      <c r="B10" s="146"/>
      <c r="C10" s="147">
        <v>15.1</v>
      </c>
      <c r="D10" s="146"/>
      <c r="E10" s="147">
        <v>-58.8</v>
      </c>
      <c r="F10" s="146"/>
      <c r="G10" s="147">
        <v>-15.3</v>
      </c>
      <c r="H10" s="146"/>
      <c r="I10" s="147">
        <v>-9.7</v>
      </c>
      <c r="J10" s="146"/>
      <c r="K10" s="147">
        <v>-24.0036951898082</v>
      </c>
    </row>
    <row r="11" ht="24" customHeight="1" spans="1:11">
      <c r="A11" s="148" t="s">
        <v>88</v>
      </c>
      <c r="B11" s="146"/>
      <c r="C11" s="147">
        <v>-58.4</v>
      </c>
      <c r="D11" s="146"/>
      <c r="E11" s="147">
        <v>-16.6</v>
      </c>
      <c r="F11" s="146"/>
      <c r="G11" s="147">
        <v>-47.3</v>
      </c>
      <c r="H11" s="146"/>
      <c r="I11" s="147">
        <v>-35.8</v>
      </c>
      <c r="J11" s="146"/>
      <c r="K11" s="147">
        <v>-24.755712977777</v>
      </c>
    </row>
    <row r="12" ht="24" customHeight="1" spans="1:11">
      <c r="A12" s="148" t="s">
        <v>89</v>
      </c>
      <c r="B12" s="146"/>
      <c r="C12" s="147">
        <v>44.7</v>
      </c>
      <c r="D12" s="146"/>
      <c r="E12" s="147">
        <v>9.1</v>
      </c>
      <c r="F12" s="146"/>
      <c r="G12" s="147">
        <v>-10.4</v>
      </c>
      <c r="H12" s="146"/>
      <c r="I12" s="147">
        <v>0.6</v>
      </c>
      <c r="J12" s="146"/>
      <c r="K12" s="147">
        <v>2.13052801799903</v>
      </c>
    </row>
    <row r="13" ht="24" customHeight="1" spans="1:11">
      <c r="A13" s="148" t="s">
        <v>90</v>
      </c>
      <c r="B13" s="146"/>
      <c r="C13" s="147">
        <v>23.3</v>
      </c>
      <c r="D13" s="146"/>
      <c r="E13" s="147">
        <v>17.7</v>
      </c>
      <c r="F13" s="146"/>
      <c r="G13" s="147">
        <v>17.9</v>
      </c>
      <c r="H13" s="146"/>
      <c r="I13" s="147">
        <v>-6.8</v>
      </c>
      <c r="J13" s="146"/>
      <c r="K13" s="147">
        <v>-12.6767375007266</v>
      </c>
    </row>
    <row r="14" ht="24" customHeight="1" spans="1:11">
      <c r="A14" s="148" t="s">
        <v>91</v>
      </c>
      <c r="B14" s="146"/>
      <c r="C14" s="147">
        <v>130.2</v>
      </c>
      <c r="D14" s="146"/>
      <c r="E14" s="147">
        <v>92.7</v>
      </c>
      <c r="F14" s="146"/>
      <c r="G14" s="147">
        <v>87.8</v>
      </c>
      <c r="H14" s="146"/>
      <c r="I14" s="147">
        <v>105.2</v>
      </c>
      <c r="J14" s="146"/>
      <c r="K14" s="147">
        <v>111.112398977235</v>
      </c>
    </row>
    <row r="15" ht="24" customHeight="1" spans="1:11">
      <c r="A15" s="148" t="s">
        <v>92</v>
      </c>
      <c r="B15" s="146"/>
      <c r="C15" s="147">
        <v>-30.5</v>
      </c>
      <c r="D15" s="146"/>
      <c r="E15" s="147">
        <v>118.6</v>
      </c>
      <c r="F15" s="146"/>
      <c r="G15" s="147">
        <v>182</v>
      </c>
      <c r="H15" s="146"/>
      <c r="I15" s="147">
        <v>212.4</v>
      </c>
      <c r="J15" s="146"/>
      <c r="K15" s="147">
        <v>240.692407709533</v>
      </c>
    </row>
    <row r="16" ht="22.9" customHeight="1" spans="1:11">
      <c r="A16" s="148"/>
      <c r="B16" s="146"/>
      <c r="C16" s="147"/>
      <c r="D16" s="146"/>
      <c r="E16" s="147"/>
      <c r="F16" s="146"/>
      <c r="G16" s="147"/>
      <c r="H16" s="146"/>
      <c r="I16" s="147"/>
      <c r="J16" s="146"/>
      <c r="K16" s="147"/>
    </row>
    <row r="17" ht="33" customHeight="1" spans="1:11">
      <c r="A17" s="153" t="s">
        <v>442</v>
      </c>
      <c r="B17" s="146"/>
      <c r="C17" s="147"/>
      <c r="D17" s="146"/>
      <c r="E17" s="147"/>
      <c r="F17" s="146"/>
      <c r="G17" s="147"/>
      <c r="H17" s="146"/>
      <c r="I17" s="147"/>
      <c r="J17" s="146"/>
      <c r="K17" s="147"/>
    </row>
    <row r="18" ht="24" customHeight="1" spans="1:11">
      <c r="A18" s="148" t="s">
        <v>423</v>
      </c>
      <c r="B18" s="146"/>
      <c r="C18" s="147">
        <v>-31.1</v>
      </c>
      <c r="D18" s="146"/>
      <c r="E18" s="147">
        <v>-9.69332809297637</v>
      </c>
      <c r="F18" s="146"/>
      <c r="G18" s="147">
        <v>-1.14670996303798</v>
      </c>
      <c r="H18" s="146"/>
      <c r="I18" s="147">
        <v>-5.9232200807561</v>
      </c>
      <c r="J18" s="146"/>
      <c r="K18" s="147">
        <v>-6.27502914693446</v>
      </c>
    </row>
    <row r="19" ht="24" customHeight="1" spans="1:11">
      <c r="A19" s="148" t="s">
        <v>83</v>
      </c>
      <c r="B19" s="162"/>
      <c r="C19" s="163">
        <v>-18.4</v>
      </c>
      <c r="D19" s="162"/>
      <c r="E19" s="163">
        <v>-2.45932105393574</v>
      </c>
      <c r="F19" s="162"/>
      <c r="G19" s="163">
        <v>28.9933965217886</v>
      </c>
      <c r="H19" s="162"/>
      <c r="I19" s="163">
        <v>26.9737358925345</v>
      </c>
      <c r="J19" s="162"/>
      <c r="K19" s="163">
        <v>32.7431843845781</v>
      </c>
    </row>
    <row r="20" ht="24" customHeight="1" spans="1:11">
      <c r="A20" s="148" t="s">
        <v>84</v>
      </c>
      <c r="B20" s="146"/>
      <c r="C20" s="147">
        <v>-41.6</v>
      </c>
      <c r="D20" s="146"/>
      <c r="E20" s="147">
        <v>-30.0981735798395</v>
      </c>
      <c r="F20" s="146"/>
      <c r="G20" s="147">
        <v>2.59394032251888</v>
      </c>
      <c r="H20" s="146"/>
      <c r="I20" s="147">
        <v>7.76910637699501</v>
      </c>
      <c r="J20" s="146"/>
      <c r="K20" s="147">
        <v>21.6037639357676</v>
      </c>
    </row>
    <row r="21" ht="24" customHeight="1" spans="1:11">
      <c r="A21" s="148" t="s">
        <v>85</v>
      </c>
      <c r="B21" s="146"/>
      <c r="C21" s="147">
        <v>-44</v>
      </c>
      <c r="D21" s="146"/>
      <c r="E21" s="147">
        <v>-66.5898315739843</v>
      </c>
      <c r="F21" s="146"/>
      <c r="G21" s="147">
        <v>-47.3534040014526</v>
      </c>
      <c r="H21" s="146"/>
      <c r="I21" s="147">
        <v>-54.182584793142</v>
      </c>
      <c r="J21" s="146"/>
      <c r="K21" s="147">
        <v>-45.5585062582345</v>
      </c>
    </row>
    <row r="22" ht="24" customHeight="1" spans="1:11">
      <c r="A22" s="148" t="s">
        <v>86</v>
      </c>
      <c r="B22" s="146"/>
      <c r="C22" s="147">
        <v>-14.8</v>
      </c>
      <c r="D22" s="146"/>
      <c r="E22" s="147">
        <v>-25.9016883310922</v>
      </c>
      <c r="F22" s="146"/>
      <c r="G22" s="147">
        <v>-31.9213954803489</v>
      </c>
      <c r="H22" s="146"/>
      <c r="I22" s="147">
        <v>-24.7332306399664</v>
      </c>
      <c r="J22" s="146"/>
      <c r="K22" s="147">
        <v>-11.9839318050624</v>
      </c>
    </row>
    <row r="23" ht="24" customHeight="1" spans="1:11">
      <c r="A23" s="148" t="s">
        <v>87</v>
      </c>
      <c r="B23" s="146"/>
      <c r="C23" s="147">
        <v>-18</v>
      </c>
      <c r="D23" s="146"/>
      <c r="E23" s="147">
        <v>93.3929657484462</v>
      </c>
      <c r="F23" s="146"/>
      <c r="G23" s="147">
        <v>27.9613699074825</v>
      </c>
      <c r="H23" s="146"/>
      <c r="I23" s="147">
        <v>4.92539654090869</v>
      </c>
      <c r="J23" s="146"/>
      <c r="K23" s="147">
        <v>5.3709957105047</v>
      </c>
    </row>
    <row r="24" ht="24" customHeight="1" spans="1:11">
      <c r="A24" s="148" t="s">
        <v>88</v>
      </c>
      <c r="B24" s="146"/>
      <c r="C24" s="147">
        <v>-39</v>
      </c>
      <c r="D24" s="146"/>
      <c r="E24" s="147">
        <v>-50.8364148617714</v>
      </c>
      <c r="F24" s="146"/>
      <c r="G24" s="147">
        <v>-36.9080430969682</v>
      </c>
      <c r="H24" s="146"/>
      <c r="I24" s="147">
        <v>-38.7384673319526</v>
      </c>
      <c r="J24" s="146"/>
      <c r="K24" s="147">
        <v>-26.6399295111354</v>
      </c>
    </row>
    <row r="25" ht="24" customHeight="1" spans="1:11">
      <c r="A25" s="148" t="s">
        <v>89</v>
      </c>
      <c r="B25" s="146"/>
      <c r="C25" s="147">
        <v>-32.5</v>
      </c>
      <c r="D25" s="146"/>
      <c r="E25" s="147">
        <v>-35.4771784232365</v>
      </c>
      <c r="F25" s="146"/>
      <c r="G25" s="147">
        <v>-35.9556967179738</v>
      </c>
      <c r="H25" s="146"/>
      <c r="I25" s="147">
        <v>-11.2863228842119</v>
      </c>
      <c r="J25" s="146"/>
      <c r="K25" s="147">
        <v>4.83945085875122</v>
      </c>
    </row>
    <row r="26" ht="24" customHeight="1" spans="1:11">
      <c r="A26" s="148" t="s">
        <v>90</v>
      </c>
      <c r="B26" s="146"/>
      <c r="C26" s="147">
        <v>-24.6</v>
      </c>
      <c r="D26" s="146"/>
      <c r="E26" s="147">
        <v>-11.9007004681886</v>
      </c>
      <c r="F26" s="146"/>
      <c r="G26" s="147">
        <v>16.4473475600089</v>
      </c>
      <c r="H26" s="146"/>
      <c r="I26" s="147">
        <v>1.12470402525651</v>
      </c>
      <c r="J26" s="146"/>
      <c r="K26" s="147">
        <v>-28.4205992739802</v>
      </c>
    </row>
    <row r="27" ht="24" customHeight="1" spans="1:11">
      <c r="A27" s="148" t="s">
        <v>91</v>
      </c>
      <c r="B27" s="146"/>
      <c r="C27" s="147">
        <v>-64.3</v>
      </c>
      <c r="D27" s="146"/>
      <c r="E27" s="147">
        <v>-16.503396496246</v>
      </c>
      <c r="F27" s="146"/>
      <c r="G27" s="147">
        <v>-35.6010908822879</v>
      </c>
      <c r="H27" s="146"/>
      <c r="I27" s="147">
        <v>-49.7570937231298</v>
      </c>
      <c r="J27" s="146"/>
      <c r="K27" s="147">
        <v>-49.8169594861257</v>
      </c>
    </row>
    <row r="28" ht="24" customHeight="1" spans="1:11">
      <c r="A28" s="156" t="s">
        <v>92</v>
      </c>
      <c r="B28" s="164"/>
      <c r="C28" s="165">
        <v>-33.9</v>
      </c>
      <c r="D28" s="164"/>
      <c r="E28" s="165">
        <v>-36.1447456120862</v>
      </c>
      <c r="F28" s="164"/>
      <c r="G28" s="165">
        <v>-33.6838069679398</v>
      </c>
      <c r="H28" s="164"/>
      <c r="I28" s="165">
        <v>-28.9292051471924</v>
      </c>
      <c r="J28" s="164"/>
      <c r="K28" s="165">
        <v>-39.2862195256134</v>
      </c>
    </row>
  </sheetData>
  <mergeCells count="7">
    <mergeCell ref="A1:K1"/>
    <mergeCell ref="B2:C2"/>
    <mergeCell ref="D2:E2"/>
    <mergeCell ref="F2:G2"/>
    <mergeCell ref="H2:I2"/>
    <mergeCell ref="J2:K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K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G8" sqref="G8"/>
    </sheetView>
  </sheetViews>
  <sheetFormatPr defaultColWidth="9" defaultRowHeight="14.25"/>
  <cols>
    <col min="1" max="1" width="25.625" style="133" customWidth="1"/>
    <col min="2" max="2" width="9.375" style="133"/>
    <col min="3" max="3" width="9" style="133"/>
    <col min="4" max="4" width="9.375" style="133"/>
    <col min="5" max="5" width="9" style="133"/>
    <col min="6" max="6" width="9.375" style="133"/>
    <col min="7" max="7" width="9" style="133"/>
    <col min="8" max="10" width="9.375" style="133"/>
    <col min="11" max="182" width="9" style="133"/>
    <col min="183" max="16384" width="9" style="134"/>
  </cols>
  <sheetData>
    <row r="1" ht="28.5" customHeight="1" spans="1:11">
      <c r="A1" s="135" t="s">
        <v>443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ht="21" customHeight="1" spans="1:11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</row>
    <row r="3" ht="37" customHeight="1" spans="1:11">
      <c r="A3" s="139"/>
      <c r="B3" s="140" t="s">
        <v>8</v>
      </c>
      <c r="C3" s="141" t="s">
        <v>9</v>
      </c>
      <c r="D3" s="140" t="s">
        <v>8</v>
      </c>
      <c r="E3" s="141" t="s">
        <v>9</v>
      </c>
      <c r="F3" s="140" t="s">
        <v>8</v>
      </c>
      <c r="G3" s="141" t="s">
        <v>9</v>
      </c>
      <c r="H3" s="140" t="s">
        <v>8</v>
      </c>
      <c r="I3" s="141" t="s">
        <v>9</v>
      </c>
      <c r="J3" s="140" t="s">
        <v>8</v>
      </c>
      <c r="K3" s="141" t="s">
        <v>9</v>
      </c>
    </row>
    <row r="4" ht="33" customHeight="1" spans="1:11">
      <c r="A4" s="142" t="s">
        <v>444</v>
      </c>
      <c r="B4" s="160"/>
      <c r="C4" s="161"/>
      <c r="D4" s="160"/>
      <c r="E4" s="161"/>
      <c r="F4" s="160"/>
      <c r="G4" s="161"/>
      <c r="H4" s="160"/>
      <c r="I4" s="161"/>
      <c r="J4" s="160"/>
      <c r="K4" s="161"/>
    </row>
    <row r="5" ht="24" customHeight="1" spans="1:11">
      <c r="A5" s="145" t="s">
        <v>423</v>
      </c>
      <c r="B5" s="146"/>
      <c r="C5" s="147">
        <v>12.3</v>
      </c>
      <c r="D5" s="146"/>
      <c r="E5" s="147">
        <v>-25.1</v>
      </c>
      <c r="F5" s="146"/>
      <c r="G5" s="147">
        <v>0.8</v>
      </c>
      <c r="H5" s="146"/>
      <c r="I5" s="147">
        <v>9.5</v>
      </c>
      <c r="J5" s="146"/>
      <c r="K5" s="147">
        <v>2.1</v>
      </c>
    </row>
    <row r="6" ht="24" customHeight="1" spans="1:11">
      <c r="A6" s="148" t="s">
        <v>83</v>
      </c>
      <c r="B6" s="146"/>
      <c r="C6" s="147">
        <v>51.9</v>
      </c>
      <c r="D6" s="146"/>
      <c r="E6" s="147">
        <v>109.1</v>
      </c>
      <c r="F6" s="146"/>
      <c r="G6" s="147">
        <v>70.8</v>
      </c>
      <c r="H6" s="146"/>
      <c r="I6" s="147">
        <v>71.4</v>
      </c>
      <c r="J6" s="146"/>
      <c r="K6" s="147">
        <v>82.3</v>
      </c>
    </row>
    <row r="7" ht="24" customHeight="1" spans="1:11">
      <c r="A7" s="148" t="s">
        <v>84</v>
      </c>
      <c r="B7" s="146"/>
      <c r="C7" s="147">
        <v>86.2</v>
      </c>
      <c r="D7" s="146"/>
      <c r="E7" s="147">
        <v>-96.2</v>
      </c>
      <c r="F7" s="146"/>
      <c r="G7" s="147">
        <v>-92.6</v>
      </c>
      <c r="H7" s="146"/>
      <c r="I7" s="147">
        <v>-97.1</v>
      </c>
      <c r="J7" s="146"/>
      <c r="K7" s="147">
        <v>-79.4064145524174</v>
      </c>
    </row>
    <row r="8" ht="24" customHeight="1" spans="1:11">
      <c r="A8" s="148" t="s">
        <v>85</v>
      </c>
      <c r="B8" s="146"/>
      <c r="C8" s="147">
        <v>44.4</v>
      </c>
      <c r="D8" s="146"/>
      <c r="E8" s="147">
        <v>-95.2</v>
      </c>
      <c r="F8" s="146"/>
      <c r="G8" s="147">
        <v>-81.6</v>
      </c>
      <c r="H8" s="146"/>
      <c r="I8" s="147">
        <v>-19.3</v>
      </c>
      <c r="J8" s="146"/>
      <c r="K8" s="147">
        <v>-36.8384079270885</v>
      </c>
    </row>
    <row r="9" ht="24" customHeight="1" spans="1:11">
      <c r="A9" s="148" t="s">
        <v>86</v>
      </c>
      <c r="B9" s="146"/>
      <c r="C9" s="147">
        <v>29.7</v>
      </c>
      <c r="D9" s="146"/>
      <c r="E9" s="147">
        <v>1086.8</v>
      </c>
      <c r="F9" s="146"/>
      <c r="G9" s="147">
        <v>424.6</v>
      </c>
      <c r="H9" s="146"/>
      <c r="I9" s="147">
        <v>160</v>
      </c>
      <c r="J9" s="146"/>
      <c r="K9" s="147">
        <v>201.17277486911</v>
      </c>
    </row>
    <row r="10" ht="24" customHeight="1" spans="1:11">
      <c r="A10" s="148" t="s">
        <v>87</v>
      </c>
      <c r="B10" s="146"/>
      <c r="C10" s="147">
        <v>271.7</v>
      </c>
      <c r="D10" s="146"/>
      <c r="E10" s="147">
        <v>10491.7</v>
      </c>
      <c r="F10" s="146"/>
      <c r="G10" s="147">
        <v>2171.7</v>
      </c>
      <c r="H10" s="146"/>
      <c r="I10" s="147">
        <v>103.7</v>
      </c>
      <c r="J10" s="146"/>
      <c r="K10" s="147">
        <v>12.7743983073261</v>
      </c>
    </row>
    <row r="11" ht="24" customHeight="1" spans="1:11">
      <c r="A11" s="148" t="s">
        <v>88</v>
      </c>
      <c r="B11" s="146"/>
      <c r="C11" s="147">
        <v>59.8</v>
      </c>
      <c r="D11" s="146"/>
      <c r="E11" s="147">
        <v>377.8</v>
      </c>
      <c r="F11" s="146"/>
      <c r="G11" s="147">
        <v>411.1</v>
      </c>
      <c r="H11" s="146"/>
      <c r="I11" s="147">
        <v>-43.7</v>
      </c>
      <c r="J11" s="146"/>
      <c r="K11" s="147">
        <v>-78.0185758513932</v>
      </c>
    </row>
    <row r="12" ht="24" customHeight="1" spans="1:11">
      <c r="A12" s="148" t="s">
        <v>89</v>
      </c>
      <c r="B12" s="146"/>
      <c r="C12" s="147">
        <v>66.4</v>
      </c>
      <c r="D12" s="146"/>
      <c r="E12" s="147">
        <v>-30.2</v>
      </c>
      <c r="F12" s="146"/>
      <c r="G12" s="147">
        <v>22.2</v>
      </c>
      <c r="H12" s="146"/>
      <c r="I12" s="147">
        <v>17.5</v>
      </c>
      <c r="J12" s="146"/>
      <c r="K12" s="147">
        <v>-21.2250170985637</v>
      </c>
    </row>
    <row r="13" ht="24" customHeight="1" spans="1:11">
      <c r="A13" s="148" t="s">
        <v>90</v>
      </c>
      <c r="B13" s="146"/>
      <c r="C13" s="147">
        <v>-26.1</v>
      </c>
      <c r="D13" s="146"/>
      <c r="E13" s="147">
        <v>-85.7</v>
      </c>
      <c r="F13" s="146"/>
      <c r="G13" s="147">
        <v>-35.9</v>
      </c>
      <c r="H13" s="146"/>
      <c r="I13" s="147">
        <v>-45.8</v>
      </c>
      <c r="J13" s="146"/>
      <c r="K13" s="147">
        <v>-44.3499392466586</v>
      </c>
    </row>
    <row r="14" ht="24" customHeight="1" spans="1:11">
      <c r="A14" s="148" t="s">
        <v>91</v>
      </c>
      <c r="B14" s="146"/>
      <c r="C14" s="147">
        <v>-63.5</v>
      </c>
      <c r="D14" s="146"/>
      <c r="E14" s="147">
        <v>12.3</v>
      </c>
      <c r="F14" s="146"/>
      <c r="G14" s="147">
        <v>93.5</v>
      </c>
      <c r="H14" s="146"/>
      <c r="I14" s="147">
        <v>108.1</v>
      </c>
      <c r="J14" s="146"/>
      <c r="K14" s="147">
        <v>167.911346663455</v>
      </c>
    </row>
    <row r="15" ht="24" customHeight="1" spans="1:11">
      <c r="A15" s="148" t="s">
        <v>92</v>
      </c>
      <c r="B15" s="146"/>
      <c r="C15" s="147">
        <v>-28.2</v>
      </c>
      <c r="D15" s="146"/>
      <c r="E15" s="147">
        <v>-19.3</v>
      </c>
      <c r="F15" s="146"/>
      <c r="G15" s="147">
        <v>12.3</v>
      </c>
      <c r="H15" s="146"/>
      <c r="I15" s="147">
        <v>52.8</v>
      </c>
      <c r="J15" s="146"/>
      <c r="K15" s="147">
        <v>54.5610957425275</v>
      </c>
    </row>
    <row r="16" ht="22.9" customHeight="1" spans="1:11">
      <c r="A16" s="148"/>
      <c r="B16" s="146"/>
      <c r="C16" s="147"/>
      <c r="D16" s="146"/>
      <c r="E16" s="147"/>
      <c r="F16" s="146"/>
      <c r="G16" s="147"/>
      <c r="H16" s="146"/>
      <c r="I16" s="147"/>
      <c r="J16" s="146"/>
      <c r="K16" s="147"/>
    </row>
    <row r="17" ht="33" customHeight="1" spans="1:11">
      <c r="A17" s="153" t="s">
        <v>445</v>
      </c>
      <c r="B17" s="146"/>
      <c r="C17" s="147"/>
      <c r="D17" s="146"/>
      <c r="E17" s="147"/>
      <c r="F17" s="146"/>
      <c r="G17" s="147"/>
      <c r="H17" s="146"/>
      <c r="I17" s="147"/>
      <c r="J17" s="146"/>
      <c r="K17" s="147"/>
    </row>
    <row r="18" ht="24" customHeight="1" spans="1:11">
      <c r="A18" s="148" t="s">
        <v>423</v>
      </c>
      <c r="B18" s="146"/>
      <c r="C18" s="147">
        <v>-23.2</v>
      </c>
      <c r="D18" s="146"/>
      <c r="E18" s="147">
        <v>123.4</v>
      </c>
      <c r="F18" s="146"/>
      <c r="G18" s="147">
        <v>161.2</v>
      </c>
      <c r="H18" s="146"/>
      <c r="I18" s="147">
        <v>169.7</v>
      </c>
      <c r="J18" s="146"/>
      <c r="K18" s="147">
        <v>196.9</v>
      </c>
    </row>
    <row r="19" ht="24" customHeight="1" spans="1:11">
      <c r="A19" s="148" t="s">
        <v>83</v>
      </c>
      <c r="B19" s="162"/>
      <c r="C19" s="163">
        <v>266.1</v>
      </c>
      <c r="D19" s="162"/>
      <c r="E19" s="163">
        <v>197.5</v>
      </c>
      <c r="F19" s="162"/>
      <c r="G19" s="163">
        <v>187.7</v>
      </c>
      <c r="H19" s="162"/>
      <c r="I19" s="163">
        <v>134.7</v>
      </c>
      <c r="J19" s="162"/>
      <c r="K19" s="163">
        <v>176.3</v>
      </c>
    </row>
    <row r="20" ht="24" customHeight="1" spans="1:11">
      <c r="A20" s="148" t="s">
        <v>84</v>
      </c>
      <c r="B20" s="146"/>
      <c r="C20" s="147">
        <v>5.8</v>
      </c>
      <c r="D20" s="146"/>
      <c r="E20" s="147">
        <v>-93.1</v>
      </c>
      <c r="F20" s="146"/>
      <c r="G20" s="147">
        <v>-90.9</v>
      </c>
      <c r="H20" s="146"/>
      <c r="I20" s="147">
        <v>-92.7</v>
      </c>
      <c r="J20" s="146"/>
      <c r="K20" s="147">
        <v>-86.2</v>
      </c>
    </row>
    <row r="21" ht="24" customHeight="1" spans="1:11">
      <c r="A21" s="148" t="s">
        <v>85</v>
      </c>
      <c r="B21" s="146"/>
      <c r="C21" s="147">
        <v>45.1</v>
      </c>
      <c r="D21" s="146"/>
      <c r="E21" s="147">
        <v>339.4</v>
      </c>
      <c r="F21" s="146"/>
      <c r="G21" s="147">
        <v>-4.2</v>
      </c>
      <c r="H21" s="146"/>
      <c r="I21" s="147">
        <v>82.2</v>
      </c>
      <c r="J21" s="146"/>
      <c r="K21" s="147">
        <v>68.1</v>
      </c>
    </row>
    <row r="22" ht="24" customHeight="1" spans="1:11">
      <c r="A22" s="148" t="s">
        <v>86</v>
      </c>
      <c r="B22" s="146"/>
      <c r="C22" s="147">
        <v>170.7</v>
      </c>
      <c r="D22" s="146"/>
      <c r="E22" s="147">
        <v>90.4</v>
      </c>
      <c r="F22" s="146"/>
      <c r="G22" s="147">
        <v>29.4</v>
      </c>
      <c r="H22" s="146"/>
      <c r="I22" s="147">
        <v>22.1</v>
      </c>
      <c r="J22" s="146"/>
      <c r="K22" s="147">
        <v>99.4</v>
      </c>
    </row>
    <row r="23" ht="24" customHeight="1" spans="1:11">
      <c r="A23" s="148" t="s">
        <v>87</v>
      </c>
      <c r="B23" s="146"/>
      <c r="C23" s="147">
        <v>94.6</v>
      </c>
      <c r="D23" s="146"/>
      <c r="E23" s="147">
        <v>16991.7</v>
      </c>
      <c r="F23" s="146"/>
      <c r="G23" s="147">
        <v>3976.1</v>
      </c>
      <c r="H23" s="146"/>
      <c r="I23" s="147">
        <v>443</v>
      </c>
      <c r="J23" s="146"/>
      <c r="K23" s="147">
        <v>131.7</v>
      </c>
    </row>
    <row r="24" ht="24" customHeight="1" spans="1:11">
      <c r="A24" s="148" t="s">
        <v>88</v>
      </c>
      <c r="B24" s="146"/>
      <c r="C24" s="147">
        <v>100.4</v>
      </c>
      <c r="D24" s="146"/>
      <c r="E24" s="147">
        <v>814.5</v>
      </c>
      <c r="F24" s="146"/>
      <c r="G24" s="147">
        <v>1233.1</v>
      </c>
      <c r="H24" s="146"/>
      <c r="I24" s="147">
        <v>1089.3</v>
      </c>
      <c r="J24" s="146"/>
      <c r="K24" s="147">
        <v>229.8</v>
      </c>
    </row>
    <row r="25" ht="24" customHeight="1" spans="1:11">
      <c r="A25" s="148" t="s">
        <v>89</v>
      </c>
      <c r="B25" s="146"/>
      <c r="C25" s="147">
        <v>55.4</v>
      </c>
      <c r="D25" s="146"/>
      <c r="E25" s="147">
        <v>117.9</v>
      </c>
      <c r="F25" s="146"/>
      <c r="G25" s="147">
        <v>169.2</v>
      </c>
      <c r="H25" s="146"/>
      <c r="I25" s="147">
        <v>139.9</v>
      </c>
      <c r="J25" s="146"/>
      <c r="K25" s="147">
        <v>164.5</v>
      </c>
    </row>
    <row r="26" ht="24" customHeight="1" spans="1:11">
      <c r="A26" s="148" t="s">
        <v>90</v>
      </c>
      <c r="B26" s="146"/>
      <c r="C26" s="147">
        <v>-19.4</v>
      </c>
      <c r="D26" s="146"/>
      <c r="E26" s="147">
        <v>62.6</v>
      </c>
      <c r="F26" s="146"/>
      <c r="G26" s="147">
        <v>52.1</v>
      </c>
      <c r="H26" s="146"/>
      <c r="I26" s="147">
        <v>21.4</v>
      </c>
      <c r="J26" s="146"/>
      <c r="K26" s="147">
        <v>16.1</v>
      </c>
    </row>
    <row r="27" ht="24" customHeight="1" spans="1:11">
      <c r="A27" s="148" t="s">
        <v>91</v>
      </c>
      <c r="B27" s="146"/>
      <c r="C27" s="147">
        <v>-7.3</v>
      </c>
      <c r="D27" s="146"/>
      <c r="E27" s="147">
        <v>113.4</v>
      </c>
      <c r="F27" s="146"/>
      <c r="G27" s="147">
        <v>130.8</v>
      </c>
      <c r="H27" s="146"/>
      <c r="I27" s="147">
        <v>58.1</v>
      </c>
      <c r="J27" s="146"/>
      <c r="K27" s="147">
        <v>225.3</v>
      </c>
    </row>
    <row r="28" ht="24" customHeight="1" spans="1:11">
      <c r="A28" s="156" t="s">
        <v>92</v>
      </c>
      <c r="B28" s="164"/>
      <c r="C28" s="165">
        <v>-34</v>
      </c>
      <c r="D28" s="164"/>
      <c r="E28" s="165">
        <v>164.1</v>
      </c>
      <c r="F28" s="164"/>
      <c r="G28" s="165">
        <v>237.3</v>
      </c>
      <c r="H28" s="164"/>
      <c r="I28" s="165">
        <v>269.4</v>
      </c>
      <c r="J28" s="164"/>
      <c r="K28" s="165">
        <v>318.7</v>
      </c>
    </row>
  </sheetData>
  <mergeCells count="7">
    <mergeCell ref="A1:K1"/>
    <mergeCell ref="B2:C2"/>
    <mergeCell ref="D2:E2"/>
    <mergeCell ref="F2:G2"/>
    <mergeCell ref="H2:I2"/>
    <mergeCell ref="J2:K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Z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A1" sqref="A1:K1"/>
    </sheetView>
  </sheetViews>
  <sheetFormatPr defaultColWidth="9" defaultRowHeight="14.25"/>
  <cols>
    <col min="1" max="1" width="25.625" style="133" customWidth="1"/>
    <col min="2" max="2" width="9.375" style="133"/>
    <col min="3" max="3" width="9" style="133"/>
    <col min="4" max="6" width="9.375" style="133"/>
    <col min="7" max="7" width="9" style="133"/>
    <col min="8" max="8" width="9.375" style="133"/>
    <col min="9" max="9" width="9" style="133"/>
    <col min="10" max="10" width="9.375" style="133"/>
    <col min="11" max="184" width="9" style="133"/>
    <col min="185" max="16384" width="9" style="134"/>
  </cols>
  <sheetData>
    <row r="1" ht="28.5" customHeight="1" spans="1:11">
      <c r="A1" s="135" t="s">
        <v>446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ht="21" customHeight="1" spans="1:11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</row>
    <row r="3" ht="21" customHeight="1" spans="1:11">
      <c r="A3" s="139"/>
      <c r="B3" s="140" t="s">
        <v>8</v>
      </c>
      <c r="C3" s="141" t="s">
        <v>9</v>
      </c>
      <c r="D3" s="140" t="s">
        <v>8</v>
      </c>
      <c r="E3" s="141" t="s">
        <v>9</v>
      </c>
      <c r="F3" s="140" t="s">
        <v>8</v>
      </c>
      <c r="G3" s="141" t="s">
        <v>9</v>
      </c>
      <c r="H3" s="140" t="s">
        <v>8</v>
      </c>
      <c r="I3" s="141" t="s">
        <v>9</v>
      </c>
      <c r="J3" s="140" t="s">
        <v>8</v>
      </c>
      <c r="K3" s="141" t="s">
        <v>9</v>
      </c>
    </row>
    <row r="4" ht="33" customHeight="1" spans="1:11">
      <c r="A4" s="142" t="s">
        <v>323</v>
      </c>
      <c r="B4" s="160"/>
      <c r="C4" s="161"/>
      <c r="D4" s="160"/>
      <c r="E4" s="161"/>
      <c r="F4" s="160"/>
      <c r="G4" s="161"/>
      <c r="H4" s="160"/>
      <c r="I4" s="161"/>
      <c r="J4" s="160"/>
      <c r="K4" s="161"/>
    </row>
    <row r="5" ht="24" customHeight="1" spans="1:11">
      <c r="A5" s="145" t="s">
        <v>423</v>
      </c>
      <c r="B5" s="146">
        <v>146.8904</v>
      </c>
      <c r="C5" s="147">
        <v>-8.39554507589199</v>
      </c>
      <c r="D5" s="146">
        <v>24.3111</v>
      </c>
      <c r="E5" s="147">
        <v>-22.9559369731388</v>
      </c>
      <c r="F5" s="146">
        <v>44.2832</v>
      </c>
      <c r="G5" s="147">
        <v>5.51859547456109</v>
      </c>
      <c r="H5" s="146">
        <v>54.9303</v>
      </c>
      <c r="I5" s="147">
        <v>4.36157964532836</v>
      </c>
      <c r="J5" s="146">
        <v>65.3357</v>
      </c>
      <c r="K5" s="147">
        <v>6.62805347747183</v>
      </c>
    </row>
    <row r="6" ht="24" customHeight="1" spans="1:11">
      <c r="A6" s="148" t="s">
        <v>83</v>
      </c>
      <c r="B6" s="146">
        <v>2.9726</v>
      </c>
      <c r="C6" s="147">
        <v>-12.12864701883</v>
      </c>
      <c r="D6" s="146">
        <v>0.9675</v>
      </c>
      <c r="E6" s="147">
        <v>76.3901549680948</v>
      </c>
      <c r="F6" s="146">
        <v>1.2406</v>
      </c>
      <c r="G6" s="147">
        <v>75.9217243335224</v>
      </c>
      <c r="H6" s="146">
        <v>1.5308</v>
      </c>
      <c r="I6" s="147">
        <v>48.9249927035704</v>
      </c>
      <c r="J6" s="146">
        <v>1.8985</v>
      </c>
      <c r="K6" s="147">
        <v>79.255972051742</v>
      </c>
    </row>
    <row r="7" ht="24" customHeight="1" spans="1:11">
      <c r="A7" s="148" t="s">
        <v>84</v>
      </c>
      <c r="B7" s="146">
        <v>6.5088</v>
      </c>
      <c r="C7" s="147">
        <v>-9.64894015741474</v>
      </c>
      <c r="D7" s="146">
        <v>0.8617</v>
      </c>
      <c r="E7" s="147">
        <v>-23.2406912524497</v>
      </c>
      <c r="F7" s="146">
        <v>1.9386</v>
      </c>
      <c r="G7" s="147">
        <v>6.23047838237712</v>
      </c>
      <c r="H7" s="146">
        <v>2.4271</v>
      </c>
      <c r="I7" s="147">
        <v>-1.96704095645852</v>
      </c>
      <c r="J7" s="146">
        <v>2.8165</v>
      </c>
      <c r="K7" s="147">
        <v>5.42371612516844</v>
      </c>
    </row>
    <row r="8" ht="24" customHeight="1" spans="1:11">
      <c r="A8" s="148" t="s">
        <v>85</v>
      </c>
      <c r="B8" s="146">
        <v>4.5254</v>
      </c>
      <c r="C8" s="147">
        <v>-1.80745112504611</v>
      </c>
      <c r="D8" s="146">
        <v>0.7672</v>
      </c>
      <c r="E8" s="147">
        <v>-19.6817420435511</v>
      </c>
      <c r="F8" s="146">
        <v>1.5314</v>
      </c>
      <c r="G8" s="147">
        <v>14.9009603841537</v>
      </c>
      <c r="H8" s="146">
        <v>1.8342</v>
      </c>
      <c r="I8" s="147">
        <v>15.9052132701422</v>
      </c>
      <c r="J8" s="146">
        <v>2.1822</v>
      </c>
      <c r="K8" s="147">
        <v>41.1239733557524</v>
      </c>
    </row>
    <row r="9" ht="24" customHeight="1" spans="1:11">
      <c r="A9" s="148" t="s">
        <v>86</v>
      </c>
      <c r="B9" s="146">
        <v>6.6565</v>
      </c>
      <c r="C9" s="147">
        <v>1.11958437139211</v>
      </c>
      <c r="D9" s="146">
        <v>1.2987</v>
      </c>
      <c r="E9" s="147">
        <v>-27.5359892869099</v>
      </c>
      <c r="F9" s="146">
        <v>1.8874</v>
      </c>
      <c r="G9" s="147">
        <v>-12.2670013480221</v>
      </c>
      <c r="H9" s="146">
        <v>2.4454</v>
      </c>
      <c r="I9" s="147">
        <v>0.534451570465384</v>
      </c>
      <c r="J9" s="146">
        <v>3.1284</v>
      </c>
      <c r="K9" s="147">
        <v>0.153668843641952</v>
      </c>
    </row>
    <row r="10" ht="24" customHeight="1" spans="1:11">
      <c r="A10" s="148" t="s">
        <v>87</v>
      </c>
      <c r="B10" s="146">
        <v>8.8739</v>
      </c>
      <c r="C10" s="147">
        <v>-40.8643209382913</v>
      </c>
      <c r="D10" s="146">
        <v>1.6716</v>
      </c>
      <c r="E10" s="147">
        <v>-34.3981790353597</v>
      </c>
      <c r="F10" s="146">
        <v>3.0422</v>
      </c>
      <c r="G10" s="147">
        <v>2.95441470100511</v>
      </c>
      <c r="H10" s="146">
        <v>3.813</v>
      </c>
      <c r="I10" s="147">
        <v>2.1047557840617</v>
      </c>
      <c r="J10" s="146">
        <v>4.5049</v>
      </c>
      <c r="K10" s="147">
        <v>24.2559646945249</v>
      </c>
    </row>
    <row r="11" ht="24" customHeight="1" spans="1:11">
      <c r="A11" s="148" t="s">
        <v>88</v>
      </c>
      <c r="B11" s="146">
        <v>6.8387</v>
      </c>
      <c r="C11" s="147">
        <v>-51.3079573934837</v>
      </c>
      <c r="D11" s="146">
        <v>0.7336</v>
      </c>
      <c r="E11" s="147">
        <v>-76.4176417641764</v>
      </c>
      <c r="F11" s="146">
        <v>1.0401</v>
      </c>
      <c r="G11" s="147">
        <v>-69.2505543237251</v>
      </c>
      <c r="H11" s="146">
        <v>2.1546</v>
      </c>
      <c r="I11" s="147">
        <v>-41.8383047644756</v>
      </c>
      <c r="J11" s="146">
        <v>2.7242</v>
      </c>
      <c r="K11" s="147">
        <v>-54.5079571831739</v>
      </c>
    </row>
    <row r="12" ht="24" customHeight="1" spans="1:11">
      <c r="A12" s="148" t="s">
        <v>89</v>
      </c>
      <c r="B12" s="146">
        <v>8.814</v>
      </c>
      <c r="C12" s="147">
        <v>-7.71067180432233</v>
      </c>
      <c r="D12" s="146">
        <v>0.9571</v>
      </c>
      <c r="E12" s="147">
        <v>-19.9682247679572</v>
      </c>
      <c r="F12" s="146">
        <v>1.7237</v>
      </c>
      <c r="G12" s="147">
        <v>7.54975978037062</v>
      </c>
      <c r="H12" s="146">
        <v>2.273</v>
      </c>
      <c r="I12" s="147">
        <v>10.8780487804878</v>
      </c>
      <c r="J12" s="146">
        <v>2.6971</v>
      </c>
      <c r="K12" s="147">
        <v>14.4682115270351</v>
      </c>
    </row>
    <row r="13" ht="24" customHeight="1" spans="1:11">
      <c r="A13" s="148" t="s">
        <v>90</v>
      </c>
      <c r="B13" s="146">
        <v>10.4599</v>
      </c>
      <c r="C13" s="147">
        <v>12.4031507570629</v>
      </c>
      <c r="D13" s="146">
        <v>2.1465</v>
      </c>
      <c r="E13" s="147">
        <v>-53.1556894068352</v>
      </c>
      <c r="F13" s="146">
        <v>4.9056</v>
      </c>
      <c r="G13" s="147">
        <v>1.78015685298145</v>
      </c>
      <c r="H13" s="146">
        <v>5.601</v>
      </c>
      <c r="I13" s="147">
        <v>-18.522613211527</v>
      </c>
      <c r="J13" s="146">
        <v>6.1064</v>
      </c>
      <c r="K13" s="147">
        <v>-12.8690267254541</v>
      </c>
    </row>
    <row r="14" ht="24" customHeight="1" spans="1:11">
      <c r="A14" s="148" t="s">
        <v>91</v>
      </c>
      <c r="B14" s="146">
        <v>20.9709</v>
      </c>
      <c r="C14" s="147">
        <v>19.6416040529207</v>
      </c>
      <c r="D14" s="146">
        <v>1.6662</v>
      </c>
      <c r="E14" s="147">
        <v>-29.1551511543858</v>
      </c>
      <c r="F14" s="146">
        <v>3.3025</v>
      </c>
      <c r="G14" s="147">
        <v>-27.0230255888982</v>
      </c>
      <c r="H14" s="146">
        <v>4.3523</v>
      </c>
      <c r="I14" s="147">
        <v>-27.8871325844186</v>
      </c>
      <c r="J14" s="146">
        <v>5.3184</v>
      </c>
      <c r="K14" s="147">
        <v>-30.3473204463303</v>
      </c>
    </row>
    <row r="15" ht="24" customHeight="1" spans="1:11">
      <c r="A15" s="148" t="s">
        <v>92</v>
      </c>
      <c r="B15" s="146">
        <v>15.5452</v>
      </c>
      <c r="C15" s="147">
        <v>-1.68732608145712</v>
      </c>
      <c r="D15" s="146">
        <v>3.601</v>
      </c>
      <c r="E15" s="147">
        <v>9.52612689336334</v>
      </c>
      <c r="F15" s="146">
        <v>5.4868</v>
      </c>
      <c r="G15" s="147">
        <v>11.3483237275753</v>
      </c>
      <c r="H15" s="146">
        <v>6.8125</v>
      </c>
      <c r="I15" s="147">
        <v>-2.14737144498707</v>
      </c>
      <c r="J15" s="146">
        <v>7.899</v>
      </c>
      <c r="K15" s="147">
        <v>-6.24666183993448</v>
      </c>
    </row>
    <row r="16" ht="22.9" customHeight="1" spans="1:11">
      <c r="A16" s="148"/>
      <c r="B16" s="146"/>
      <c r="C16" s="147"/>
      <c r="D16" s="146"/>
      <c r="E16" s="147"/>
      <c r="F16" s="146"/>
      <c r="G16" s="147"/>
      <c r="H16" s="146"/>
      <c r="I16" s="147"/>
      <c r="J16" s="146"/>
      <c r="K16" s="147"/>
    </row>
    <row r="17" ht="33" customHeight="1" spans="1:11">
      <c r="A17" s="153" t="s">
        <v>333</v>
      </c>
      <c r="B17" s="146"/>
      <c r="C17" s="147"/>
      <c r="D17" s="146"/>
      <c r="E17" s="147"/>
      <c r="F17" s="146"/>
      <c r="G17" s="147"/>
      <c r="H17" s="146"/>
      <c r="I17" s="147"/>
      <c r="J17" s="146"/>
      <c r="K17" s="147"/>
    </row>
    <row r="18" ht="24" customHeight="1" spans="1:11">
      <c r="A18" s="148" t="s">
        <v>423</v>
      </c>
      <c r="B18" s="146">
        <v>521.8354</v>
      </c>
      <c r="C18" s="147">
        <v>-3.40374126842387</v>
      </c>
      <c r="D18" s="146">
        <v>99.6646</v>
      </c>
      <c r="E18" s="147">
        <v>1.65521236860195</v>
      </c>
      <c r="F18" s="146">
        <v>154.6997</v>
      </c>
      <c r="G18" s="147">
        <v>10.5193634300933</v>
      </c>
      <c r="H18" s="146">
        <v>188.8232</v>
      </c>
      <c r="I18" s="147">
        <v>9.85239815903487</v>
      </c>
      <c r="J18" s="146">
        <v>221.5207</v>
      </c>
      <c r="K18" s="147">
        <v>6.40554352300571</v>
      </c>
    </row>
    <row r="19" ht="24" customHeight="1" spans="1:11">
      <c r="A19" s="148" t="s">
        <v>83</v>
      </c>
      <c r="B19" s="162">
        <v>14.0198</v>
      </c>
      <c r="C19" s="163">
        <v>-1.47231416865201</v>
      </c>
      <c r="D19" s="162">
        <v>2.5727</v>
      </c>
      <c r="E19" s="163">
        <v>20.7556911523117</v>
      </c>
      <c r="F19" s="162">
        <v>4.0363</v>
      </c>
      <c r="G19" s="163">
        <v>10.1279637663365</v>
      </c>
      <c r="H19" s="162">
        <v>5.0453</v>
      </c>
      <c r="I19" s="163">
        <v>3.71032724880775</v>
      </c>
      <c r="J19" s="162">
        <v>5.8951</v>
      </c>
      <c r="K19" s="163">
        <v>2.04078100117704</v>
      </c>
    </row>
    <row r="20" ht="24" customHeight="1" spans="1:11">
      <c r="A20" s="148" t="s">
        <v>84</v>
      </c>
      <c r="B20" s="146">
        <v>17.3058</v>
      </c>
      <c r="C20" s="147">
        <v>-14.6972273567468</v>
      </c>
      <c r="D20" s="146">
        <v>3.3096</v>
      </c>
      <c r="E20" s="147">
        <v>16.2486828240253</v>
      </c>
      <c r="F20" s="146">
        <v>5.5925</v>
      </c>
      <c r="G20" s="147">
        <v>21.4968498805127</v>
      </c>
      <c r="H20" s="146">
        <v>6.6829</v>
      </c>
      <c r="I20" s="147">
        <v>18.3379668160006</v>
      </c>
      <c r="J20" s="146">
        <v>7.943</v>
      </c>
      <c r="K20" s="147">
        <v>13.2433241613322</v>
      </c>
    </row>
    <row r="21" ht="24" customHeight="1" spans="1:11">
      <c r="A21" s="148" t="s">
        <v>85</v>
      </c>
      <c r="B21" s="146">
        <v>20.0299</v>
      </c>
      <c r="C21" s="147">
        <v>-8.5722501928528</v>
      </c>
      <c r="D21" s="146">
        <v>4.1136</v>
      </c>
      <c r="E21" s="147">
        <v>36.7235018446505</v>
      </c>
      <c r="F21" s="146">
        <v>6.4836</v>
      </c>
      <c r="G21" s="147">
        <v>36.1443000230981</v>
      </c>
      <c r="H21" s="146">
        <v>7.9254</v>
      </c>
      <c r="I21" s="147">
        <v>26.4785675529029</v>
      </c>
      <c r="J21" s="146">
        <v>8.9402</v>
      </c>
      <c r="K21" s="147">
        <v>8.96570216707702</v>
      </c>
    </row>
    <row r="22" ht="24" customHeight="1" spans="1:11">
      <c r="A22" s="148" t="s">
        <v>86</v>
      </c>
      <c r="B22" s="146">
        <v>15.8382</v>
      </c>
      <c r="C22" s="147">
        <v>-16.1196701603123</v>
      </c>
      <c r="D22" s="146">
        <v>3.5799</v>
      </c>
      <c r="E22" s="147">
        <v>46.393228101742</v>
      </c>
      <c r="F22" s="146">
        <v>5.505</v>
      </c>
      <c r="G22" s="147">
        <v>42.5537975503017</v>
      </c>
      <c r="H22" s="146">
        <v>7.0343</v>
      </c>
      <c r="I22" s="147">
        <v>38.1197353177954</v>
      </c>
      <c r="J22" s="146">
        <v>8.2726</v>
      </c>
      <c r="K22" s="147">
        <v>28.2732742045525</v>
      </c>
    </row>
    <row r="23" ht="24" customHeight="1" spans="1:11">
      <c r="A23" s="148" t="s">
        <v>87</v>
      </c>
      <c r="B23" s="146">
        <v>52.6433</v>
      </c>
      <c r="C23" s="147">
        <v>3.45157594587211</v>
      </c>
      <c r="D23" s="146">
        <v>10.1994</v>
      </c>
      <c r="E23" s="147">
        <v>2.21990599224287</v>
      </c>
      <c r="F23" s="146">
        <v>16.7431</v>
      </c>
      <c r="G23" s="147">
        <v>18.6208802108425</v>
      </c>
      <c r="H23" s="146">
        <v>20.5122</v>
      </c>
      <c r="I23" s="147">
        <v>17.637410534043</v>
      </c>
      <c r="J23" s="146">
        <v>23.3522</v>
      </c>
      <c r="K23" s="147">
        <v>11.3541969663012</v>
      </c>
    </row>
    <row r="24" ht="24" customHeight="1" spans="1:11">
      <c r="A24" s="148" t="s">
        <v>88</v>
      </c>
      <c r="B24" s="146">
        <v>37.0172</v>
      </c>
      <c r="C24" s="147">
        <v>-22.3461542495726</v>
      </c>
      <c r="D24" s="146">
        <v>10.0493</v>
      </c>
      <c r="E24" s="147">
        <v>23.6106669290757</v>
      </c>
      <c r="F24" s="146">
        <v>14.8651</v>
      </c>
      <c r="G24" s="147">
        <v>24.6988457150527</v>
      </c>
      <c r="H24" s="146">
        <v>17.4204</v>
      </c>
      <c r="I24" s="147">
        <v>29.1634228262562</v>
      </c>
      <c r="J24" s="146">
        <v>18.8091</v>
      </c>
      <c r="K24" s="147">
        <v>10.4014791336503</v>
      </c>
    </row>
    <row r="25" ht="24" customHeight="1" spans="1:11">
      <c r="A25" s="148" t="s">
        <v>89</v>
      </c>
      <c r="B25" s="146">
        <v>70.8699</v>
      </c>
      <c r="C25" s="147">
        <v>-2.19499202322924</v>
      </c>
      <c r="D25" s="146">
        <v>12.4624</v>
      </c>
      <c r="E25" s="147">
        <v>77.1158137089095</v>
      </c>
      <c r="F25" s="146">
        <v>21.2226</v>
      </c>
      <c r="G25" s="147">
        <v>73.9086968279072</v>
      </c>
      <c r="H25" s="146">
        <v>24.7325</v>
      </c>
      <c r="I25" s="147">
        <v>69.5574675213382</v>
      </c>
      <c r="J25" s="146">
        <v>29.259</v>
      </c>
      <c r="K25" s="147">
        <v>61.6412171568736</v>
      </c>
    </row>
    <row r="26" ht="24" customHeight="1" spans="1:11">
      <c r="A26" s="148" t="s">
        <v>90</v>
      </c>
      <c r="B26" s="146">
        <v>52.9722</v>
      </c>
      <c r="C26" s="147">
        <v>10.662379904864</v>
      </c>
      <c r="D26" s="146">
        <v>10.6257</v>
      </c>
      <c r="E26" s="147">
        <v>2.94924089019795</v>
      </c>
      <c r="F26" s="146">
        <v>17.6228</v>
      </c>
      <c r="G26" s="147">
        <v>24.3020582053127</v>
      </c>
      <c r="H26" s="146">
        <v>21.4127</v>
      </c>
      <c r="I26" s="147">
        <v>17.7628431108349</v>
      </c>
      <c r="J26" s="146">
        <v>24.9188</v>
      </c>
      <c r="K26" s="147">
        <v>14.4418623875963</v>
      </c>
    </row>
    <row r="27" ht="24" customHeight="1" spans="1:11">
      <c r="A27" s="148" t="s">
        <v>91</v>
      </c>
      <c r="B27" s="146">
        <v>83.0984</v>
      </c>
      <c r="C27" s="147">
        <v>1.22754465487565</v>
      </c>
      <c r="D27" s="146">
        <v>18.1677</v>
      </c>
      <c r="E27" s="147">
        <v>57.3928562146428</v>
      </c>
      <c r="F27" s="146">
        <v>25.5507</v>
      </c>
      <c r="G27" s="147">
        <v>48.6949538214429</v>
      </c>
      <c r="H27" s="146">
        <v>29.53</v>
      </c>
      <c r="I27" s="147">
        <v>39.8869724631571</v>
      </c>
      <c r="J27" s="146">
        <v>34.3749</v>
      </c>
      <c r="K27" s="147">
        <v>28.7637520087204</v>
      </c>
    </row>
    <row r="28" ht="24" customHeight="1" spans="1:11">
      <c r="A28" s="156" t="s">
        <v>439</v>
      </c>
      <c r="B28" s="164">
        <v>24.8236</v>
      </c>
      <c r="C28" s="165">
        <v>1.84041025641026</v>
      </c>
      <c r="D28" s="164">
        <v>5.0065</v>
      </c>
      <c r="E28" s="165">
        <v>-1.9333228864687</v>
      </c>
      <c r="F28" s="164">
        <v>7.3508</v>
      </c>
      <c r="G28" s="165">
        <v>4.08654526917958</v>
      </c>
      <c r="H28" s="164">
        <v>9.6531</v>
      </c>
      <c r="I28" s="165">
        <v>10.0758310051884</v>
      </c>
      <c r="J28" s="164">
        <v>10.5452</v>
      </c>
      <c r="K28" s="165">
        <v>-4.95367199048202</v>
      </c>
    </row>
    <row r="29" s="159" customFormat="1" ht="20" customHeight="1" spans="1:234">
      <c r="A29" s="166" t="s">
        <v>447</v>
      </c>
      <c r="B29" s="166"/>
      <c r="C29" s="166"/>
      <c r="D29" s="166"/>
      <c r="E29" s="166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3"/>
      <c r="BI29" s="133"/>
      <c r="BJ29" s="133"/>
      <c r="BK29" s="133"/>
      <c r="BL29" s="133"/>
      <c r="BM29" s="133"/>
      <c r="BN29" s="133"/>
      <c r="BO29" s="133"/>
      <c r="BP29" s="133"/>
      <c r="BQ29" s="133"/>
      <c r="BR29" s="133"/>
      <c r="BS29" s="133"/>
      <c r="BT29" s="133"/>
      <c r="BU29" s="133"/>
      <c r="BV29" s="133"/>
      <c r="BW29" s="133"/>
      <c r="BX29" s="133"/>
      <c r="BY29" s="133"/>
      <c r="BZ29" s="133"/>
      <c r="CA29" s="133"/>
      <c r="CB29" s="133"/>
      <c r="CC29" s="133"/>
      <c r="CD29" s="133"/>
      <c r="CE29" s="133"/>
      <c r="CF29" s="133"/>
      <c r="CG29" s="133"/>
      <c r="CH29" s="133"/>
      <c r="CI29" s="133"/>
      <c r="CJ29" s="133"/>
      <c r="CK29" s="133"/>
      <c r="CL29" s="133"/>
      <c r="CM29" s="133"/>
      <c r="CN29" s="133"/>
      <c r="CO29" s="133"/>
      <c r="CP29" s="133"/>
      <c r="CQ29" s="133"/>
      <c r="CR29" s="133"/>
      <c r="CS29" s="133"/>
      <c r="CT29" s="133"/>
      <c r="CU29" s="133"/>
      <c r="CV29" s="133"/>
      <c r="CW29" s="133"/>
      <c r="CX29" s="133"/>
      <c r="CY29" s="133"/>
      <c r="CZ29" s="133"/>
      <c r="DA29" s="133"/>
      <c r="DB29" s="133"/>
      <c r="DC29" s="133"/>
      <c r="DD29" s="133"/>
      <c r="DE29" s="133"/>
      <c r="DF29" s="133"/>
      <c r="DG29" s="133"/>
      <c r="DH29" s="133"/>
      <c r="DI29" s="133"/>
      <c r="DJ29" s="133"/>
      <c r="DK29" s="133"/>
      <c r="DL29" s="133"/>
      <c r="DM29" s="133"/>
      <c r="DN29" s="133"/>
      <c r="DO29" s="133"/>
      <c r="DP29" s="133"/>
      <c r="DQ29" s="133"/>
      <c r="DR29" s="133"/>
      <c r="DS29" s="133"/>
      <c r="DT29" s="133"/>
      <c r="DU29" s="133"/>
      <c r="DV29" s="133"/>
      <c r="DW29" s="133"/>
      <c r="DX29" s="133"/>
      <c r="DY29" s="133"/>
      <c r="DZ29" s="133"/>
      <c r="EA29" s="133"/>
      <c r="EB29" s="133"/>
      <c r="EC29" s="133"/>
      <c r="ED29" s="133"/>
      <c r="EE29" s="133"/>
      <c r="EF29" s="133"/>
      <c r="EG29" s="133"/>
      <c r="EH29" s="133"/>
      <c r="EI29" s="133"/>
      <c r="EJ29" s="133"/>
      <c r="EK29" s="133"/>
      <c r="EL29" s="133"/>
      <c r="EM29" s="133"/>
      <c r="EN29" s="133"/>
      <c r="EO29" s="133"/>
      <c r="EP29" s="133"/>
      <c r="EQ29" s="133"/>
      <c r="ER29" s="133"/>
      <c r="ES29" s="133"/>
      <c r="ET29" s="133"/>
      <c r="EU29" s="133"/>
      <c r="EV29" s="133"/>
      <c r="EW29" s="133"/>
      <c r="EX29" s="133"/>
      <c r="EY29" s="133"/>
      <c r="EZ29" s="133"/>
      <c r="FA29" s="133"/>
      <c r="FB29" s="133"/>
      <c r="FC29" s="133"/>
      <c r="FD29" s="133"/>
      <c r="FE29" s="133"/>
      <c r="FF29" s="133"/>
      <c r="FG29" s="133"/>
      <c r="FH29" s="133"/>
      <c r="FI29" s="133"/>
      <c r="FJ29" s="133"/>
      <c r="FK29" s="133"/>
      <c r="FL29" s="133"/>
      <c r="FM29" s="133"/>
      <c r="FN29" s="133"/>
      <c r="FO29" s="133"/>
      <c r="FP29" s="133"/>
      <c r="FQ29" s="133"/>
      <c r="FR29" s="133"/>
      <c r="FS29" s="133"/>
      <c r="FT29" s="133"/>
      <c r="FU29" s="133"/>
      <c r="FV29" s="133"/>
      <c r="FW29" s="133"/>
      <c r="FX29" s="133"/>
      <c r="FY29" s="133"/>
      <c r="FZ29" s="133"/>
      <c r="GA29" s="133"/>
      <c r="GB29" s="133"/>
      <c r="GC29" s="134"/>
      <c r="GD29" s="134"/>
      <c r="GE29" s="134"/>
      <c r="GF29" s="134"/>
      <c r="GG29" s="134"/>
      <c r="GH29" s="134"/>
      <c r="GI29" s="134"/>
      <c r="GJ29" s="134"/>
      <c r="GK29" s="134"/>
      <c r="GL29" s="134"/>
      <c r="GM29" s="134"/>
      <c r="GN29" s="134"/>
      <c r="GO29" s="134"/>
      <c r="GP29" s="134"/>
      <c r="GQ29" s="134"/>
      <c r="GR29" s="134"/>
      <c r="GS29" s="134"/>
      <c r="GT29" s="134"/>
      <c r="GU29" s="134"/>
      <c r="GV29" s="134"/>
      <c r="GW29" s="134"/>
      <c r="GX29" s="134"/>
      <c r="GY29" s="134"/>
      <c r="GZ29" s="134"/>
      <c r="HA29" s="134"/>
      <c r="HB29" s="134"/>
      <c r="HC29" s="134"/>
      <c r="HD29" s="134"/>
      <c r="HE29" s="134"/>
      <c r="HF29" s="134"/>
      <c r="HG29" s="134"/>
      <c r="HH29" s="134"/>
      <c r="HI29" s="134"/>
      <c r="HJ29" s="134"/>
      <c r="HK29" s="134"/>
      <c r="HL29" s="134"/>
      <c r="HM29" s="134"/>
      <c r="HN29" s="134"/>
      <c r="HO29" s="134"/>
      <c r="HP29" s="134"/>
      <c r="HQ29" s="134"/>
      <c r="HR29" s="134"/>
      <c r="HS29" s="134"/>
      <c r="HT29" s="134"/>
      <c r="HU29" s="134"/>
      <c r="HV29" s="134"/>
      <c r="HW29" s="134"/>
      <c r="HX29" s="134"/>
      <c r="HY29" s="134"/>
      <c r="HZ29" s="134"/>
    </row>
  </sheetData>
  <mergeCells count="8">
    <mergeCell ref="A1:K1"/>
    <mergeCell ref="B2:C2"/>
    <mergeCell ref="D2:E2"/>
    <mergeCell ref="F2:G2"/>
    <mergeCell ref="H2:I2"/>
    <mergeCell ref="J2:K2"/>
    <mergeCell ref="A29:E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K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L4" sqref="L4"/>
    </sheetView>
  </sheetViews>
  <sheetFormatPr defaultColWidth="9" defaultRowHeight="14.25"/>
  <cols>
    <col min="1" max="1" width="25.625" style="133" customWidth="1"/>
    <col min="2" max="2" width="9.375" style="133"/>
    <col min="3" max="3" width="9" style="133"/>
    <col min="4" max="4" width="9.375" style="133"/>
    <col min="5" max="5" width="9" style="133"/>
    <col min="6" max="6" width="9.375" style="133"/>
    <col min="7" max="173" width="9" style="133"/>
    <col min="174" max="16384" width="9" style="134"/>
  </cols>
  <sheetData>
    <row r="1" ht="28.5" customHeight="1" spans="1:11">
      <c r="A1" s="135" t="s">
        <v>448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ht="21" customHeight="1" spans="1:11">
      <c r="A2" s="136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</row>
    <row r="3" ht="28" customHeight="1" spans="1:11">
      <c r="A3" s="139"/>
      <c r="B3" s="140" t="s">
        <v>8</v>
      </c>
      <c r="C3" s="141" t="s">
        <v>9</v>
      </c>
      <c r="D3" s="140" t="s">
        <v>8</v>
      </c>
      <c r="E3" s="141" t="s">
        <v>9</v>
      </c>
      <c r="F3" s="140" t="s">
        <v>8</v>
      </c>
      <c r="G3" s="141" t="s">
        <v>9</v>
      </c>
      <c r="H3" s="140" t="s">
        <v>8</v>
      </c>
      <c r="I3" s="141" t="s">
        <v>9</v>
      </c>
      <c r="J3" s="140" t="s">
        <v>8</v>
      </c>
      <c r="K3" s="141" t="s">
        <v>9</v>
      </c>
    </row>
    <row r="4" ht="33" customHeight="1" spans="1:11">
      <c r="A4" s="142" t="s">
        <v>449</v>
      </c>
      <c r="B4" s="143"/>
      <c r="C4" s="144"/>
      <c r="D4" s="143"/>
      <c r="E4" s="144"/>
      <c r="F4" s="143"/>
      <c r="G4" s="144"/>
      <c r="H4" s="143"/>
      <c r="I4" s="144"/>
      <c r="J4" s="143"/>
      <c r="K4" s="144"/>
    </row>
    <row r="5" ht="24" customHeight="1" spans="1:11">
      <c r="A5" s="145" t="s">
        <v>423</v>
      </c>
      <c r="B5" s="146">
        <v>83.2402</v>
      </c>
      <c r="C5" s="147">
        <v>-14.9550613570581</v>
      </c>
      <c r="D5" s="146">
        <v>17.4445</v>
      </c>
      <c r="E5" s="147">
        <v>-11.0296780247971</v>
      </c>
      <c r="F5" s="146">
        <v>25.0074</v>
      </c>
      <c r="G5" s="147">
        <v>-4.32477102127953</v>
      </c>
      <c r="H5" s="146">
        <v>32.703</v>
      </c>
      <c r="I5" s="147">
        <v>3.53080471196068</v>
      </c>
      <c r="J5" s="146">
        <v>39.4392</v>
      </c>
      <c r="K5" s="147">
        <v>13.78191165567</v>
      </c>
    </row>
    <row r="6" ht="24" customHeight="1" spans="1:11">
      <c r="A6" s="148" t="s">
        <v>83</v>
      </c>
      <c r="B6" s="149">
        <v>2.2218</v>
      </c>
      <c r="C6" s="150">
        <v>-18.6094219356729</v>
      </c>
      <c r="D6" s="149">
        <v>0.7791</v>
      </c>
      <c r="E6" s="150">
        <v>95.9507042253521</v>
      </c>
      <c r="F6" s="149">
        <v>1.0051</v>
      </c>
      <c r="G6" s="150">
        <v>97.3493029648537</v>
      </c>
      <c r="H6" s="149">
        <v>1.2436</v>
      </c>
      <c r="I6" s="150">
        <v>57.6971848846056</v>
      </c>
      <c r="J6" s="149">
        <v>1.5746</v>
      </c>
      <c r="K6" s="150">
        <v>98.7880318141649</v>
      </c>
    </row>
    <row r="7" ht="24" customHeight="1" spans="1:11">
      <c r="A7" s="148" t="s">
        <v>84</v>
      </c>
      <c r="B7" s="151">
        <v>4.7075</v>
      </c>
      <c r="C7" s="150">
        <v>-13.7093522014884</v>
      </c>
      <c r="D7" s="151">
        <v>0.6259</v>
      </c>
      <c r="E7" s="150">
        <v>-22.6233156137965</v>
      </c>
      <c r="F7" s="151">
        <v>1.165</v>
      </c>
      <c r="G7" s="150">
        <v>-17.1349313606942</v>
      </c>
      <c r="H7" s="151">
        <v>1.549</v>
      </c>
      <c r="I7" s="150">
        <v>-22.7392887425807</v>
      </c>
      <c r="J7" s="151">
        <v>1.8712</v>
      </c>
      <c r="K7" s="150">
        <v>-12.3888004494803</v>
      </c>
    </row>
    <row r="8" ht="24" customHeight="1" spans="1:11">
      <c r="A8" s="148" t="s">
        <v>85</v>
      </c>
      <c r="B8" s="151">
        <v>3.3055</v>
      </c>
      <c r="C8" s="150">
        <v>-18.2272468644089</v>
      </c>
      <c r="D8" s="151">
        <v>0.6242</v>
      </c>
      <c r="E8" s="150">
        <v>6.71909728158659</v>
      </c>
      <c r="F8" s="151">
        <v>0.9999</v>
      </c>
      <c r="G8" s="150">
        <v>10.7676969092722</v>
      </c>
      <c r="H8" s="151">
        <v>1.2774</v>
      </c>
      <c r="I8" s="150">
        <v>14.4111061352441</v>
      </c>
      <c r="J8" s="151">
        <v>1.5994</v>
      </c>
      <c r="K8" s="150">
        <v>65.8956539778031</v>
      </c>
    </row>
    <row r="9" ht="24" customHeight="1" spans="1:11">
      <c r="A9" s="148" t="s">
        <v>86</v>
      </c>
      <c r="B9" s="151">
        <v>4.4416</v>
      </c>
      <c r="C9" s="150">
        <v>-14.1620284477427</v>
      </c>
      <c r="D9" s="151">
        <v>1.0015</v>
      </c>
      <c r="E9" s="150">
        <v>-21.4571406164222</v>
      </c>
      <c r="F9" s="151">
        <v>1.5292</v>
      </c>
      <c r="G9" s="150">
        <v>-2.83390519761088</v>
      </c>
      <c r="H9" s="151">
        <v>1.9243</v>
      </c>
      <c r="I9" s="150">
        <v>5.78889499725124</v>
      </c>
      <c r="J9" s="151">
        <v>2.5757</v>
      </c>
      <c r="K9" s="150">
        <v>31.1055685635753</v>
      </c>
    </row>
    <row r="10" ht="24" customHeight="1" spans="1:11">
      <c r="A10" s="148" t="s">
        <v>87</v>
      </c>
      <c r="B10" s="151">
        <v>5.0359</v>
      </c>
      <c r="C10" s="150">
        <v>-31.7184618722204</v>
      </c>
      <c r="D10" s="151">
        <v>1.2486</v>
      </c>
      <c r="E10" s="150">
        <v>-5.68061640731228</v>
      </c>
      <c r="F10" s="151">
        <v>1.8209</v>
      </c>
      <c r="G10" s="150">
        <v>17.560849635225</v>
      </c>
      <c r="H10" s="151">
        <v>2.3856</v>
      </c>
      <c r="I10" s="150">
        <v>20.6066734074823</v>
      </c>
      <c r="J10" s="151">
        <v>2.8821</v>
      </c>
      <c r="K10" s="150">
        <v>64.5034246575343</v>
      </c>
    </row>
    <row r="11" ht="24" customHeight="1" spans="1:11">
      <c r="A11" s="148" t="s">
        <v>88</v>
      </c>
      <c r="B11" s="151">
        <v>1.0905</v>
      </c>
      <c r="C11" s="150">
        <v>-72.9666079972235</v>
      </c>
      <c r="D11" s="151">
        <v>0.4323</v>
      </c>
      <c r="E11" s="150">
        <v>-61.9186046511628</v>
      </c>
      <c r="F11" s="151">
        <v>0.6327</v>
      </c>
      <c r="G11" s="150">
        <v>-48.3847283406755</v>
      </c>
      <c r="H11" s="151">
        <v>1.077</v>
      </c>
      <c r="I11" s="150">
        <v>-26.6198814471622</v>
      </c>
      <c r="J11" s="151">
        <v>1.4088</v>
      </c>
      <c r="K11" s="150">
        <v>-20.0227079193869</v>
      </c>
    </row>
    <row r="12" ht="24" customHeight="1" spans="1:11">
      <c r="A12" s="148" t="s">
        <v>89</v>
      </c>
      <c r="B12" s="152">
        <v>3.1591</v>
      </c>
      <c r="C12" s="150">
        <v>-20.7610113374135</v>
      </c>
      <c r="D12" s="152">
        <v>0.6276</v>
      </c>
      <c r="E12" s="150">
        <v>-14.8670645686381</v>
      </c>
      <c r="F12" s="152">
        <v>1.0108</v>
      </c>
      <c r="G12" s="150">
        <v>5.28069992709093</v>
      </c>
      <c r="H12" s="152">
        <v>1.3878</v>
      </c>
      <c r="I12" s="150">
        <v>7.68156424581006</v>
      </c>
      <c r="J12" s="152">
        <v>1.6809</v>
      </c>
      <c r="K12" s="150">
        <v>13.1157469717362</v>
      </c>
    </row>
    <row r="13" ht="24" customHeight="1" spans="1:11">
      <c r="A13" s="148" t="s">
        <v>90</v>
      </c>
      <c r="B13" s="152">
        <v>3.6964</v>
      </c>
      <c r="C13" s="150">
        <v>-25.9475919544835</v>
      </c>
      <c r="D13" s="152">
        <v>1.047</v>
      </c>
      <c r="E13" s="150">
        <v>10.51298290057</v>
      </c>
      <c r="F13" s="152">
        <v>1.3705</v>
      </c>
      <c r="G13" s="150">
        <v>27.6784050680082</v>
      </c>
      <c r="H13" s="152">
        <v>1.7863</v>
      </c>
      <c r="I13" s="150">
        <v>23.176113639498</v>
      </c>
      <c r="J13" s="152">
        <v>2.1625</v>
      </c>
      <c r="K13" s="150">
        <v>42.3071861016057</v>
      </c>
    </row>
    <row r="14" ht="24" customHeight="1" spans="1:11">
      <c r="A14" s="148" t="s">
        <v>91</v>
      </c>
      <c r="B14" s="152">
        <v>6.4684</v>
      </c>
      <c r="C14" s="150">
        <v>-16.0743710508219</v>
      </c>
      <c r="D14" s="152">
        <v>1.2712</v>
      </c>
      <c r="E14" s="150">
        <v>1.23437126702237</v>
      </c>
      <c r="F14" s="152">
        <v>1.6892</v>
      </c>
      <c r="G14" s="150">
        <v>13.529135022515</v>
      </c>
      <c r="H14" s="152">
        <v>2.3025</v>
      </c>
      <c r="I14" s="150">
        <v>20.6128863279204</v>
      </c>
      <c r="J14" s="152">
        <v>2.9099</v>
      </c>
      <c r="K14" s="150">
        <v>23.0557787457183</v>
      </c>
    </row>
    <row r="15" ht="24" customHeight="1" spans="1:11">
      <c r="A15" s="148" t="s">
        <v>92</v>
      </c>
      <c r="B15" s="151">
        <v>12.8886</v>
      </c>
      <c r="C15" s="150">
        <v>-5.43600278806999</v>
      </c>
      <c r="D15" s="151">
        <v>3.1975</v>
      </c>
      <c r="E15" s="150">
        <v>23.9485211458697</v>
      </c>
      <c r="F15" s="151">
        <v>4.748</v>
      </c>
      <c r="G15" s="150">
        <v>18.5133414871577</v>
      </c>
      <c r="H15" s="151">
        <v>5.8964</v>
      </c>
      <c r="I15" s="150">
        <v>0.146064744047014</v>
      </c>
      <c r="J15" s="151">
        <v>6.7346</v>
      </c>
      <c r="K15" s="150">
        <v>-5.35044200525628</v>
      </c>
    </row>
    <row r="16" ht="22.9" customHeight="1" spans="1:11">
      <c r="A16" s="148"/>
      <c r="B16" s="143"/>
      <c r="C16" s="144"/>
      <c r="D16" s="143"/>
      <c r="E16" s="144"/>
      <c r="F16" s="143"/>
      <c r="G16" s="144"/>
      <c r="H16" s="143"/>
      <c r="I16" s="144"/>
      <c r="J16" s="143"/>
      <c r="K16" s="144"/>
    </row>
    <row r="17" ht="33" customHeight="1" spans="1:11">
      <c r="A17" s="153" t="s">
        <v>450</v>
      </c>
      <c r="B17" s="154"/>
      <c r="C17" s="150"/>
      <c r="D17" s="154"/>
      <c r="E17" s="150"/>
      <c r="F17" s="154"/>
      <c r="G17" s="150"/>
      <c r="H17" s="154"/>
      <c r="I17" s="150"/>
      <c r="J17" s="154"/>
      <c r="K17" s="150"/>
    </row>
    <row r="18" ht="24" customHeight="1" spans="1:11">
      <c r="A18" s="145" t="s">
        <v>423</v>
      </c>
      <c r="B18" s="151">
        <v>40.8219</v>
      </c>
      <c r="C18" s="150">
        <v>37.53</v>
      </c>
      <c r="D18" s="151">
        <v>7.98</v>
      </c>
      <c r="E18" s="150">
        <v>130</v>
      </c>
      <c r="F18" s="151">
        <v>8</v>
      </c>
      <c r="G18" s="150">
        <v>118.6</v>
      </c>
      <c r="H18" s="151">
        <v>8.2876</v>
      </c>
      <c r="I18" s="150">
        <v>122.7</v>
      </c>
      <c r="J18" s="151">
        <v>15.8476</v>
      </c>
      <c r="K18" s="150">
        <v>317.98</v>
      </c>
    </row>
    <row r="19" ht="24" customHeight="1" spans="1:11">
      <c r="A19" s="148" t="s">
        <v>83</v>
      </c>
      <c r="B19" s="146">
        <v>0.0103</v>
      </c>
      <c r="C19" s="150">
        <v>68.9</v>
      </c>
      <c r="D19" s="146">
        <v>0</v>
      </c>
      <c r="E19" s="155" t="s">
        <v>12</v>
      </c>
      <c r="F19" s="146">
        <v>0</v>
      </c>
      <c r="G19" s="155" t="s">
        <v>12</v>
      </c>
      <c r="H19" s="146">
        <v>0</v>
      </c>
      <c r="I19" s="155" t="s">
        <v>12</v>
      </c>
      <c r="J19" s="146">
        <v>0</v>
      </c>
      <c r="K19" s="155" t="s">
        <v>12</v>
      </c>
    </row>
    <row r="20" ht="24" customHeight="1" spans="1:11">
      <c r="A20" s="148" t="s">
        <v>84</v>
      </c>
      <c r="B20" s="146">
        <v>0.002</v>
      </c>
      <c r="C20" s="150">
        <v>-99.9</v>
      </c>
      <c r="D20" s="146">
        <v>0</v>
      </c>
      <c r="E20" s="155" t="s">
        <v>12</v>
      </c>
      <c r="F20" s="146">
        <v>0</v>
      </c>
      <c r="G20" s="155" t="s">
        <v>12</v>
      </c>
      <c r="H20" s="146">
        <v>0</v>
      </c>
      <c r="I20" s="155" t="s">
        <v>12</v>
      </c>
      <c r="J20" s="146">
        <v>0</v>
      </c>
      <c r="K20" s="155" t="s">
        <v>12</v>
      </c>
    </row>
    <row r="21" ht="24" customHeight="1" spans="1:11">
      <c r="A21" s="148" t="s">
        <v>85</v>
      </c>
      <c r="B21" s="146">
        <v>0</v>
      </c>
      <c r="C21" s="155" t="s">
        <v>12</v>
      </c>
      <c r="D21" s="146">
        <v>0</v>
      </c>
      <c r="E21" s="155" t="s">
        <v>12</v>
      </c>
      <c r="F21" s="146">
        <v>0</v>
      </c>
      <c r="G21" s="155" t="s">
        <v>12</v>
      </c>
      <c r="H21" s="146">
        <v>0</v>
      </c>
      <c r="I21" s="155" t="s">
        <v>12</v>
      </c>
      <c r="J21" s="146">
        <v>0</v>
      </c>
      <c r="K21" s="155" t="s">
        <v>12</v>
      </c>
    </row>
    <row r="22" ht="24" customHeight="1" spans="1:11">
      <c r="A22" s="148" t="s">
        <v>86</v>
      </c>
      <c r="B22" s="151">
        <v>0.1</v>
      </c>
      <c r="C22" s="150">
        <v>1308.5</v>
      </c>
      <c r="D22" s="151">
        <v>0</v>
      </c>
      <c r="E22" s="155" t="s">
        <v>12</v>
      </c>
      <c r="F22" s="151">
        <v>0</v>
      </c>
      <c r="G22" s="155" t="s">
        <v>12</v>
      </c>
      <c r="H22" s="151">
        <v>0</v>
      </c>
      <c r="I22" s="155" t="s">
        <v>12</v>
      </c>
      <c r="J22" s="151">
        <v>0</v>
      </c>
      <c r="K22" s="155" t="s">
        <v>12</v>
      </c>
    </row>
    <row r="23" ht="24" customHeight="1" spans="1:11">
      <c r="A23" s="148" t="s">
        <v>87</v>
      </c>
      <c r="B23" s="146">
        <v>0</v>
      </c>
      <c r="C23" s="155" t="s">
        <v>12</v>
      </c>
      <c r="D23" s="146">
        <v>0</v>
      </c>
      <c r="E23" s="155" t="s">
        <v>12</v>
      </c>
      <c r="F23" s="146">
        <v>0</v>
      </c>
      <c r="G23" s="155" t="s">
        <v>12</v>
      </c>
      <c r="H23" s="146">
        <v>0</v>
      </c>
      <c r="I23" s="155" t="s">
        <v>12</v>
      </c>
      <c r="J23" s="146">
        <v>0</v>
      </c>
      <c r="K23" s="155" t="s">
        <v>12</v>
      </c>
    </row>
    <row r="24" ht="24" customHeight="1" spans="1:11">
      <c r="A24" s="148" t="s">
        <v>88</v>
      </c>
      <c r="B24" s="146">
        <v>0</v>
      </c>
      <c r="C24" s="155" t="s">
        <v>12</v>
      </c>
      <c r="D24" s="146">
        <v>0</v>
      </c>
      <c r="E24" s="155" t="s">
        <v>12</v>
      </c>
      <c r="F24" s="146">
        <v>0</v>
      </c>
      <c r="G24" s="155" t="s">
        <v>12</v>
      </c>
      <c r="H24" s="146">
        <v>0</v>
      </c>
      <c r="I24" s="155" t="s">
        <v>12</v>
      </c>
      <c r="J24" s="146">
        <v>0</v>
      </c>
      <c r="K24" s="155" t="s">
        <v>12</v>
      </c>
    </row>
    <row r="25" ht="24" customHeight="1" spans="1:11">
      <c r="A25" s="148" t="s">
        <v>89</v>
      </c>
      <c r="B25" s="151">
        <v>0.12</v>
      </c>
      <c r="C25" s="150">
        <v>-68.7</v>
      </c>
      <c r="D25" s="151">
        <v>0.09</v>
      </c>
      <c r="E25" s="155" t="s">
        <v>12</v>
      </c>
      <c r="F25" s="151">
        <v>0.09</v>
      </c>
      <c r="G25" s="150">
        <v>50</v>
      </c>
      <c r="H25" s="151">
        <v>0.09</v>
      </c>
      <c r="I25" s="150">
        <v>-25</v>
      </c>
      <c r="J25" s="151">
        <v>0.09</v>
      </c>
      <c r="K25" s="150">
        <v>-25</v>
      </c>
    </row>
    <row r="26" ht="24" customHeight="1" spans="1:11">
      <c r="A26" s="148" t="s">
        <v>90</v>
      </c>
      <c r="B26" s="151">
        <v>0.3394</v>
      </c>
      <c r="C26" s="150">
        <v>708.1</v>
      </c>
      <c r="D26" s="151">
        <v>0</v>
      </c>
      <c r="E26" s="155" t="s">
        <v>12</v>
      </c>
      <c r="F26" s="151">
        <v>0</v>
      </c>
      <c r="G26" s="155" t="s">
        <v>12</v>
      </c>
      <c r="H26" s="151">
        <v>0</v>
      </c>
      <c r="I26" s="155" t="s">
        <v>12</v>
      </c>
      <c r="J26" s="151">
        <v>0</v>
      </c>
      <c r="K26" s="155" t="s">
        <v>12</v>
      </c>
    </row>
    <row r="27" ht="24" customHeight="1" spans="1:11">
      <c r="A27" s="148" t="s">
        <v>91</v>
      </c>
      <c r="B27" s="146">
        <v>0.01</v>
      </c>
      <c r="C27" s="150">
        <v>-93.3</v>
      </c>
      <c r="D27" s="146">
        <v>0</v>
      </c>
      <c r="E27" s="155" t="s">
        <v>12</v>
      </c>
      <c r="F27" s="146">
        <v>0</v>
      </c>
      <c r="G27" s="155" t="s">
        <v>12</v>
      </c>
      <c r="H27" s="146">
        <v>0</v>
      </c>
      <c r="I27" s="155" t="s">
        <v>12</v>
      </c>
      <c r="J27" s="146">
        <v>0</v>
      </c>
      <c r="K27" s="155" t="s">
        <v>12</v>
      </c>
    </row>
    <row r="28" ht="24" customHeight="1" spans="1:11">
      <c r="A28" s="156" t="s">
        <v>439</v>
      </c>
      <c r="B28" s="157">
        <v>39.7567</v>
      </c>
      <c r="C28" s="158">
        <v>51.7</v>
      </c>
      <c r="D28" s="157">
        <v>7.89</v>
      </c>
      <c r="E28" s="158">
        <v>187.21</v>
      </c>
      <c r="F28" s="157">
        <v>7.91</v>
      </c>
      <c r="G28" s="158">
        <v>188</v>
      </c>
      <c r="H28" s="157">
        <v>8.1976</v>
      </c>
      <c r="I28" s="158">
        <v>198.3</v>
      </c>
      <c r="J28" s="157">
        <v>15.7576</v>
      </c>
      <c r="K28" s="158">
        <v>473.3</v>
      </c>
    </row>
    <row r="29" spans="1:1">
      <c r="A29" s="133" t="s">
        <v>451</v>
      </c>
    </row>
  </sheetData>
  <mergeCells count="7">
    <mergeCell ref="A1:K1"/>
    <mergeCell ref="B2:C2"/>
    <mergeCell ref="D2:E2"/>
    <mergeCell ref="F2:G2"/>
    <mergeCell ref="H2:I2"/>
    <mergeCell ref="J2:K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27"/>
  <sheetViews>
    <sheetView workbookViewId="0">
      <selection activeCell="K11" sqref="K11"/>
    </sheetView>
  </sheetViews>
  <sheetFormatPr defaultColWidth="9" defaultRowHeight="14.25"/>
  <cols>
    <col min="1" max="1" width="16.375" customWidth="1"/>
    <col min="2" max="2" width="13" customWidth="1"/>
    <col min="3" max="3" width="9.375" customWidth="1"/>
    <col min="4" max="4" width="8.625" customWidth="1"/>
    <col min="5" max="5" width="14.625" customWidth="1"/>
    <col min="6" max="6" width="10.5" customWidth="1"/>
    <col min="7" max="7" width="8.625" customWidth="1"/>
  </cols>
  <sheetData>
    <row r="1" ht="24" spans="1:7">
      <c r="A1" t="s">
        <v>452</v>
      </c>
      <c r="G1" s="103"/>
    </row>
    <row r="2" ht="29.1" customHeight="1" spans="1:1">
      <c r="A2" t="s">
        <v>453</v>
      </c>
    </row>
    <row r="3" s="100" customFormat="1" ht="30" customHeight="1" spans="1:7">
      <c r="A3" t="s">
        <v>454</v>
      </c>
      <c r="B3" t="s">
        <v>455</v>
      </c>
      <c r="C3"/>
      <c r="D3"/>
      <c r="E3" t="s">
        <v>456</v>
      </c>
      <c r="F3"/>
      <c r="G3"/>
    </row>
    <row r="4" s="101" customFormat="1" ht="36" customHeight="1" spans="1:15">
      <c r="A4"/>
      <c r="B4" s="104" t="s">
        <v>457</v>
      </c>
      <c r="C4" s="105" t="s">
        <v>458</v>
      </c>
      <c r="D4" s="106" t="s">
        <v>459</v>
      </c>
      <c r="E4" s="104" t="s">
        <v>457</v>
      </c>
      <c r="F4" s="107" t="s">
        <v>458</v>
      </c>
      <c r="G4" s="107" t="s">
        <v>459</v>
      </c>
      <c r="H4" s="108"/>
      <c r="O4" s="123"/>
    </row>
    <row r="5" s="101" customFormat="1" ht="25.5" customHeight="1" spans="1:15">
      <c r="A5" s="109" t="s">
        <v>460</v>
      </c>
      <c r="B5" s="110" t="s">
        <v>12</v>
      </c>
      <c r="C5" s="110" t="s">
        <v>12</v>
      </c>
      <c r="D5" s="110" t="s">
        <v>12</v>
      </c>
      <c r="E5" s="111" t="s">
        <v>12</v>
      </c>
      <c r="F5" s="112" t="s">
        <v>12</v>
      </c>
      <c r="G5" s="110" t="s">
        <v>12</v>
      </c>
      <c r="I5" s="124"/>
      <c r="J5" s="124"/>
      <c r="K5" s="125"/>
      <c r="O5" s="123"/>
    </row>
    <row r="6" s="101" customFormat="1" ht="23.1" customHeight="1" spans="1:15">
      <c r="A6" s="109" t="s">
        <v>461</v>
      </c>
      <c r="B6" s="113">
        <v>7406.64</v>
      </c>
      <c r="C6" s="11">
        <v>3.4</v>
      </c>
      <c r="D6" s="110" t="s">
        <v>12</v>
      </c>
      <c r="E6" s="113">
        <v>0</v>
      </c>
      <c r="F6" s="114">
        <v>0</v>
      </c>
      <c r="G6" s="110" t="s">
        <v>12</v>
      </c>
      <c r="I6" s="124"/>
      <c r="J6" s="126"/>
      <c r="O6" s="127"/>
    </row>
    <row r="7" ht="23.1" customHeight="1" spans="1:15">
      <c r="A7" s="101" t="s">
        <v>462</v>
      </c>
      <c r="B7" s="113" t="e">
        <v>#REF!</v>
      </c>
      <c r="C7" s="11" t="e">
        <v>#REF!</v>
      </c>
      <c r="D7" s="115" t="e">
        <f t="shared" ref="D7:D27" si="0">RANK(C7,$C$7:$C$27,0)</f>
        <v>#REF!</v>
      </c>
      <c r="E7" s="113" t="e">
        <v>#REF!</v>
      </c>
      <c r="F7" s="114" t="e">
        <v>#REF!</v>
      </c>
      <c r="G7" s="110" t="e">
        <f t="shared" ref="G7:G27" si="1">RANK(F7,$F$7:$F$27,0)</f>
        <v>#REF!</v>
      </c>
      <c r="I7" s="128"/>
      <c r="J7" s="129"/>
      <c r="K7" s="130"/>
      <c r="L7" s="131"/>
      <c r="O7" s="132"/>
    </row>
    <row r="8" ht="23.1" customHeight="1" spans="1:15">
      <c r="A8" s="101" t="s">
        <v>463</v>
      </c>
      <c r="B8" s="113" t="e">
        <v>#REF!</v>
      </c>
      <c r="C8" s="11" t="e">
        <v>#REF!</v>
      </c>
      <c r="D8" s="115" t="e">
        <f t="shared" si="0"/>
        <v>#REF!</v>
      </c>
      <c r="E8" s="113" t="e">
        <v>#REF!</v>
      </c>
      <c r="F8" s="114" t="e">
        <v>#REF!</v>
      </c>
      <c r="G8" s="110" t="e">
        <f t="shared" si="1"/>
        <v>#REF!</v>
      </c>
      <c r="I8" s="128"/>
      <c r="J8" s="129"/>
      <c r="K8" s="130"/>
      <c r="L8" s="131"/>
      <c r="O8" s="132"/>
    </row>
    <row r="9" ht="23.1" customHeight="1" spans="1:15">
      <c r="A9" s="101" t="s">
        <v>464</v>
      </c>
      <c r="B9" s="113" t="e">
        <v>#REF!</v>
      </c>
      <c r="C9" s="11" t="e">
        <v>#REF!</v>
      </c>
      <c r="D9" s="115" t="e">
        <f t="shared" si="0"/>
        <v>#REF!</v>
      </c>
      <c r="E9" s="113" t="e">
        <v>#REF!</v>
      </c>
      <c r="F9" s="114" t="e">
        <v>#REF!</v>
      </c>
      <c r="G9" s="110" t="e">
        <f t="shared" si="1"/>
        <v>#REF!</v>
      </c>
      <c r="I9" s="128"/>
      <c r="J9" s="129"/>
      <c r="K9" s="130"/>
      <c r="L9" s="131"/>
      <c r="O9" s="132"/>
    </row>
    <row r="10" ht="23.1" customHeight="1" spans="1:15">
      <c r="A10" s="101" t="s">
        <v>465</v>
      </c>
      <c r="B10" s="113" t="e">
        <v>#REF!</v>
      </c>
      <c r="C10" s="11" t="e">
        <v>#REF!</v>
      </c>
      <c r="D10" s="115" t="e">
        <f t="shared" si="0"/>
        <v>#REF!</v>
      </c>
      <c r="E10" s="113" t="e">
        <v>#REF!</v>
      </c>
      <c r="F10" s="114" t="e">
        <v>#REF!</v>
      </c>
      <c r="G10" s="110" t="e">
        <f t="shared" si="1"/>
        <v>#REF!</v>
      </c>
      <c r="I10" s="128"/>
      <c r="J10" s="129"/>
      <c r="K10" s="130"/>
      <c r="L10" s="131"/>
      <c r="O10" s="132"/>
    </row>
    <row r="11" ht="23.1" customHeight="1" spans="1:15">
      <c r="A11" s="101" t="s">
        <v>466</v>
      </c>
      <c r="B11" s="113" t="e">
        <v>#REF!</v>
      </c>
      <c r="C11" s="11" t="e">
        <v>#REF!</v>
      </c>
      <c r="D11" s="115" t="e">
        <f t="shared" si="0"/>
        <v>#REF!</v>
      </c>
      <c r="E11" s="113" t="e">
        <v>#REF!</v>
      </c>
      <c r="F11" s="114" t="e">
        <v>#REF!</v>
      </c>
      <c r="G11" s="110" t="e">
        <f t="shared" si="1"/>
        <v>#REF!</v>
      </c>
      <c r="I11" s="128"/>
      <c r="J11" s="129"/>
      <c r="K11" s="130"/>
      <c r="L11" s="131"/>
      <c r="O11" s="132"/>
    </row>
    <row r="12" ht="23.1" customHeight="1" spans="1:15">
      <c r="A12" s="101" t="s">
        <v>467</v>
      </c>
      <c r="B12" s="113" t="e">
        <v>#REF!</v>
      </c>
      <c r="C12" s="11" t="e">
        <v>#REF!</v>
      </c>
      <c r="D12" s="115" t="e">
        <f t="shared" si="0"/>
        <v>#REF!</v>
      </c>
      <c r="E12" s="113" t="e">
        <v>#REF!</v>
      </c>
      <c r="F12" s="114" t="e">
        <v>#REF!</v>
      </c>
      <c r="G12" s="110" t="e">
        <f t="shared" si="1"/>
        <v>#REF!</v>
      </c>
      <c r="I12" s="128"/>
      <c r="J12" s="129"/>
      <c r="K12" s="130"/>
      <c r="L12" s="131"/>
      <c r="O12" s="132"/>
    </row>
    <row r="13" ht="23.1" customHeight="1" spans="1:15">
      <c r="A13" s="101" t="s">
        <v>468</v>
      </c>
      <c r="B13" s="113" t="e">
        <v>#REF!</v>
      </c>
      <c r="C13" s="11" t="e">
        <v>#REF!</v>
      </c>
      <c r="D13" s="115" t="e">
        <f t="shared" si="0"/>
        <v>#REF!</v>
      </c>
      <c r="E13" s="113" t="e">
        <v>#REF!</v>
      </c>
      <c r="F13" s="114" t="e">
        <v>#REF!</v>
      </c>
      <c r="G13" s="110" t="e">
        <f t="shared" si="1"/>
        <v>#REF!</v>
      </c>
      <c r="I13" s="128"/>
      <c r="J13" s="129"/>
      <c r="K13" s="130"/>
      <c r="L13" s="131"/>
      <c r="O13" s="132"/>
    </row>
    <row r="14" ht="23.1" customHeight="1" spans="1:15">
      <c r="A14" s="101" t="s">
        <v>469</v>
      </c>
      <c r="B14" s="113" t="e">
        <v>#REF!</v>
      </c>
      <c r="C14" s="11" t="e">
        <v>#REF!</v>
      </c>
      <c r="D14" s="115" t="e">
        <f t="shared" si="0"/>
        <v>#REF!</v>
      </c>
      <c r="E14" s="113" t="e">
        <v>#REF!</v>
      </c>
      <c r="F14" s="114" t="e">
        <v>#REF!</v>
      </c>
      <c r="G14" s="110" t="e">
        <f t="shared" si="1"/>
        <v>#REF!</v>
      </c>
      <c r="I14" s="128"/>
      <c r="J14" s="129"/>
      <c r="K14" s="130"/>
      <c r="L14" s="131"/>
      <c r="O14" s="132"/>
    </row>
    <row r="15" ht="23.1" customHeight="1" spans="1:15">
      <c r="A15" s="101" t="s">
        <v>470</v>
      </c>
      <c r="B15" s="113" t="e">
        <v>#REF!</v>
      </c>
      <c r="C15" s="11">
        <v>-15.6</v>
      </c>
      <c r="D15" s="115" t="e">
        <f t="shared" si="0"/>
        <v>#REF!</v>
      </c>
      <c r="E15" s="113" t="e">
        <v>#REF!</v>
      </c>
      <c r="F15" s="114" t="e">
        <v>#REF!</v>
      </c>
      <c r="G15" s="110" t="e">
        <f t="shared" si="1"/>
        <v>#REF!</v>
      </c>
      <c r="I15" s="128"/>
      <c r="J15" s="129"/>
      <c r="K15" s="130"/>
      <c r="L15" s="131"/>
      <c r="O15" s="132"/>
    </row>
    <row r="16" ht="23.1" customHeight="1" spans="1:15">
      <c r="A16" s="101" t="s">
        <v>471</v>
      </c>
      <c r="B16" s="113" t="e">
        <v>#REF!</v>
      </c>
      <c r="C16" s="11" t="e">
        <v>#REF!</v>
      </c>
      <c r="D16" s="115" t="e">
        <f t="shared" si="0"/>
        <v>#REF!</v>
      </c>
      <c r="E16" s="113" t="e">
        <v>#REF!</v>
      </c>
      <c r="F16" s="114" t="e">
        <v>#REF!</v>
      </c>
      <c r="G16" s="110" t="e">
        <f t="shared" si="1"/>
        <v>#REF!</v>
      </c>
      <c r="I16" s="128"/>
      <c r="J16" s="129"/>
      <c r="K16" s="130"/>
      <c r="L16" s="131"/>
      <c r="O16" s="132"/>
    </row>
    <row r="17" ht="23.1" customHeight="1" spans="1:15">
      <c r="A17" s="101" t="s">
        <v>472</v>
      </c>
      <c r="B17" s="113" t="e">
        <v>#REF!</v>
      </c>
      <c r="C17" s="11" t="e">
        <v>#REF!</v>
      </c>
      <c r="D17" s="115" t="e">
        <f t="shared" si="0"/>
        <v>#REF!</v>
      </c>
      <c r="E17" s="113" t="e">
        <v>#REF!</v>
      </c>
      <c r="F17" s="114" t="e">
        <v>#REF!</v>
      </c>
      <c r="G17" s="110" t="e">
        <f t="shared" si="1"/>
        <v>#REF!</v>
      </c>
      <c r="I17" s="128"/>
      <c r="J17" s="129"/>
      <c r="K17" s="130"/>
      <c r="L17" s="131"/>
      <c r="O17" s="132"/>
    </row>
    <row r="18" ht="23.1" customHeight="1" spans="1:15">
      <c r="A18" s="101" t="s">
        <v>473</v>
      </c>
      <c r="B18" s="113" t="e">
        <v>#REF!</v>
      </c>
      <c r="C18" s="11" t="e">
        <v>#REF!</v>
      </c>
      <c r="D18" s="115" t="e">
        <f t="shared" si="0"/>
        <v>#REF!</v>
      </c>
      <c r="E18" s="113" t="e">
        <v>#REF!</v>
      </c>
      <c r="F18" s="114" t="e">
        <v>#REF!</v>
      </c>
      <c r="G18" s="110" t="e">
        <f t="shared" si="1"/>
        <v>#REF!</v>
      </c>
      <c r="I18" s="128"/>
      <c r="J18" s="129"/>
      <c r="K18" s="130"/>
      <c r="L18" s="131"/>
      <c r="O18" s="132"/>
    </row>
    <row r="19" ht="23.1" customHeight="1" spans="1:15">
      <c r="A19" s="101" t="s">
        <v>474</v>
      </c>
      <c r="B19" s="113" t="e">
        <v>#REF!</v>
      </c>
      <c r="C19" s="11" t="e">
        <v>#REF!</v>
      </c>
      <c r="D19" s="115" t="e">
        <f t="shared" si="0"/>
        <v>#REF!</v>
      </c>
      <c r="E19" s="113" t="e">
        <v>#REF!</v>
      </c>
      <c r="F19" s="114" t="e">
        <v>#REF!</v>
      </c>
      <c r="G19" s="110" t="e">
        <f t="shared" si="1"/>
        <v>#REF!</v>
      </c>
      <c r="I19" s="128"/>
      <c r="J19" s="129"/>
      <c r="K19" s="130"/>
      <c r="L19" s="131"/>
      <c r="O19" s="132"/>
    </row>
    <row r="20" ht="23.1" customHeight="1" spans="1:15">
      <c r="A20" s="101" t="s">
        <v>475</v>
      </c>
      <c r="B20" s="113" t="e">
        <v>#REF!</v>
      </c>
      <c r="C20" s="11" t="e">
        <v>#REF!</v>
      </c>
      <c r="D20" s="115" t="e">
        <f t="shared" si="0"/>
        <v>#REF!</v>
      </c>
      <c r="E20" s="113" t="e">
        <v>#REF!</v>
      </c>
      <c r="F20" s="114" t="e">
        <v>#REF!</v>
      </c>
      <c r="G20" s="110" t="e">
        <f t="shared" si="1"/>
        <v>#REF!</v>
      </c>
      <c r="I20" s="128"/>
      <c r="J20" s="129"/>
      <c r="K20" s="130"/>
      <c r="L20" s="131"/>
      <c r="O20" s="132"/>
    </row>
    <row r="21" ht="23.1" customHeight="1" spans="1:15">
      <c r="A21" s="101" t="s">
        <v>476</v>
      </c>
      <c r="B21" s="113" t="e">
        <v>#REF!</v>
      </c>
      <c r="C21" s="11" t="e">
        <v>#REF!</v>
      </c>
      <c r="D21" s="115" t="e">
        <f t="shared" si="0"/>
        <v>#REF!</v>
      </c>
      <c r="E21" s="113" t="e">
        <v>#REF!</v>
      </c>
      <c r="F21" s="114" t="e">
        <v>#REF!</v>
      </c>
      <c r="G21" s="110" t="e">
        <f t="shared" si="1"/>
        <v>#REF!</v>
      </c>
      <c r="I21" s="128"/>
      <c r="J21" s="129"/>
      <c r="K21" s="130"/>
      <c r="L21" s="131"/>
      <c r="O21" s="132"/>
    </row>
    <row r="22" ht="23.1" customHeight="1" spans="1:15">
      <c r="A22" s="101" t="s">
        <v>477</v>
      </c>
      <c r="B22" s="113" t="e">
        <v>#REF!</v>
      </c>
      <c r="C22" s="11" t="e">
        <v>#REF!</v>
      </c>
      <c r="D22" s="115" t="e">
        <f t="shared" si="0"/>
        <v>#REF!</v>
      </c>
      <c r="E22" s="113" t="e">
        <v>#REF!</v>
      </c>
      <c r="F22" s="114" t="e">
        <v>#REF!</v>
      </c>
      <c r="G22" s="110" t="e">
        <f t="shared" si="1"/>
        <v>#REF!</v>
      </c>
      <c r="I22" s="128"/>
      <c r="J22" s="129"/>
      <c r="K22" s="130"/>
      <c r="L22" s="131"/>
      <c r="O22" s="132"/>
    </row>
    <row r="23" ht="23.1" customHeight="1" spans="1:15">
      <c r="A23" s="101" t="s">
        <v>478</v>
      </c>
      <c r="B23" s="113" t="e">
        <v>#REF!</v>
      </c>
      <c r="C23" s="11" t="e">
        <v>#REF!</v>
      </c>
      <c r="D23" s="115" t="e">
        <f t="shared" si="0"/>
        <v>#REF!</v>
      </c>
      <c r="E23" s="113" t="e">
        <v>#REF!</v>
      </c>
      <c r="F23" s="114" t="e">
        <v>#REF!</v>
      </c>
      <c r="G23" s="110" t="e">
        <f t="shared" si="1"/>
        <v>#REF!</v>
      </c>
      <c r="I23" s="128"/>
      <c r="J23" s="129"/>
      <c r="K23" s="130"/>
      <c r="L23" s="131"/>
      <c r="O23" s="132"/>
    </row>
    <row r="24" ht="23.1" customHeight="1" spans="1:15">
      <c r="A24" s="101" t="s">
        <v>479</v>
      </c>
      <c r="B24" s="113" t="e">
        <v>#REF!</v>
      </c>
      <c r="C24" s="11" t="e">
        <v>#REF!</v>
      </c>
      <c r="D24" s="115" t="e">
        <f t="shared" si="0"/>
        <v>#REF!</v>
      </c>
      <c r="E24" s="113" t="e">
        <v>#REF!</v>
      </c>
      <c r="F24" s="114" t="e">
        <v>#REF!</v>
      </c>
      <c r="G24" s="110" t="e">
        <f t="shared" si="1"/>
        <v>#REF!</v>
      </c>
      <c r="I24" s="128"/>
      <c r="J24" s="129"/>
      <c r="K24" s="130"/>
      <c r="L24" s="131"/>
      <c r="O24" s="132"/>
    </row>
    <row r="25" ht="23.1" customHeight="1" spans="1:15">
      <c r="A25" s="101" t="s">
        <v>480</v>
      </c>
      <c r="B25" s="113" t="e">
        <v>#REF!</v>
      </c>
      <c r="C25" s="11" t="e">
        <v>#REF!</v>
      </c>
      <c r="D25" s="115" t="e">
        <f t="shared" si="0"/>
        <v>#REF!</v>
      </c>
      <c r="E25" s="113" t="e">
        <v>#REF!</v>
      </c>
      <c r="F25" s="114" t="e">
        <v>#REF!</v>
      </c>
      <c r="G25" s="110" t="e">
        <f t="shared" si="1"/>
        <v>#REF!</v>
      </c>
      <c r="I25" s="128"/>
      <c r="J25" s="129"/>
      <c r="K25" s="130"/>
      <c r="L25" s="131"/>
      <c r="O25" s="132"/>
    </row>
    <row r="26" ht="23.1" customHeight="1" spans="1:15">
      <c r="A26" s="101" t="s">
        <v>481</v>
      </c>
      <c r="B26" s="113" t="e">
        <v>#REF!</v>
      </c>
      <c r="C26" s="11" t="e">
        <v>#REF!</v>
      </c>
      <c r="D26" s="115" t="e">
        <f t="shared" si="0"/>
        <v>#REF!</v>
      </c>
      <c r="E26" s="113" t="e">
        <v>#REF!</v>
      </c>
      <c r="F26" s="114" t="e">
        <v>#REF!</v>
      </c>
      <c r="G26" s="110" t="e">
        <f t="shared" si="1"/>
        <v>#REF!</v>
      </c>
      <c r="I26" s="128"/>
      <c r="J26" s="129"/>
      <c r="K26" s="130"/>
      <c r="L26" s="131"/>
      <c r="O26" s="132"/>
    </row>
    <row r="27" s="102" customFormat="1" ht="23.1" customHeight="1" spans="1:15">
      <c r="A27" s="116" t="s">
        <v>482</v>
      </c>
      <c r="B27" s="117" t="e">
        <v>#REF!</v>
      </c>
      <c r="C27" s="118" t="e">
        <v>#REF!</v>
      </c>
      <c r="D27" s="119" t="e">
        <f t="shared" si="0"/>
        <v>#REF!</v>
      </c>
      <c r="E27" s="117" t="e">
        <v>#REF!</v>
      </c>
      <c r="F27" s="120" t="e">
        <v>#REF!</v>
      </c>
      <c r="G27" s="121" t="e">
        <f t="shared" si="1"/>
        <v>#REF!</v>
      </c>
      <c r="H27" s="122"/>
      <c r="I27" s="128"/>
      <c r="J27" s="129"/>
      <c r="K27" s="130"/>
      <c r="L27" s="122"/>
      <c r="M27" s="122"/>
      <c r="N27" s="122"/>
      <c r="O27" s="127"/>
    </row>
  </sheetData>
  <mergeCells count="5">
    <mergeCell ref="A1:F1"/>
    <mergeCell ref="A2:G2"/>
    <mergeCell ref="B3:D3"/>
    <mergeCell ref="E3:G3"/>
    <mergeCell ref="A3:A4"/>
  </mergeCells>
  <pageMargins left="0.75" right="0.75" top="1" bottom="1" header="0.51" footer="0.51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V31"/>
  <sheetViews>
    <sheetView topLeftCell="A4" workbookViewId="0">
      <selection activeCell="G31" sqref="G31"/>
    </sheetView>
  </sheetViews>
  <sheetFormatPr defaultColWidth="9" defaultRowHeight="14.25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483</v>
      </c>
      <c r="B1" s="3"/>
      <c r="C1" s="3"/>
      <c r="D1" s="3"/>
      <c r="E1" s="3"/>
      <c r="F1" s="3"/>
      <c r="G1" s="45"/>
    </row>
    <row r="2" ht="20.25" customHeight="1" spans="1:7">
      <c r="A2" s="84"/>
      <c r="B2" s="84"/>
      <c r="C2" t="s">
        <v>484</v>
      </c>
      <c r="G2" s="45"/>
    </row>
    <row r="3" s="43" customFormat="1" ht="31.5" customHeight="1" spans="1:7">
      <c r="A3" t="s">
        <v>485</v>
      </c>
      <c r="B3" t="s">
        <v>76</v>
      </c>
      <c r="C3"/>
      <c r="D3" s="85"/>
      <c r="E3" s="86"/>
      <c r="F3" s="87"/>
      <c r="G3" s="51"/>
    </row>
    <row r="4" s="43" customFormat="1" ht="31.5" customHeight="1" spans="1:7">
      <c r="A4"/>
      <c r="B4" s="7" t="s">
        <v>486</v>
      </c>
      <c r="C4" s="8" t="s">
        <v>487</v>
      </c>
      <c r="D4" s="88"/>
      <c r="E4" s="89"/>
      <c r="F4" s="90"/>
      <c r="G4" s="51"/>
    </row>
    <row r="5" ht="18" customHeight="1" spans="1:6">
      <c r="A5" s="91">
        <v>2016</v>
      </c>
      <c r="B5" s="92"/>
      <c r="C5" s="80"/>
      <c r="D5" s="93"/>
      <c r="E5" s="93"/>
      <c r="F5" s="93"/>
    </row>
    <row r="6" ht="18" customHeight="1" spans="1:6">
      <c r="A6" s="91">
        <v>6</v>
      </c>
      <c r="B6" s="92">
        <f>ROUND(3143799,0)</f>
        <v>3143799</v>
      </c>
      <c r="C6" s="94">
        <f>ROUND(10.5,1)</f>
        <v>10.5</v>
      </c>
      <c r="D6" s="93"/>
      <c r="E6" s="93"/>
      <c r="F6" s="93"/>
    </row>
    <row r="7" ht="18" customHeight="1" spans="1:6">
      <c r="A7" s="91">
        <v>7</v>
      </c>
      <c r="B7" s="92">
        <f>ROUND(3788981,0)</f>
        <v>3788981</v>
      </c>
      <c r="C7" s="95">
        <f>ROUND(10.6,1)</f>
        <v>10.6</v>
      </c>
      <c r="D7" s="93"/>
      <c r="E7" s="93"/>
      <c r="F7" s="93"/>
    </row>
    <row r="8" ht="18" customHeight="1" spans="1:6">
      <c r="A8" s="91">
        <v>8</v>
      </c>
      <c r="B8" s="92">
        <f>ROUND(4431853,0)</f>
        <v>4431853</v>
      </c>
      <c r="C8" s="95">
        <f>ROUND(10.6,1)</f>
        <v>10.6</v>
      </c>
      <c r="D8" s="93"/>
      <c r="E8" s="93"/>
      <c r="F8" s="93"/>
    </row>
    <row r="9" ht="18" customHeight="1" spans="1:6">
      <c r="A9" s="91">
        <v>9</v>
      </c>
      <c r="B9" s="92">
        <f>ROUND(5129609,0)</f>
        <v>5129609</v>
      </c>
      <c r="C9" s="95">
        <f>ROUND(11,1)</f>
        <v>11</v>
      </c>
      <c r="D9" s="93"/>
      <c r="E9" s="93"/>
      <c r="F9" s="93"/>
    </row>
    <row r="10" ht="18" customHeight="1" spans="1:6">
      <c r="A10" s="91">
        <v>10</v>
      </c>
      <c r="B10" s="92">
        <f>ROUND(5824115,0)</f>
        <v>5824115</v>
      </c>
      <c r="C10" s="95">
        <f>ROUND(11.5,1)</f>
        <v>11.5</v>
      </c>
      <c r="D10" s="93"/>
      <c r="E10" s="93"/>
      <c r="F10" s="93"/>
    </row>
    <row r="11" spans="1:3">
      <c r="A11" s="91">
        <v>11</v>
      </c>
      <c r="B11" s="92">
        <f>ROUND(6614788,0)</f>
        <v>6614788</v>
      </c>
      <c r="C11" s="95">
        <f>ROUND(11.7,1)</f>
        <v>11.7</v>
      </c>
    </row>
    <row r="12" spans="1:3">
      <c r="A12" s="96">
        <v>12</v>
      </c>
      <c r="B12" s="41">
        <f>ROUND(7665202,0)</f>
        <v>7665202</v>
      </c>
      <c r="C12" s="21">
        <f>ROUND(11.5,1)</f>
        <v>11.5</v>
      </c>
    </row>
    <row r="13" ht="18" customHeight="1" spans="1:6">
      <c r="A13" s="91">
        <v>2017</v>
      </c>
      <c r="B13" s="92"/>
      <c r="C13" s="94"/>
      <c r="D13" s="93"/>
      <c r="E13" s="93"/>
      <c r="F13" s="93"/>
    </row>
    <row r="14" spans="1:3">
      <c r="A14" s="91">
        <v>2</v>
      </c>
      <c r="B14" s="16">
        <f>ROUND(1142507,0)</f>
        <v>1142507</v>
      </c>
      <c r="C14" s="97">
        <f>ROUND(7.5,1)</f>
        <v>7.5</v>
      </c>
    </row>
    <row r="15" spans="1:3">
      <c r="A15" s="15">
        <v>3</v>
      </c>
      <c r="B15" s="16">
        <f>ROUND(1799926,0)</f>
        <v>1799926</v>
      </c>
      <c r="C15" s="21">
        <f>ROUND(7.7,1)</f>
        <v>7.7</v>
      </c>
    </row>
    <row r="16" spans="1:3">
      <c r="A16" s="15">
        <v>4</v>
      </c>
      <c r="B16" s="16">
        <f>ROUND(2404934,0)</f>
        <v>2404934</v>
      </c>
      <c r="C16" s="21">
        <f>ROUND(8.1,1)</f>
        <v>8.1</v>
      </c>
    </row>
    <row r="17" spans="1:3">
      <c r="A17" s="15">
        <v>5</v>
      </c>
      <c r="B17" s="16">
        <f>ROUND(3144236,0)</f>
        <v>3144236</v>
      </c>
      <c r="C17" s="21">
        <f>ROUND(7.5,1)</f>
        <v>7.5</v>
      </c>
    </row>
    <row r="18" spans="1:3">
      <c r="A18" s="15">
        <v>6</v>
      </c>
      <c r="B18" s="16">
        <f>ROUND(4030867,0)</f>
        <v>4030867</v>
      </c>
      <c r="C18" s="21">
        <f>ROUND(8.5,)</f>
        <v>9</v>
      </c>
    </row>
    <row r="19" spans="1:3">
      <c r="A19" s="15">
        <v>7</v>
      </c>
      <c r="B19" s="92">
        <f>ROUND(4819573,0)</f>
        <v>4819573</v>
      </c>
      <c r="C19" s="94">
        <f>ROUND(8.8,1)</f>
        <v>8.8</v>
      </c>
    </row>
    <row r="20" spans="1:3">
      <c r="A20" s="98">
        <v>8</v>
      </c>
      <c r="B20" s="41">
        <f>ROUND(5627416,0)</f>
        <v>5627416</v>
      </c>
      <c r="C20" s="21">
        <f>ROUND(9.1,1)</f>
        <v>9.1</v>
      </c>
    </row>
    <row r="21" spans="1:3">
      <c r="A21" s="98">
        <v>9</v>
      </c>
      <c r="B21" s="41">
        <f>ROUND(6503597,0)</f>
        <v>6503597</v>
      </c>
      <c r="C21" s="94">
        <f>ROUND(9.6,1)</f>
        <v>9.6</v>
      </c>
    </row>
    <row r="22" spans="1:3">
      <c r="A22" s="98">
        <v>10</v>
      </c>
      <c r="B22" s="41">
        <f>ROUND(7316245,0)</f>
        <v>7316245</v>
      </c>
      <c r="C22" s="21">
        <f>ROUND(9.3,1)</f>
        <v>9.3</v>
      </c>
    </row>
    <row r="23" spans="1:3">
      <c r="A23" s="99">
        <v>11</v>
      </c>
      <c r="B23" s="16">
        <f>ROUND(8208997,0)</f>
        <v>8208997</v>
      </c>
      <c r="C23" s="21">
        <f>ROUND(9.1,1)</f>
        <v>9.1</v>
      </c>
    </row>
    <row r="24" spans="1:3">
      <c r="A24" s="99">
        <v>12</v>
      </c>
      <c r="B24" s="16">
        <f>ROUND(8357945,0)</f>
        <v>8357945</v>
      </c>
      <c r="C24" s="21">
        <f>ROUND(8.5,1)</f>
        <v>8.5</v>
      </c>
    </row>
    <row r="25" spans="1:3">
      <c r="A25" s="15">
        <v>2018</v>
      </c>
      <c r="B25" s="16"/>
      <c r="C25" s="21"/>
    </row>
    <row r="26" spans="1:3">
      <c r="A26" s="15">
        <v>2</v>
      </c>
      <c r="B26" s="16">
        <f>ROUND(1129112,0)</f>
        <v>1129112</v>
      </c>
      <c r="C26" s="21">
        <f>ROUND(0.2,1)</f>
        <v>0.2</v>
      </c>
    </row>
    <row r="27" spans="1:3">
      <c r="A27" s="15">
        <v>3</v>
      </c>
      <c r="B27" s="16">
        <f>ROUND(1788963,0)</f>
        <v>1788963</v>
      </c>
      <c r="C27" s="21">
        <f>ROUND(2.9,1)</f>
        <v>2.9</v>
      </c>
    </row>
    <row r="28" spans="1:3">
      <c r="A28" s="15">
        <v>4</v>
      </c>
      <c r="B28" s="41">
        <f>ROUND(2439875,0)</f>
        <v>2439875</v>
      </c>
      <c r="C28" s="21">
        <f>ROUND(3.8,1)</f>
        <v>3.8</v>
      </c>
    </row>
    <row r="29" spans="1:3">
      <c r="A29" s="15">
        <v>5</v>
      </c>
      <c r="B29" s="41">
        <v>3086749</v>
      </c>
      <c r="C29" s="21">
        <v>4.1</v>
      </c>
    </row>
    <row r="30" spans="1:3">
      <c r="A30" s="22">
        <v>6</v>
      </c>
      <c r="B30" s="42">
        <v>3845140</v>
      </c>
      <c r="C30" s="24">
        <v>4.7</v>
      </c>
    </row>
    <row r="31" spans="4:256"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8"/>
      <c r="DX31" s="98"/>
      <c r="DY31" s="98"/>
      <c r="DZ31" s="98"/>
      <c r="EA31" s="98"/>
      <c r="EB31" s="98"/>
      <c r="EC31" s="98"/>
      <c r="ED31" s="98"/>
      <c r="EE31" s="98"/>
      <c r="EF31" s="98"/>
      <c r="EG31" s="98"/>
      <c r="EH31" s="98"/>
      <c r="EI31" s="98"/>
      <c r="EJ31" s="98"/>
      <c r="EK31" s="98"/>
      <c r="EL31" s="98"/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/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/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/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/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98"/>
      <c r="ID31" s="98"/>
      <c r="IE31" s="98"/>
      <c r="IF31" s="98"/>
      <c r="IG31" s="98"/>
      <c r="IH31" s="98"/>
      <c r="II31" s="98"/>
      <c r="IJ31" s="98"/>
      <c r="IK31" s="98"/>
      <c r="IL31" s="98"/>
      <c r="IM31" s="98"/>
      <c r="IN31" s="98"/>
      <c r="IO31" s="98"/>
      <c r="IP31" s="98"/>
      <c r="IQ31" s="98"/>
      <c r="IR31" s="98"/>
      <c r="IS31" s="98"/>
      <c r="IT31" s="98"/>
      <c r="IU31" s="98"/>
      <c r="IV31" s="98"/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L30"/>
  <sheetViews>
    <sheetView zoomScale="85" zoomScaleNormal="85" workbookViewId="0">
      <pane xSplit="2" ySplit="3" topLeftCell="C4" activePane="bottomRight" state="frozen"/>
      <selection/>
      <selection pane="topRight"/>
      <selection pane="bottomLeft"/>
      <selection pane="bottomRight" activeCell="H14" sqref="H14"/>
    </sheetView>
  </sheetViews>
  <sheetFormatPr defaultColWidth="9" defaultRowHeight="14.25"/>
  <cols>
    <col min="1" max="1" width="33.125" style="268" customWidth="1"/>
    <col min="2" max="2" width="9.625" style="268" customWidth="1"/>
    <col min="3" max="3" width="10.375" style="268"/>
    <col min="4" max="4" width="9.375" style="268"/>
    <col min="5" max="5" width="10.375" style="268" customWidth="1"/>
    <col min="6" max="6" width="9.375" style="268" customWidth="1"/>
    <col min="7" max="7" width="10.375" style="268" customWidth="1"/>
    <col min="8" max="8" width="9.375" style="268" customWidth="1"/>
    <col min="9" max="9" width="10.375" style="268"/>
    <col min="10" max="10" width="9.375" style="268"/>
    <col min="11" max="11" width="10.375" style="268"/>
    <col min="12" max="12" width="9.375" style="268"/>
    <col min="13" max="16384" width="9" style="268"/>
  </cols>
  <sheetData>
    <row r="1" ht="24.95" customHeight="1" spans="1:12">
      <c r="A1" s="135" t="s">
        <v>41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="299" customFormat="1" ht="21" customHeight="1" spans="1:12">
      <c r="A2" s="136" t="s">
        <v>1</v>
      </c>
      <c r="B2" s="245" t="s">
        <v>2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  <c r="K2" s="137" t="s">
        <v>7</v>
      </c>
      <c r="L2" s="138"/>
    </row>
    <row r="3" s="299" customFormat="1" ht="21" customHeight="1" spans="1:12">
      <c r="A3" s="139"/>
      <c r="B3" s="246"/>
      <c r="C3" s="140" t="s">
        <v>8</v>
      </c>
      <c r="D3" s="141" t="s">
        <v>9</v>
      </c>
      <c r="E3" s="140" t="s">
        <v>8</v>
      </c>
      <c r="F3" s="141" t="s">
        <v>9</v>
      </c>
      <c r="G3" s="140" t="s">
        <v>8</v>
      </c>
      <c r="H3" s="141" t="s">
        <v>9</v>
      </c>
      <c r="I3" s="140" t="s">
        <v>8</v>
      </c>
      <c r="J3" s="141" t="s">
        <v>9</v>
      </c>
      <c r="K3" s="140" t="s">
        <v>8</v>
      </c>
      <c r="L3" s="141" t="s">
        <v>9</v>
      </c>
    </row>
    <row r="4" ht="18" customHeight="1" spans="1:12">
      <c r="A4" s="271" t="s">
        <v>42</v>
      </c>
      <c r="B4" s="339" t="s">
        <v>43</v>
      </c>
      <c r="C4" s="146">
        <v>364.9</v>
      </c>
      <c r="D4" s="340">
        <v>-30.8</v>
      </c>
      <c r="E4" s="146">
        <v>68.73</v>
      </c>
      <c r="F4" s="340">
        <v>50</v>
      </c>
      <c r="G4" s="146">
        <v>119.48</v>
      </c>
      <c r="H4" s="340">
        <v>63.1</v>
      </c>
      <c r="I4" s="146">
        <v>164.26</v>
      </c>
      <c r="J4" s="340">
        <v>54.8</v>
      </c>
      <c r="K4" s="146">
        <v>196.21</v>
      </c>
      <c r="L4" s="340">
        <v>48.8</v>
      </c>
    </row>
    <row r="5" ht="18" customHeight="1" spans="1:12">
      <c r="A5" s="341" t="s">
        <v>44</v>
      </c>
      <c r="B5" s="342" t="s">
        <v>11</v>
      </c>
      <c r="C5" s="146">
        <v>324.24</v>
      </c>
      <c r="D5" s="343">
        <v>-29.3</v>
      </c>
      <c r="E5" s="146">
        <v>60</v>
      </c>
      <c r="F5" s="343">
        <v>59.2</v>
      </c>
      <c r="G5" s="146">
        <v>110.18</v>
      </c>
      <c r="H5" s="343">
        <v>69.4</v>
      </c>
      <c r="I5" s="146">
        <v>143.97</v>
      </c>
      <c r="J5" s="343">
        <v>56.1</v>
      </c>
      <c r="K5" s="146">
        <v>174.86</v>
      </c>
      <c r="L5" s="343">
        <v>51.6</v>
      </c>
    </row>
    <row r="6" ht="18" customHeight="1" spans="1:12">
      <c r="A6" s="249" t="s">
        <v>45</v>
      </c>
      <c r="B6" s="250" t="s">
        <v>11</v>
      </c>
      <c r="C6" s="146">
        <v>1826.6312</v>
      </c>
      <c r="D6" s="147">
        <v>2.36345480184839</v>
      </c>
      <c r="E6" s="146">
        <v>310.1395</v>
      </c>
      <c r="F6" s="147">
        <v>1.19513163643434</v>
      </c>
      <c r="G6" s="146">
        <v>461.7344</v>
      </c>
      <c r="H6" s="147">
        <v>3.4181902560311</v>
      </c>
      <c r="I6" s="146">
        <v>612.8219</v>
      </c>
      <c r="J6" s="147">
        <v>5.52960173470139</v>
      </c>
      <c r="K6" s="146">
        <v>759.97</v>
      </c>
      <c r="L6" s="147">
        <v>6.6</v>
      </c>
    </row>
    <row r="7" ht="18" customHeight="1" spans="1:12">
      <c r="A7" s="249" t="s">
        <v>46</v>
      </c>
      <c r="B7" s="250" t="s">
        <v>11</v>
      </c>
      <c r="C7" s="146">
        <v>1477.27833</v>
      </c>
      <c r="D7" s="147">
        <v>2.48</v>
      </c>
      <c r="E7" s="146">
        <v>250.11883</v>
      </c>
      <c r="F7" s="147">
        <v>0.85</v>
      </c>
      <c r="G7" s="146">
        <v>372.50217</v>
      </c>
      <c r="H7" s="147">
        <v>3.06</v>
      </c>
      <c r="I7" s="146">
        <v>494.56651</v>
      </c>
      <c r="J7" s="147">
        <v>5.16</v>
      </c>
      <c r="K7" s="146">
        <v>613.43</v>
      </c>
      <c r="L7" s="147">
        <v>6.3</v>
      </c>
    </row>
    <row r="8" ht="18" customHeight="1" spans="1:12">
      <c r="A8" s="249" t="s">
        <v>47</v>
      </c>
      <c r="B8" s="250" t="s">
        <v>11</v>
      </c>
      <c r="C8" s="146">
        <v>349.35287</v>
      </c>
      <c r="D8" s="147">
        <v>1.86</v>
      </c>
      <c r="E8" s="146">
        <v>60.02067</v>
      </c>
      <c r="F8" s="147">
        <v>2.66</v>
      </c>
      <c r="G8" s="146">
        <v>89.23223</v>
      </c>
      <c r="H8" s="147">
        <v>4.95</v>
      </c>
      <c r="I8" s="146">
        <v>118.25539</v>
      </c>
      <c r="J8" s="147">
        <v>7.09</v>
      </c>
      <c r="K8" s="146">
        <v>146.54</v>
      </c>
      <c r="L8" s="147">
        <v>8</v>
      </c>
    </row>
    <row r="9" ht="18" customHeight="1" spans="1:12">
      <c r="A9" s="273" t="s">
        <v>48</v>
      </c>
      <c r="B9" s="274" t="s">
        <v>11</v>
      </c>
      <c r="C9" s="146">
        <v>1611.38331</v>
      </c>
      <c r="D9" s="147">
        <v>2.66</v>
      </c>
      <c r="E9" s="146">
        <v>273.04973</v>
      </c>
      <c r="F9" s="147">
        <v>1.2</v>
      </c>
      <c r="G9" s="146">
        <v>406.55565</v>
      </c>
      <c r="H9" s="147">
        <v>3.34</v>
      </c>
      <c r="I9" s="146">
        <v>539.59963</v>
      </c>
      <c r="J9" s="147">
        <v>5.4</v>
      </c>
      <c r="K9" s="146">
        <v>669.07</v>
      </c>
      <c r="L9" s="147">
        <v>6.4</v>
      </c>
    </row>
    <row r="10" ht="18" customHeight="1" spans="1:12">
      <c r="A10" s="273" t="s">
        <v>49</v>
      </c>
      <c r="B10" s="274" t="s">
        <v>11</v>
      </c>
      <c r="C10" s="146">
        <v>215.24789</v>
      </c>
      <c r="D10" s="147">
        <v>0.22</v>
      </c>
      <c r="E10" s="146">
        <v>37.08977</v>
      </c>
      <c r="F10" s="147">
        <v>1.19</v>
      </c>
      <c r="G10" s="146">
        <v>55.17875</v>
      </c>
      <c r="H10" s="147">
        <v>3.97</v>
      </c>
      <c r="I10" s="146">
        <v>73.22227</v>
      </c>
      <c r="J10" s="147">
        <v>6.51</v>
      </c>
      <c r="K10" s="146">
        <v>90.9</v>
      </c>
      <c r="L10" s="147">
        <v>8</v>
      </c>
    </row>
    <row r="11" ht="18" customHeight="1" spans="1:12">
      <c r="A11" s="271" t="s">
        <v>50</v>
      </c>
      <c r="B11" s="339" t="s">
        <v>11</v>
      </c>
      <c r="C11" s="146">
        <v>624.8</v>
      </c>
      <c r="D11" s="147">
        <v>14.7</v>
      </c>
      <c r="E11" s="146">
        <v>83.391775</v>
      </c>
      <c r="F11" s="147">
        <v>-16.9</v>
      </c>
      <c r="G11" s="146">
        <v>151.1136</v>
      </c>
      <c r="H11" s="147">
        <v>5.8</v>
      </c>
      <c r="I11" s="146">
        <v>202.567222</v>
      </c>
      <c r="J11" s="147">
        <v>0.3</v>
      </c>
      <c r="K11" s="146">
        <v>266.65324854</v>
      </c>
      <c r="L11" s="147">
        <v>0.8867</v>
      </c>
    </row>
    <row r="12" ht="18" customHeight="1" spans="1:12">
      <c r="A12" s="271" t="s">
        <v>51</v>
      </c>
      <c r="B12" s="339" t="s">
        <v>11</v>
      </c>
      <c r="C12" s="146">
        <v>212.22</v>
      </c>
      <c r="D12" s="147">
        <v>-0.2</v>
      </c>
      <c r="E12" s="146">
        <v>24.096903</v>
      </c>
      <c r="F12" s="147">
        <v>-16.5</v>
      </c>
      <c r="G12" s="146">
        <v>43.7747</v>
      </c>
      <c r="H12" s="147">
        <v>6.5</v>
      </c>
      <c r="I12" s="146">
        <v>61.983785</v>
      </c>
      <c r="J12" s="147">
        <v>1</v>
      </c>
      <c r="K12" s="146">
        <v>85.46445918</v>
      </c>
      <c r="L12" s="147">
        <v>6.2703</v>
      </c>
    </row>
    <row r="13" ht="18" customHeight="1" spans="1:12">
      <c r="A13" s="271" t="s">
        <v>52</v>
      </c>
      <c r="B13" s="339" t="s">
        <v>11</v>
      </c>
      <c r="C13" s="146">
        <v>412.58</v>
      </c>
      <c r="D13" s="147">
        <v>24.3</v>
      </c>
      <c r="E13" s="146">
        <v>59.294872</v>
      </c>
      <c r="F13" s="147">
        <v>-17.1</v>
      </c>
      <c r="G13" s="146">
        <v>107.338879</v>
      </c>
      <c r="H13" s="147">
        <v>5.5</v>
      </c>
      <c r="I13" s="146">
        <v>140.583437</v>
      </c>
      <c r="J13" s="147">
        <v>0</v>
      </c>
      <c r="K13" s="146">
        <v>181.18878936</v>
      </c>
      <c r="L13" s="147">
        <v>-1.4678</v>
      </c>
    </row>
    <row r="14" ht="18" customHeight="1" spans="1:12">
      <c r="A14" s="271" t="s">
        <v>53</v>
      </c>
      <c r="B14" s="339" t="s">
        <v>11</v>
      </c>
      <c r="C14" s="146">
        <v>40.82</v>
      </c>
      <c r="D14" s="147">
        <v>37.53</v>
      </c>
      <c r="E14" s="146">
        <v>7.98</v>
      </c>
      <c r="F14" s="147">
        <v>130</v>
      </c>
      <c r="G14" s="146">
        <v>8</v>
      </c>
      <c r="H14" s="147">
        <v>118.6</v>
      </c>
      <c r="I14" s="146">
        <v>8.2876</v>
      </c>
      <c r="J14" s="147">
        <v>122.7</v>
      </c>
      <c r="K14" s="146">
        <v>15.85</v>
      </c>
      <c r="L14" s="147">
        <v>317.98</v>
      </c>
    </row>
    <row r="15" ht="18" customHeight="1" spans="1:12">
      <c r="A15" s="271" t="s">
        <v>54</v>
      </c>
      <c r="B15" s="339" t="s">
        <v>11</v>
      </c>
      <c r="C15" s="146">
        <v>146.8904</v>
      </c>
      <c r="D15" s="147">
        <v>-8.39554507589199</v>
      </c>
      <c r="E15" s="146">
        <v>24.3111</v>
      </c>
      <c r="F15" s="147">
        <v>-22.9559369731388</v>
      </c>
      <c r="G15" s="146">
        <v>44.2832</v>
      </c>
      <c r="H15" s="147">
        <v>5.51859547456108</v>
      </c>
      <c r="I15" s="146">
        <v>54.9303</v>
      </c>
      <c r="J15" s="147">
        <v>4.36157964532835</v>
      </c>
      <c r="K15" s="146">
        <v>65.3357</v>
      </c>
      <c r="L15" s="147">
        <v>6.62805347747184</v>
      </c>
    </row>
    <row r="16" ht="18" customHeight="1" spans="1:12">
      <c r="A16" s="271" t="s">
        <v>55</v>
      </c>
      <c r="B16" s="339" t="s">
        <v>11</v>
      </c>
      <c r="C16" s="146">
        <v>83.2402</v>
      </c>
      <c r="D16" s="147">
        <v>-14.9550613570581</v>
      </c>
      <c r="E16" s="146">
        <v>17.4445</v>
      </c>
      <c r="F16" s="147">
        <v>-11.0296780247971</v>
      </c>
      <c r="G16" s="146">
        <v>25.0074</v>
      </c>
      <c r="H16" s="147">
        <v>-4.32477102127953</v>
      </c>
      <c r="I16" s="146">
        <v>32.703</v>
      </c>
      <c r="J16" s="147">
        <v>3.53080471196068</v>
      </c>
      <c r="K16" s="146">
        <v>39.4392</v>
      </c>
      <c r="L16" s="147">
        <v>13.78191165567</v>
      </c>
    </row>
    <row r="17" ht="18" customHeight="1" spans="1:12">
      <c r="A17" s="271" t="s">
        <v>56</v>
      </c>
      <c r="B17" s="339" t="s">
        <v>11</v>
      </c>
      <c r="C17" s="146">
        <v>521.8354</v>
      </c>
      <c r="D17" s="147">
        <v>-3.40374126842387</v>
      </c>
      <c r="E17" s="146">
        <v>99.6646</v>
      </c>
      <c r="F17" s="147">
        <v>1.65521236860195</v>
      </c>
      <c r="G17" s="146">
        <v>154.6997</v>
      </c>
      <c r="H17" s="147">
        <v>10.5193634300933</v>
      </c>
      <c r="I17" s="146">
        <v>188.8232</v>
      </c>
      <c r="J17" s="147">
        <v>9.85239815903487</v>
      </c>
      <c r="K17" s="146">
        <v>221.5207</v>
      </c>
      <c r="L17" s="147">
        <v>6.40554352300571</v>
      </c>
    </row>
    <row r="18" ht="18" customHeight="1" spans="1:12">
      <c r="A18" s="271" t="s">
        <v>57</v>
      </c>
      <c r="B18" s="339" t="s">
        <v>11</v>
      </c>
      <c r="C18" s="146">
        <v>4377.7598285242</v>
      </c>
      <c r="D18" s="147">
        <v>4.45508298208928</v>
      </c>
      <c r="E18" s="146">
        <v>4497.74</v>
      </c>
      <c r="F18" s="147">
        <v>3.29</v>
      </c>
      <c r="G18" s="146">
        <v>4619.5549275966</v>
      </c>
      <c r="H18" s="147">
        <v>4.35443789939082</v>
      </c>
      <c r="I18" s="146">
        <v>4633.0966854403</v>
      </c>
      <c r="J18" s="147">
        <v>6.63644514693559</v>
      </c>
      <c r="K18" s="146">
        <v>4665.0114324267</v>
      </c>
      <c r="L18" s="147">
        <v>6.45292595218172</v>
      </c>
    </row>
    <row r="19" ht="18" customHeight="1" spans="1:12">
      <c r="A19" s="271" t="s">
        <v>58</v>
      </c>
      <c r="B19" s="339" t="s">
        <v>11</v>
      </c>
      <c r="C19" s="146">
        <v>3104.9674280619</v>
      </c>
      <c r="D19" s="147">
        <v>12.014411694269</v>
      </c>
      <c r="E19" s="146">
        <v>3223.1956389002</v>
      </c>
      <c r="F19" s="147">
        <v>11.9773308821364</v>
      </c>
      <c r="G19" s="146">
        <v>3302.2944031856</v>
      </c>
      <c r="H19" s="147">
        <v>11.1313125143896</v>
      </c>
      <c r="I19" s="146">
        <v>3277.9137742145</v>
      </c>
      <c r="J19" s="147">
        <v>11.2057226432244</v>
      </c>
      <c r="K19" s="146">
        <v>3290.7849812528</v>
      </c>
      <c r="L19" s="147">
        <v>10.5404802196956</v>
      </c>
    </row>
    <row r="20" ht="18" customHeight="1" spans="1:12">
      <c r="A20" s="271" t="s">
        <v>59</v>
      </c>
      <c r="B20" s="339" t="s">
        <v>11</v>
      </c>
      <c r="C20" s="146">
        <v>3660.825006698</v>
      </c>
      <c r="D20" s="147">
        <v>16.0780297675992</v>
      </c>
      <c r="E20" s="146">
        <v>3761.49</v>
      </c>
      <c r="F20" s="147">
        <v>16.39</v>
      </c>
      <c r="G20" s="146">
        <v>3838.3270132979</v>
      </c>
      <c r="H20" s="147">
        <v>16.1319459522067</v>
      </c>
      <c r="I20" s="146">
        <v>3843.4245584217</v>
      </c>
      <c r="J20" s="147">
        <v>15.3615119228305</v>
      </c>
      <c r="K20" s="146">
        <v>3867.9176229599</v>
      </c>
      <c r="L20" s="147">
        <v>16.1406928396616</v>
      </c>
    </row>
    <row r="21" ht="18" customHeight="1" spans="1:12">
      <c r="A21" s="271" t="s">
        <v>60</v>
      </c>
      <c r="B21" s="339" t="s">
        <v>24</v>
      </c>
      <c r="C21" s="344">
        <v>101.8</v>
      </c>
      <c r="D21" s="147">
        <v>1.8</v>
      </c>
      <c r="E21" s="344">
        <v>101.2</v>
      </c>
      <c r="F21" s="147">
        <v>1.2</v>
      </c>
      <c r="G21" s="344">
        <v>101.00877762</v>
      </c>
      <c r="H21" s="147">
        <v>1</v>
      </c>
      <c r="I21" s="344">
        <v>100.8</v>
      </c>
      <c r="J21" s="147">
        <v>0.8</v>
      </c>
      <c r="K21" s="344">
        <v>100.4781359</v>
      </c>
      <c r="L21" s="147">
        <v>0.5</v>
      </c>
    </row>
    <row r="22" ht="18" customHeight="1" spans="1:12">
      <c r="A22" s="249" t="s">
        <v>61</v>
      </c>
      <c r="B22" s="250" t="s">
        <v>24</v>
      </c>
      <c r="C22" s="201">
        <v>109.88</v>
      </c>
      <c r="D22" s="163">
        <v>9.9</v>
      </c>
      <c r="E22" s="201">
        <v>102.97</v>
      </c>
      <c r="F22" s="163">
        <v>3</v>
      </c>
      <c r="G22" s="201">
        <v>101.64</v>
      </c>
      <c r="H22" s="163">
        <v>1.6</v>
      </c>
      <c r="I22" s="201">
        <v>100.4</v>
      </c>
      <c r="J22" s="163">
        <v>0.4</v>
      </c>
      <c r="K22" s="201">
        <v>99.53</v>
      </c>
      <c r="L22" s="163">
        <v>-0.5</v>
      </c>
    </row>
    <row r="23" ht="18" customHeight="1" spans="1:12">
      <c r="A23" s="249" t="s">
        <v>62</v>
      </c>
      <c r="B23" s="250" t="s">
        <v>63</v>
      </c>
      <c r="C23" s="146">
        <v>294.77</v>
      </c>
      <c r="D23" s="147">
        <v>5</v>
      </c>
      <c r="E23" s="146">
        <v>43.33</v>
      </c>
      <c r="F23" s="147">
        <v>0.2</v>
      </c>
      <c r="G23" s="146">
        <v>67.12</v>
      </c>
      <c r="H23" s="147">
        <v>0.6</v>
      </c>
      <c r="I23" s="146">
        <v>91.51</v>
      </c>
      <c r="J23" s="147">
        <v>2.4</v>
      </c>
      <c r="K23" s="146">
        <v>117.9061319</v>
      </c>
      <c r="L23" s="147">
        <v>4.48382648301316</v>
      </c>
    </row>
    <row r="24" ht="18" customHeight="1" spans="1:12">
      <c r="A24" s="249" t="s">
        <v>64</v>
      </c>
      <c r="B24" s="250" t="s">
        <v>63</v>
      </c>
      <c r="C24" s="146">
        <v>178.8</v>
      </c>
      <c r="D24" s="147">
        <v>5.2</v>
      </c>
      <c r="E24" s="146">
        <v>26.33</v>
      </c>
      <c r="F24" s="147">
        <v>-3.7</v>
      </c>
      <c r="G24" s="146">
        <v>41.12</v>
      </c>
      <c r="H24" s="147">
        <v>-3.4</v>
      </c>
      <c r="I24" s="146">
        <v>56.43</v>
      </c>
      <c r="J24" s="147">
        <v>-0.8</v>
      </c>
      <c r="K24" s="146">
        <v>71.02358463</v>
      </c>
      <c r="L24" s="147">
        <v>-0.683291403630457</v>
      </c>
    </row>
    <row r="25" ht="18" customHeight="1" spans="1:12">
      <c r="A25" s="249" t="s">
        <v>65</v>
      </c>
      <c r="B25" s="250" t="s">
        <v>63</v>
      </c>
      <c r="C25" s="146">
        <v>153.99</v>
      </c>
      <c r="D25" s="147">
        <v>6.2</v>
      </c>
      <c r="E25" s="146">
        <v>22.94</v>
      </c>
      <c r="F25" s="147">
        <v>-3.8</v>
      </c>
      <c r="G25" s="146">
        <v>35.54</v>
      </c>
      <c r="H25" s="147">
        <v>-4.3</v>
      </c>
      <c r="I25" s="146">
        <v>48.86</v>
      </c>
      <c r="J25" s="147">
        <v>-1.35</v>
      </c>
      <c r="K25" s="146">
        <v>61.3056019</v>
      </c>
      <c r="L25" s="147">
        <v>-1.88885002605598</v>
      </c>
    </row>
    <row r="26" ht="18" customHeight="1" spans="1:12">
      <c r="A26" s="273" t="s">
        <v>66</v>
      </c>
      <c r="B26" s="274" t="s">
        <v>67</v>
      </c>
      <c r="C26" s="146">
        <v>273.519692824</v>
      </c>
      <c r="D26" s="147">
        <v>-8.68555217947421</v>
      </c>
      <c r="E26" s="146">
        <v>32.85</v>
      </c>
      <c r="F26" s="147">
        <v>-16.6599520509479</v>
      </c>
      <c r="G26" s="146">
        <v>57.08</v>
      </c>
      <c r="H26" s="147">
        <v>-14.2</v>
      </c>
      <c r="I26" s="146">
        <v>79.687299578</v>
      </c>
      <c r="J26" s="147">
        <v>-13.4163591420989</v>
      </c>
      <c r="K26" s="146">
        <v>104.641055</v>
      </c>
      <c r="L26" s="147">
        <v>-10.81</v>
      </c>
    </row>
    <row r="27" ht="18" customHeight="1" spans="1:12">
      <c r="A27" s="273" t="s">
        <v>68</v>
      </c>
      <c r="B27" s="274" t="s">
        <v>67</v>
      </c>
      <c r="C27" s="146">
        <v>173.675536485</v>
      </c>
      <c r="D27" s="147">
        <v>5.3142628595435</v>
      </c>
      <c r="E27" s="146">
        <v>29.220107035</v>
      </c>
      <c r="F27" s="147">
        <v>32.9760757181351</v>
      </c>
      <c r="G27" s="146">
        <v>49.15</v>
      </c>
      <c r="H27" s="147">
        <v>25</v>
      </c>
      <c r="I27" s="146">
        <v>67.810020605</v>
      </c>
      <c r="J27" s="147">
        <v>17.2666307265968</v>
      </c>
      <c r="K27" s="146">
        <v>85.861141</v>
      </c>
      <c r="L27" s="147">
        <v>13.77</v>
      </c>
    </row>
    <row r="28" ht="18" customHeight="1" spans="1:12">
      <c r="A28" s="273" t="s">
        <v>69</v>
      </c>
      <c r="B28" s="274" t="s">
        <v>70</v>
      </c>
      <c r="C28" s="146">
        <v>2.53759891</v>
      </c>
      <c r="D28" s="147">
        <v>-0.699064641215252</v>
      </c>
      <c r="E28" s="146">
        <v>0.42524245</v>
      </c>
      <c r="F28" s="147">
        <v>2.56403051645819</v>
      </c>
      <c r="G28" s="146">
        <v>0.68</v>
      </c>
      <c r="H28" s="147">
        <v>5.8</v>
      </c>
      <c r="I28" s="146">
        <v>0.94611542</v>
      </c>
      <c r="J28" s="147">
        <v>8.41319179460385</v>
      </c>
      <c r="K28" s="146">
        <v>1.1987</v>
      </c>
      <c r="L28" s="147">
        <v>8</v>
      </c>
    </row>
    <row r="29" ht="18" customHeight="1" spans="1:12">
      <c r="A29" s="284" t="s">
        <v>71</v>
      </c>
      <c r="B29" s="345" t="s">
        <v>72</v>
      </c>
      <c r="C29" s="176">
        <v>153.5436</v>
      </c>
      <c r="D29" s="177">
        <v>9.30523147531017</v>
      </c>
      <c r="E29" s="176">
        <v>22.413125</v>
      </c>
      <c r="F29" s="177">
        <v>6.73361390057921</v>
      </c>
      <c r="G29" s="176">
        <v>36.04</v>
      </c>
      <c r="H29" s="177">
        <v>9.1</v>
      </c>
      <c r="I29" s="176">
        <v>48.542175</v>
      </c>
      <c r="J29" s="177">
        <v>5.32680440556164</v>
      </c>
      <c r="K29" s="176">
        <v>62.308775</v>
      </c>
      <c r="L29" s="177">
        <v>0.3</v>
      </c>
    </row>
    <row r="30" ht="82" customHeight="1" spans="1:8">
      <c r="A30" s="285" t="s">
        <v>73</v>
      </c>
      <c r="B30" s="285"/>
      <c r="C30" s="285"/>
      <c r="D30" s="285"/>
      <c r="E30" s="285"/>
      <c r="F30" s="285"/>
      <c r="G30" s="285"/>
      <c r="H30" s="285"/>
    </row>
  </sheetData>
  <mergeCells count="9">
    <mergeCell ref="A1:L1"/>
    <mergeCell ref="C2:D2"/>
    <mergeCell ref="E2:F2"/>
    <mergeCell ref="G2:H2"/>
    <mergeCell ref="I2:J2"/>
    <mergeCell ref="K2:L2"/>
    <mergeCell ref="A30:H30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1"/>
  <sheetViews>
    <sheetView topLeftCell="A7" workbookViewId="0">
      <selection activeCell="B27" sqref="B27:C31"/>
    </sheetView>
  </sheetViews>
  <sheetFormatPr defaultColWidth="9" defaultRowHeight="14.25" outlineLevelCol="6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488</v>
      </c>
      <c r="B1" s="3"/>
      <c r="C1" s="3"/>
      <c r="D1" s="3"/>
      <c r="E1" s="3"/>
      <c r="F1" s="3"/>
      <c r="G1" s="45"/>
    </row>
    <row r="2" ht="20.25" customHeight="1" spans="1:7">
      <c r="A2" s="46"/>
      <c r="B2" s="46"/>
      <c r="C2" t="s">
        <v>489</v>
      </c>
      <c r="G2" s="45"/>
    </row>
    <row r="3" s="43" customFormat="1" ht="31.5" customHeight="1" spans="1:7">
      <c r="A3" t="s">
        <v>485</v>
      </c>
      <c r="B3" t="s">
        <v>77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486</v>
      </c>
      <c r="C4" s="8" t="s">
        <v>487</v>
      </c>
      <c r="D4" s="52"/>
      <c r="E4" s="53"/>
      <c r="F4" s="54"/>
      <c r="G4" s="51"/>
    </row>
    <row r="5" ht="18" customHeight="1" spans="1:6">
      <c r="A5" s="9">
        <v>2016</v>
      </c>
      <c r="B5" s="77"/>
      <c r="C5" s="11"/>
      <c r="D5" s="55"/>
      <c r="E5" s="55"/>
      <c r="F5" s="55"/>
    </row>
    <row r="6" ht="18" customHeight="1" spans="1:6">
      <c r="A6" s="9">
        <v>5</v>
      </c>
      <c r="B6" s="77">
        <f>ROUND(3079283,0)</f>
        <v>3079283</v>
      </c>
      <c r="C6" s="11">
        <f>ROUND(7.2,1)</f>
        <v>7.2</v>
      </c>
      <c r="D6" s="55"/>
      <c r="E6" s="55"/>
      <c r="F6" s="55"/>
    </row>
    <row r="7" ht="18" customHeight="1" spans="1:6">
      <c r="A7" s="9">
        <v>6</v>
      </c>
      <c r="B7" s="77">
        <f>ROUND(5096563,0)</f>
        <v>5096563</v>
      </c>
      <c r="C7" s="11">
        <f>ROUND(15.1,1)</f>
        <v>15.1</v>
      </c>
      <c r="D7" s="55"/>
      <c r="E7" s="55"/>
      <c r="F7" s="55"/>
    </row>
    <row r="8" ht="18" customHeight="1" spans="1:6">
      <c r="A8" s="9">
        <v>7</v>
      </c>
      <c r="B8" s="77">
        <f>ROUND(6263505,0)</f>
        <v>6263505</v>
      </c>
      <c r="C8" s="78">
        <f>ROUND(16.3,1)</f>
        <v>16.3</v>
      </c>
      <c r="D8" s="55"/>
      <c r="E8" s="55"/>
      <c r="F8" s="55"/>
    </row>
    <row r="9" ht="18" customHeight="1" spans="1:6">
      <c r="A9" s="9">
        <v>8</v>
      </c>
      <c r="B9" s="77">
        <f>ROUND(7372203,0)</f>
        <v>7372203</v>
      </c>
      <c r="C9" s="11">
        <f>ROUND(24.8,1)</f>
        <v>24.8</v>
      </c>
      <c r="D9" s="55"/>
      <c r="E9" s="55"/>
      <c r="F9" s="55"/>
    </row>
    <row r="10" ht="18" customHeight="1" spans="1:6">
      <c r="A10" s="9">
        <v>9</v>
      </c>
      <c r="B10" s="77">
        <f>ROUND(8717492,0)</f>
        <v>8717492</v>
      </c>
      <c r="C10" s="11">
        <f>ROUND(23.5,1)</f>
        <v>23.5</v>
      </c>
      <c r="D10" s="55"/>
      <c r="E10" s="55"/>
      <c r="F10" s="55"/>
    </row>
    <row r="11" ht="18" customHeight="1" spans="1:6">
      <c r="A11" s="9">
        <v>10</v>
      </c>
      <c r="B11" s="77">
        <f>ROUND(10215452,0)</f>
        <v>10215452</v>
      </c>
      <c r="C11" s="11">
        <f>ROUND(22.6,1)</f>
        <v>22.6</v>
      </c>
      <c r="D11" s="55"/>
      <c r="E11" s="55"/>
      <c r="F11" s="55"/>
    </row>
    <row r="12" spans="1:3">
      <c r="A12" s="9">
        <v>11</v>
      </c>
      <c r="B12" s="77">
        <f>ROUND(12000485,0)</f>
        <v>12000485</v>
      </c>
      <c r="C12" s="11">
        <f>ROUND(23.9,1)</f>
        <v>23.9</v>
      </c>
    </row>
    <row r="13" spans="1:3">
      <c r="A13" s="9">
        <v>12</v>
      </c>
      <c r="B13" s="77">
        <f>ROUND(15315995,0)</f>
        <v>15315995</v>
      </c>
      <c r="C13" s="11">
        <f>ROUND(16.6,1)</f>
        <v>16.6</v>
      </c>
    </row>
    <row r="14" spans="1:3">
      <c r="A14" s="9">
        <v>2017</v>
      </c>
      <c r="B14" s="79"/>
      <c r="C14" s="80"/>
    </row>
    <row r="15" spans="1:3">
      <c r="A15" s="9">
        <v>2</v>
      </c>
      <c r="B15" s="77">
        <f>ROUND(796488,0)</f>
        <v>796488</v>
      </c>
      <c r="C15" s="11">
        <f>ROUND(5.3,1)</f>
        <v>5.3</v>
      </c>
    </row>
    <row r="16" spans="1:3">
      <c r="A16" s="9">
        <v>3</v>
      </c>
      <c r="B16" s="79">
        <f>ROUND(1575746,0)</f>
        <v>1575746</v>
      </c>
      <c r="C16" s="11">
        <f>ROUND(7.9,1)</f>
        <v>7.9</v>
      </c>
    </row>
    <row r="17" spans="1:3">
      <c r="A17" s="66">
        <v>4</v>
      </c>
      <c r="B17" s="41">
        <f>ROUND(2056743,0)</f>
        <v>2056743</v>
      </c>
      <c r="C17" s="11">
        <f>ROUND(-0.7,1)</f>
        <v>-0.7</v>
      </c>
    </row>
    <row r="18" spans="1:3">
      <c r="A18" s="66">
        <v>5</v>
      </c>
      <c r="B18" s="16">
        <f>ROUND(2889968,0)</f>
        <v>2889968</v>
      </c>
      <c r="C18" s="11">
        <f>ROUND(-6.1,1)</f>
        <v>-6.1</v>
      </c>
    </row>
    <row r="19" spans="1:3">
      <c r="A19" s="66">
        <v>6</v>
      </c>
      <c r="B19" s="16">
        <f>ROUND(5604382,0)</f>
        <v>5604382</v>
      </c>
      <c r="C19" s="11">
        <f>ROUND(10,1)</f>
        <v>10</v>
      </c>
    </row>
    <row r="20" spans="1:3">
      <c r="A20" s="66">
        <v>7</v>
      </c>
      <c r="B20" s="79">
        <f>ROUND(6864511,0)</f>
        <v>6864511</v>
      </c>
      <c r="C20" s="11">
        <f>ROUND(9.6,1)</f>
        <v>9.6</v>
      </c>
    </row>
    <row r="21" spans="1:3">
      <c r="A21" s="81">
        <v>8</v>
      </c>
      <c r="B21" s="41">
        <f>ROUND(8096944,0)</f>
        <v>8096944</v>
      </c>
      <c r="C21" s="11">
        <f>ROUND(9.8,1)</f>
        <v>9.8</v>
      </c>
    </row>
    <row r="22" spans="1:3">
      <c r="A22" s="81">
        <v>9</v>
      </c>
      <c r="B22" s="41">
        <f>ROUND(9772404,0)</f>
        <v>9772404</v>
      </c>
      <c r="C22" s="11">
        <f>ROUND(12.1010951314896,1)</f>
        <v>12.1</v>
      </c>
    </row>
    <row r="23" spans="1:3">
      <c r="A23" s="81">
        <v>10</v>
      </c>
      <c r="B23" s="41">
        <f>ROUND(11367531,0)</f>
        <v>11367531</v>
      </c>
      <c r="C23" s="11">
        <f>ROUND(11.3,1)</f>
        <v>11.3</v>
      </c>
    </row>
    <row r="24" spans="1:3">
      <c r="A24" s="81">
        <v>11</v>
      </c>
      <c r="B24" s="41">
        <f>ROUND(13376063,0)</f>
        <v>13376063</v>
      </c>
      <c r="C24" s="11">
        <f>ROUND(11.5,1)</f>
        <v>11.5</v>
      </c>
    </row>
    <row r="25" spans="1:3">
      <c r="A25" s="81">
        <v>12</v>
      </c>
      <c r="B25" s="41">
        <f>ROUND(16415341,0)</f>
        <v>16415341</v>
      </c>
      <c r="C25" s="11">
        <f>ROUND(7.2,1)</f>
        <v>7.2</v>
      </c>
    </row>
    <row r="26" spans="1:3">
      <c r="A26" s="15">
        <v>2018</v>
      </c>
      <c r="B26" s="16"/>
      <c r="C26" s="17"/>
    </row>
    <row r="27" spans="1:3">
      <c r="A27" s="15">
        <v>2</v>
      </c>
      <c r="B27" s="16">
        <f>ROUND(844761,0)</f>
        <v>844761</v>
      </c>
      <c r="C27" s="21">
        <f>ROUND(8.8,1)</f>
        <v>8.8</v>
      </c>
    </row>
    <row r="28" spans="1:3">
      <c r="A28" s="15">
        <v>3</v>
      </c>
      <c r="B28" s="16">
        <f>ROUND(2020022,0)</f>
        <v>2020022</v>
      </c>
      <c r="C28" s="21">
        <f>ROUND(31.6,1)</f>
        <v>31.6</v>
      </c>
    </row>
    <row r="29" spans="1:3">
      <c r="A29" s="15">
        <v>4</v>
      </c>
      <c r="B29" s="41">
        <f>ROUND(2639275,0)</f>
        <v>2639275</v>
      </c>
      <c r="C29" s="21">
        <f>ROUND(31,1)</f>
        <v>31</v>
      </c>
    </row>
    <row r="30" spans="1:3">
      <c r="A30" s="15">
        <v>5</v>
      </c>
      <c r="B30" s="41">
        <v>3391968</v>
      </c>
      <c r="C30" s="21">
        <v>19.6</v>
      </c>
    </row>
    <row r="31" spans="1:3">
      <c r="A31" s="22">
        <v>6</v>
      </c>
      <c r="B31" s="82">
        <v>5515829</v>
      </c>
      <c r="C31" s="83">
        <v>13.6</v>
      </c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0"/>
  <sheetViews>
    <sheetView topLeftCell="A7" workbookViewId="0">
      <selection activeCell="B26" sqref="B26:C30"/>
    </sheetView>
  </sheetViews>
  <sheetFormatPr defaultColWidth="9" defaultRowHeight="14.25" outlineLevelCol="6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490</v>
      </c>
      <c r="B1" s="3"/>
      <c r="C1" s="3"/>
      <c r="D1" s="3"/>
      <c r="E1" s="3"/>
      <c r="F1" s="3"/>
      <c r="G1" s="45"/>
    </row>
    <row r="2" ht="20.25" customHeight="1" spans="1:7">
      <c r="A2" s="46"/>
      <c r="B2" s="46"/>
      <c r="C2" t="s">
        <v>489</v>
      </c>
      <c r="G2" s="45"/>
    </row>
    <row r="3" s="43" customFormat="1" ht="31.5" customHeight="1" spans="1:7">
      <c r="A3" t="s">
        <v>485</v>
      </c>
      <c r="B3" t="s">
        <v>78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486</v>
      </c>
      <c r="C4" s="8" t="s">
        <v>487</v>
      </c>
      <c r="D4" s="52"/>
      <c r="E4" s="53"/>
      <c r="F4" s="54"/>
      <c r="G4" s="51"/>
    </row>
    <row r="5" ht="18" customHeight="1" spans="1:6">
      <c r="A5" s="9">
        <v>2016</v>
      </c>
      <c r="B5" s="61"/>
      <c r="C5" s="11"/>
      <c r="D5" s="55"/>
      <c r="E5" s="55"/>
      <c r="F5" s="55"/>
    </row>
    <row r="6" ht="18" customHeight="1" spans="1:6">
      <c r="A6" s="9">
        <v>6</v>
      </c>
      <c r="B6" s="62">
        <f>ROUND(6760206,0)</f>
        <v>6760206</v>
      </c>
      <c r="C6" s="63">
        <f>ROUND(8.8,1)</f>
        <v>8.8</v>
      </c>
      <c r="D6" s="55"/>
      <c r="E6" s="55"/>
      <c r="F6" s="55"/>
    </row>
    <row r="7" ht="18" customHeight="1" spans="1:6">
      <c r="A7" s="9">
        <v>7</v>
      </c>
      <c r="B7" s="62">
        <f>ROUND(7975890,0)</f>
        <v>7975890</v>
      </c>
      <c r="C7" s="63">
        <f>ROUND(9,1)</f>
        <v>9</v>
      </c>
      <c r="D7" s="55"/>
      <c r="E7" s="55"/>
      <c r="F7" s="55"/>
    </row>
    <row r="8" ht="18" customHeight="1" spans="1:6">
      <c r="A8" s="9">
        <v>8</v>
      </c>
      <c r="B8" s="62">
        <f>ROUND(9193702.5,0)</f>
        <v>9193703</v>
      </c>
      <c r="C8" s="63">
        <f>ROUND(8.9,1)</f>
        <v>8.9</v>
      </c>
      <c r="D8" s="55"/>
      <c r="E8" s="55"/>
      <c r="F8" s="55"/>
    </row>
    <row r="9" spans="1:3">
      <c r="A9" s="9">
        <v>9</v>
      </c>
      <c r="B9" s="64">
        <f>ROUND(10457008.3,0)</f>
        <v>10457008</v>
      </c>
      <c r="C9" s="63">
        <f>ROUND(9.3,1)</f>
        <v>9.3</v>
      </c>
    </row>
    <row r="10" spans="1:3">
      <c r="A10" s="9">
        <v>10</v>
      </c>
      <c r="B10" s="64">
        <f>ROUND(11782159.5,0)</f>
        <v>11782160</v>
      </c>
      <c r="C10" s="63">
        <f>ROUND(9.5,1)</f>
        <v>9.5</v>
      </c>
    </row>
    <row r="11" spans="1:3">
      <c r="A11" s="9">
        <v>11</v>
      </c>
      <c r="B11" s="65">
        <f>ROUND(13025842,0)</f>
        <v>13025842</v>
      </c>
      <c r="C11" s="63">
        <f>ROUND(9.4,1)</f>
        <v>9.4</v>
      </c>
    </row>
    <row r="12" ht="15.95" customHeight="1" spans="1:3">
      <c r="A12" s="66">
        <v>12</v>
      </c>
      <c r="B12" s="67">
        <f>ROUND(14329570,0)</f>
        <v>14329570</v>
      </c>
      <c r="C12" s="68">
        <f>ROUND(9.5,1)</f>
        <v>9.5</v>
      </c>
    </row>
    <row r="13" ht="15.95" customHeight="1" spans="1:3">
      <c r="A13" s="66">
        <v>2017</v>
      </c>
      <c r="B13" s="67"/>
      <c r="C13" s="68"/>
    </row>
    <row r="14" ht="15.95" customHeight="1" spans="1:3">
      <c r="A14" s="66">
        <v>2</v>
      </c>
      <c r="B14" s="67">
        <f>ROUND(2520522,0)</f>
        <v>2520522</v>
      </c>
      <c r="C14" s="69">
        <f>ROUND(12,1)</f>
        <v>12</v>
      </c>
    </row>
    <row r="15" ht="15.95" customHeight="1" spans="1:3">
      <c r="A15" s="66">
        <v>3</v>
      </c>
      <c r="B15" s="67">
        <f>ROUND(3755066,0)</f>
        <v>3755066</v>
      </c>
      <c r="C15" s="68">
        <f>ROUND(12.1,1)</f>
        <v>12.1</v>
      </c>
    </row>
    <row r="16" ht="15.95" customHeight="1" spans="1:3">
      <c r="A16" s="66">
        <v>4</v>
      </c>
      <c r="B16" s="67">
        <f>ROUND(4968495,0)</f>
        <v>4968495</v>
      </c>
      <c r="C16" s="68">
        <f>ROUND(11.8,1)</f>
        <v>11.8</v>
      </c>
    </row>
    <row r="17" ht="15.95" customHeight="1" spans="1:3">
      <c r="A17" s="66">
        <v>5</v>
      </c>
      <c r="B17" s="67">
        <f>ROUND(6247711,0)</f>
        <v>6247711</v>
      </c>
      <c r="C17" s="68">
        <f>ROUND(11.5,1)</f>
        <v>11.5</v>
      </c>
    </row>
    <row r="18" ht="15.95" customHeight="1" spans="1:3">
      <c r="A18" s="66">
        <v>6</v>
      </c>
      <c r="B18" s="67">
        <f>ROUND(7543984,0)</f>
        <v>7543984</v>
      </c>
      <c r="C18" s="68">
        <f>ROUND(11.1,1)</f>
        <v>11.1</v>
      </c>
    </row>
    <row r="19" ht="15.95" customHeight="1" spans="1:3">
      <c r="A19" s="66">
        <v>7</v>
      </c>
      <c r="B19" s="67">
        <f>ROUND(8865132,0)</f>
        <v>8865132</v>
      </c>
      <c r="C19" s="68">
        <f>ROUND(10.8,1)</f>
        <v>10.8</v>
      </c>
    </row>
    <row r="20" ht="15.95" customHeight="1" spans="1:3">
      <c r="A20" s="70">
        <v>8</v>
      </c>
      <c r="B20" s="71">
        <f>ROUND(10165674.4,0)</f>
        <v>10165674</v>
      </c>
      <c r="C20" s="72">
        <f>ROUND(10.2,1)</f>
        <v>10.2</v>
      </c>
    </row>
    <row r="21" spans="1:3">
      <c r="A21" s="66">
        <v>9</v>
      </c>
      <c r="B21" s="71">
        <f>ROUND(11558876.6,0)</f>
        <v>11558877</v>
      </c>
      <c r="C21" s="72">
        <f>ROUND(10.2,1)</f>
        <v>10.2</v>
      </c>
    </row>
    <row r="22" spans="1:3">
      <c r="A22" s="66">
        <v>10</v>
      </c>
      <c r="B22" s="71">
        <f>ROUND(12962204,0)</f>
        <v>12962204</v>
      </c>
      <c r="C22" s="72">
        <f>ROUND(10.2,1)</f>
        <v>10.2</v>
      </c>
    </row>
    <row r="23" spans="1:3">
      <c r="A23" s="66">
        <v>11</v>
      </c>
      <c r="B23" s="71">
        <f>ROUND(14339244.7,0)</f>
        <v>14339245</v>
      </c>
      <c r="C23" s="73">
        <f>ROUND(10.1873510322444,1)</f>
        <v>10.2</v>
      </c>
    </row>
    <row r="24" spans="1:3">
      <c r="A24" s="66">
        <v>12</v>
      </c>
      <c r="B24" s="71">
        <f>ROUND(15780801.9,0)</f>
        <v>15780802</v>
      </c>
      <c r="C24" s="73">
        <f>ROUND(10.1275297129633,1)</f>
        <v>10.1</v>
      </c>
    </row>
    <row r="25" spans="1:3">
      <c r="A25" s="15">
        <v>2018</v>
      </c>
      <c r="B25" s="16"/>
      <c r="C25" s="17"/>
    </row>
    <row r="26" spans="1:3">
      <c r="A26" s="15">
        <v>2</v>
      </c>
      <c r="B26" s="74">
        <f>ROUND(2761961.2,0)</f>
        <v>2761961</v>
      </c>
      <c r="C26" s="17">
        <f>ROUND(10.1,1)</f>
        <v>10.1</v>
      </c>
    </row>
    <row r="27" spans="1:3">
      <c r="A27" s="15">
        <v>3</v>
      </c>
      <c r="B27" s="74">
        <f>ROUND(4120562.9,0)</f>
        <v>4120563</v>
      </c>
      <c r="C27" s="17">
        <f>ROUND(10.1,1)</f>
        <v>10.1</v>
      </c>
    </row>
    <row r="28" spans="1:3">
      <c r="A28" s="15">
        <v>4</v>
      </c>
      <c r="B28" s="74">
        <f>ROUND(5462840,0)</f>
        <v>5462840</v>
      </c>
      <c r="C28" s="17">
        <f>ROUND(10.1,1)</f>
        <v>10.1</v>
      </c>
    </row>
    <row r="29" spans="1:3">
      <c r="A29" s="15">
        <v>5</v>
      </c>
      <c r="B29" s="74">
        <v>6829174</v>
      </c>
      <c r="C29" s="21">
        <v>10</v>
      </c>
    </row>
    <row r="30" spans="1:3">
      <c r="A30" s="22">
        <v>6</v>
      </c>
      <c r="B30" s="75">
        <v>8214416</v>
      </c>
      <c r="C30" s="76">
        <v>10</v>
      </c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32"/>
  <sheetViews>
    <sheetView workbookViewId="0">
      <selection activeCell="J35" sqref="J35"/>
    </sheetView>
  </sheetViews>
  <sheetFormatPr defaultColWidth="9" defaultRowHeight="14.25" outlineLevelCol="7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491</v>
      </c>
      <c r="B1" s="3"/>
      <c r="C1" s="3"/>
      <c r="D1" s="3"/>
      <c r="E1" s="3"/>
      <c r="F1" s="3"/>
      <c r="G1" s="45"/>
    </row>
    <row r="2" ht="20.25" customHeight="1" spans="1:8">
      <c r="A2" s="46"/>
      <c r="C2" s="47" t="s">
        <v>492</v>
      </c>
      <c r="D2" s="47"/>
      <c r="E2" s="47"/>
      <c r="F2" s="47"/>
      <c r="G2" s="47"/>
      <c r="H2" s="47"/>
    </row>
    <row r="3" s="43" customFormat="1" ht="31.5" customHeight="1" spans="1:7">
      <c r="A3" t="s">
        <v>485</v>
      </c>
      <c r="B3" t="s">
        <v>493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486</v>
      </c>
      <c r="C4" s="8" t="s">
        <v>487</v>
      </c>
      <c r="D4" s="52"/>
      <c r="E4" s="53"/>
      <c r="F4" s="54"/>
      <c r="G4" s="51"/>
    </row>
    <row r="5" ht="18" customHeight="1" spans="1:8">
      <c r="A5" s="9">
        <v>2016</v>
      </c>
      <c r="B5" s="27"/>
      <c r="C5" s="11"/>
      <c r="D5" s="55"/>
      <c r="E5" s="55"/>
      <c r="F5" s="55"/>
      <c r="H5" t="s">
        <v>257</v>
      </c>
    </row>
    <row r="6" ht="18" customHeight="1" spans="1:6">
      <c r="A6" s="9">
        <v>5</v>
      </c>
      <c r="B6" s="27">
        <f>ROUND(651964,0)</f>
        <v>651964</v>
      </c>
      <c r="C6" s="56">
        <f>ROUND(4.3,1)</f>
        <v>4.3</v>
      </c>
      <c r="D6" s="55"/>
      <c r="E6" s="55"/>
      <c r="F6" s="55"/>
    </row>
    <row r="7" ht="18" customHeight="1" spans="1:6">
      <c r="A7" s="9">
        <v>6</v>
      </c>
      <c r="B7" s="27">
        <f>ROUND(780476,0)</f>
        <v>780476</v>
      </c>
      <c r="C7" s="11">
        <f>ROUND(-3.8,1)</f>
        <v>-3.8</v>
      </c>
      <c r="D7" s="55"/>
      <c r="E7" s="55"/>
      <c r="F7" s="55"/>
    </row>
    <row r="8" ht="18" customHeight="1" spans="1:6">
      <c r="A8" s="9">
        <v>7</v>
      </c>
      <c r="B8" s="27">
        <f>ROUND(922333.1019,0)</f>
        <v>922333</v>
      </c>
      <c r="C8" s="11">
        <f>ROUND(-3.98796758100968,1)</f>
        <v>-4</v>
      </c>
      <c r="D8" s="55"/>
      <c r="E8" s="55"/>
      <c r="F8" s="55"/>
    </row>
    <row r="9" spans="1:3">
      <c r="A9" s="9">
        <v>8</v>
      </c>
      <c r="B9" s="27">
        <f>ROUND(1118014,0)</f>
        <v>1118014</v>
      </c>
      <c r="C9" s="11">
        <f>ROUND(2.07,1)</f>
        <v>2.1</v>
      </c>
    </row>
    <row r="10" spans="1:3">
      <c r="A10" s="9">
        <v>9</v>
      </c>
      <c r="B10" s="27">
        <f>ROUND(1355582.6735,0)</f>
        <v>1355583</v>
      </c>
      <c r="C10" s="11">
        <f>ROUND(10.8909650955423,1)</f>
        <v>10.9</v>
      </c>
    </row>
    <row r="11" spans="1:3">
      <c r="A11" s="9">
        <v>10</v>
      </c>
      <c r="B11" s="27">
        <f>ROUND(1530438,0)</f>
        <v>1530438</v>
      </c>
      <c r="C11" s="11">
        <f>ROUND(12,1)</f>
        <v>12</v>
      </c>
    </row>
    <row r="12" spans="1:3">
      <c r="A12" s="57">
        <v>11</v>
      </c>
      <c r="B12" s="27">
        <f>ROUND(1711506,0)</f>
        <v>1711506</v>
      </c>
      <c r="C12" s="11">
        <f>ROUND(14,1)</f>
        <v>14</v>
      </c>
    </row>
    <row r="13" spans="1:3">
      <c r="A13" s="57">
        <v>12</v>
      </c>
      <c r="B13" s="27">
        <f>ROUND(1947922,0)</f>
        <v>1947922</v>
      </c>
      <c r="C13" s="11">
        <f>ROUND(11.8,1)</f>
        <v>11.8</v>
      </c>
    </row>
    <row r="14" spans="1:3">
      <c r="A14" s="57">
        <v>2017</v>
      </c>
      <c r="B14" s="27"/>
      <c r="C14" s="11"/>
    </row>
    <row r="15" spans="1:3">
      <c r="A15" s="57">
        <v>1</v>
      </c>
      <c r="B15" s="27">
        <f>ROUND(181359,0)</f>
        <v>181359</v>
      </c>
      <c r="C15" s="11">
        <f>ROUND(-7.6,1)</f>
        <v>-7.6</v>
      </c>
    </row>
    <row r="16" spans="1:3">
      <c r="A16" s="57">
        <v>2</v>
      </c>
      <c r="B16" s="27">
        <f>ROUND(241658,0)</f>
        <v>241658</v>
      </c>
      <c r="C16" s="11">
        <f>ROUND(-11.38,1)</f>
        <v>-11.4</v>
      </c>
    </row>
    <row r="17" spans="1:3">
      <c r="A17" s="57">
        <v>3</v>
      </c>
      <c r="B17" s="27">
        <f>ROUND(415528,0)</f>
        <v>415528</v>
      </c>
      <c r="C17" s="11">
        <f>ROUND(13.9,1)</f>
        <v>13.9</v>
      </c>
    </row>
    <row r="18" spans="1:3">
      <c r="A18" s="57">
        <v>4</v>
      </c>
      <c r="B18" s="27">
        <f>ROUND(594563,0)</f>
        <v>594563</v>
      </c>
      <c r="C18" s="11">
        <f>ROUND(22.2,1)</f>
        <v>22.2</v>
      </c>
    </row>
    <row r="19" spans="1:3">
      <c r="A19" s="57">
        <v>5</v>
      </c>
      <c r="B19" s="27">
        <f>ROUND(815811,0)</f>
        <v>815811</v>
      </c>
      <c r="C19" s="11">
        <f>ROUND(28.7,1)</f>
        <v>28.7</v>
      </c>
    </row>
    <row r="20" spans="1:3">
      <c r="A20" s="57">
        <v>6</v>
      </c>
      <c r="B20" s="27">
        <f>ROUND(1006074,0)</f>
        <v>1006074</v>
      </c>
      <c r="C20" s="11">
        <f>ROUND(32,1)</f>
        <v>32</v>
      </c>
    </row>
    <row r="21" spans="1:3">
      <c r="A21" s="57">
        <v>7</v>
      </c>
      <c r="B21" s="40">
        <f>ROUND(1228741,0)</f>
        <v>1228741</v>
      </c>
      <c r="C21" s="14">
        <f>ROUND(35.9,1)</f>
        <v>35.9</v>
      </c>
    </row>
    <row r="22" spans="1:3">
      <c r="A22" s="57">
        <v>8</v>
      </c>
      <c r="B22" s="40">
        <v>1411285</v>
      </c>
      <c r="C22" s="14">
        <v>28.3</v>
      </c>
    </row>
    <row r="23" spans="1:3">
      <c r="A23" s="57">
        <v>9</v>
      </c>
      <c r="B23" s="40">
        <f>ROUND(1593063,0)</f>
        <v>1593063</v>
      </c>
      <c r="C23" s="14">
        <f>ROUND(19.1,1)</f>
        <v>19.1</v>
      </c>
    </row>
    <row r="24" spans="1:3">
      <c r="A24" s="57">
        <v>10</v>
      </c>
      <c r="B24" s="40">
        <f>ROUND(1750486,0)</f>
        <v>1750486</v>
      </c>
      <c r="C24" s="14">
        <f>ROUND(15.7303,1)</f>
        <v>15.7</v>
      </c>
    </row>
    <row r="25" spans="1:3">
      <c r="A25" s="57">
        <v>11</v>
      </c>
      <c r="B25" s="40">
        <f>ROUND(1923410,0)</f>
        <v>1923410</v>
      </c>
      <c r="C25" s="14">
        <f>ROUND(12.4106,1)</f>
        <v>12.4</v>
      </c>
    </row>
    <row r="26" spans="1:3">
      <c r="A26" s="57">
        <v>12</v>
      </c>
      <c r="B26" s="40">
        <f>ROUND(2170709.6623,0)</f>
        <v>2170710</v>
      </c>
      <c r="C26" s="14">
        <f>ROUND(11.4496,1)</f>
        <v>11.4</v>
      </c>
    </row>
    <row r="27" spans="1:3">
      <c r="A27" s="15">
        <v>2018</v>
      </c>
      <c r="B27" s="16"/>
      <c r="C27" s="17"/>
    </row>
    <row r="28" spans="1:3">
      <c r="A28" s="15">
        <v>1</v>
      </c>
      <c r="B28" s="40">
        <f>ROUND(245060.5487,0)</f>
        <v>245061</v>
      </c>
      <c r="C28" s="14">
        <f>ROUND(-9.2749,1)</f>
        <v>-9.3</v>
      </c>
    </row>
    <row r="29" spans="1:3">
      <c r="A29" s="15">
        <v>2</v>
      </c>
      <c r="B29" s="40">
        <f>ROUND(254273.584,0)</f>
        <v>254274</v>
      </c>
      <c r="C29" s="14">
        <f>ROUND(5.1148,1)</f>
        <v>5.1</v>
      </c>
    </row>
    <row r="30" spans="1:3">
      <c r="A30" s="15">
        <v>3</v>
      </c>
      <c r="B30" s="40">
        <f>ROUND(368490,0)</f>
        <v>368490</v>
      </c>
      <c r="C30" s="58">
        <f>ROUND(-11.4,1)</f>
        <v>-11.4</v>
      </c>
    </row>
    <row r="31" spans="1:3">
      <c r="A31" s="15">
        <v>4</v>
      </c>
      <c r="B31" s="40">
        <v>498314.2314</v>
      </c>
      <c r="C31" s="58">
        <v>-16.2432</v>
      </c>
    </row>
    <row r="32" spans="1:3">
      <c r="A32" s="22">
        <v>5</v>
      </c>
      <c r="B32" s="59">
        <v>696319</v>
      </c>
      <c r="C32" s="60">
        <v>-14.7</v>
      </c>
    </row>
  </sheetData>
  <mergeCells count="3">
    <mergeCell ref="A1:F1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31"/>
  <sheetViews>
    <sheetView topLeftCell="A7" workbookViewId="0">
      <selection activeCell="H36" sqref="H36"/>
    </sheetView>
  </sheetViews>
  <sheetFormatPr defaultColWidth="9" defaultRowHeight="14.25" outlineLevelCol="2"/>
  <cols>
    <col min="1" max="1" width="14.375" customWidth="1"/>
    <col min="2" max="2" width="26.875" customWidth="1"/>
    <col min="3" max="3" width="18.875" customWidth="1"/>
  </cols>
  <sheetData>
    <row r="1" ht="24" spans="1:3">
      <c r="A1" s="39" t="s">
        <v>494</v>
      </c>
      <c r="B1" s="39"/>
      <c r="C1" s="39"/>
    </row>
    <row r="2" ht="24.75" spans="1:3">
      <c r="A2" s="25"/>
      <c r="B2" s="25"/>
      <c r="C2" s="26" t="s">
        <v>489</v>
      </c>
    </row>
    <row r="3" ht="32.1" customHeight="1" spans="1:2">
      <c r="A3" t="s">
        <v>485</v>
      </c>
      <c r="B3" t="s">
        <v>79</v>
      </c>
    </row>
    <row r="4" ht="32.1" customHeight="1" spans="2:3">
      <c r="B4" s="7" t="s">
        <v>486</v>
      </c>
      <c r="C4" s="8" t="s">
        <v>487</v>
      </c>
    </row>
    <row r="5" ht="18" customHeight="1" spans="1:3">
      <c r="A5" s="9">
        <v>2016</v>
      </c>
      <c r="B5" s="27"/>
      <c r="C5" s="11"/>
    </row>
    <row r="6" ht="18" customHeight="1" spans="1:3">
      <c r="A6" s="9">
        <v>6</v>
      </c>
      <c r="B6" s="27">
        <f>ROUND(566175,0)</f>
        <v>566175</v>
      </c>
      <c r="C6" s="11">
        <f>ROUND(5,1)</f>
        <v>5</v>
      </c>
    </row>
    <row r="7" spans="1:3">
      <c r="A7" s="9">
        <v>7</v>
      </c>
      <c r="B7" s="27">
        <f>ROUND(663904,0)</f>
        <v>663904</v>
      </c>
      <c r="C7" s="11">
        <f>ROUND(7.7,1)</f>
        <v>7.7</v>
      </c>
    </row>
    <row r="8" spans="1:3">
      <c r="A8" s="9">
        <v>8</v>
      </c>
      <c r="B8" s="27">
        <f>ROUND(735390,0)</f>
        <v>735390</v>
      </c>
      <c r="C8" s="11">
        <f>ROUND(7.7,1)</f>
        <v>7.7</v>
      </c>
    </row>
    <row r="9" spans="1:3">
      <c r="A9" s="9">
        <v>9</v>
      </c>
      <c r="B9" s="27">
        <f>ROUND(815736,0)</f>
        <v>815736</v>
      </c>
      <c r="C9" s="29">
        <f>ROUND(7.2,1)</f>
        <v>7.2</v>
      </c>
    </row>
    <row r="10" spans="1:3">
      <c r="A10" s="9">
        <v>10</v>
      </c>
      <c r="B10" s="27">
        <f>ROUND(894414,0)</f>
        <v>894414</v>
      </c>
      <c r="C10" s="29">
        <f>ROUND(7.36088408731323,1)</f>
        <v>7.4</v>
      </c>
    </row>
    <row r="11" spans="1:3">
      <c r="A11" s="9">
        <v>11</v>
      </c>
      <c r="B11" s="27">
        <f>ROUND(966337,0)</f>
        <v>966337</v>
      </c>
      <c r="C11" s="30">
        <f>ROUND(3.8,1)</f>
        <v>3.8</v>
      </c>
    </row>
    <row r="12" spans="1:3">
      <c r="A12" s="9">
        <v>12</v>
      </c>
      <c r="B12" s="27">
        <f>ROUND(1129375,0)</f>
        <v>1129375</v>
      </c>
      <c r="C12" s="30">
        <f>ROUND(-4.8,1)</f>
        <v>-4.8</v>
      </c>
    </row>
    <row r="13" spans="1:3">
      <c r="A13" s="9">
        <v>2017</v>
      </c>
      <c r="B13" s="27"/>
      <c r="C13" s="30"/>
    </row>
    <row r="14" spans="1:3">
      <c r="A14" s="9">
        <v>2</v>
      </c>
      <c r="B14" s="27">
        <f>ROUND(168865,0)</f>
        <v>168865</v>
      </c>
      <c r="C14" s="30">
        <f>ROUND(21.3,1)</f>
        <v>21.3</v>
      </c>
    </row>
    <row r="15" spans="1:3">
      <c r="A15" s="9">
        <v>3</v>
      </c>
      <c r="B15" s="27">
        <f>ROUND(248142,0)</f>
        <v>248142</v>
      </c>
      <c r="C15" s="30">
        <f>ROUND(15.8466028595928,1)</f>
        <v>15.8</v>
      </c>
    </row>
    <row r="16" spans="1:3">
      <c r="A16" s="9">
        <v>4</v>
      </c>
      <c r="B16" s="27">
        <f>ROUND(325815,0)</f>
        <v>325815</v>
      </c>
      <c r="C16" s="30">
        <v>7.38333558548909</v>
      </c>
    </row>
    <row r="17" spans="1:3">
      <c r="A17" s="9">
        <v>5</v>
      </c>
      <c r="B17" s="27">
        <f>ROUND(401635,0)</f>
        <v>401635</v>
      </c>
      <c r="C17" s="30">
        <f>ROUND(2.1,1)</f>
        <v>2.1</v>
      </c>
    </row>
    <row r="18" spans="1:3">
      <c r="A18" s="9">
        <v>6</v>
      </c>
      <c r="B18" s="27">
        <f>ROUND(583819,0)</f>
        <v>583819</v>
      </c>
      <c r="C18" s="30">
        <f>ROUND(6.8,1)</f>
        <v>6.8</v>
      </c>
    </row>
    <row r="19" spans="1:3">
      <c r="A19" s="9">
        <v>7</v>
      </c>
      <c r="B19" s="27">
        <f>ROUND(672492,0)</f>
        <v>672492</v>
      </c>
      <c r="C19" s="30">
        <f>ROUND(4.4,1)</f>
        <v>4.4</v>
      </c>
    </row>
    <row r="20" spans="1:3">
      <c r="A20" s="31">
        <v>8</v>
      </c>
      <c r="B20" s="27">
        <f>ROUND(745911,0)</f>
        <v>745911</v>
      </c>
      <c r="C20" s="32">
        <f>ROUND(4.2,1)</f>
        <v>4.2</v>
      </c>
    </row>
    <row r="21" spans="1:3">
      <c r="A21" s="31">
        <v>9</v>
      </c>
      <c r="B21" s="27">
        <f>ROUND(869421,0)</f>
        <v>869421</v>
      </c>
      <c r="C21" s="32">
        <f>ROUND(9.22031343236707,1)</f>
        <v>9.2</v>
      </c>
    </row>
    <row r="22" spans="1:3">
      <c r="A22" s="15">
        <v>10</v>
      </c>
      <c r="B22" s="40">
        <f>ROUND(1196191,0)</f>
        <v>1196191</v>
      </c>
      <c r="C22" s="17">
        <f>ROUND(36.8,1)</f>
        <v>36.8</v>
      </c>
    </row>
    <row r="23" spans="1:3">
      <c r="A23" s="15">
        <v>11</v>
      </c>
      <c r="B23" s="40">
        <f>ROUND(1260850,0)</f>
        <v>1260850</v>
      </c>
      <c r="C23" s="34">
        <f>ROUND(32.3884093336007,1)</f>
        <v>32.4</v>
      </c>
    </row>
    <row r="24" spans="1:3">
      <c r="A24" s="15">
        <v>12</v>
      </c>
      <c r="B24" s="40">
        <f>ROUND(1349958,0)</f>
        <v>1349958</v>
      </c>
      <c r="C24" s="34">
        <f>ROUND(21.0263352533788,1)</f>
        <v>21</v>
      </c>
    </row>
    <row r="25" spans="1:3">
      <c r="A25" s="15">
        <v>2018</v>
      </c>
      <c r="B25" s="16"/>
      <c r="C25" s="17"/>
    </row>
    <row r="26" spans="1:3">
      <c r="A26" s="15">
        <v>1</v>
      </c>
      <c r="B26" s="16">
        <f>ROUND(131471,0)</f>
        <v>131471</v>
      </c>
      <c r="C26" s="34">
        <f>ROUND(33.4500644558807,1)</f>
        <v>33.5</v>
      </c>
    </row>
    <row r="27" spans="1:3">
      <c r="A27" s="15">
        <v>2</v>
      </c>
      <c r="B27" s="16">
        <f>ROUND(222479,0)</f>
        <v>222479</v>
      </c>
      <c r="C27" s="34">
        <f>ROUND(31.7496224794955,1)</f>
        <v>31.7</v>
      </c>
    </row>
    <row r="28" spans="1:3">
      <c r="A28" s="15">
        <v>3</v>
      </c>
      <c r="B28" s="16">
        <f>ROUND(302572,0)</f>
        <v>302572</v>
      </c>
      <c r="C28" s="34">
        <f>ROUND(21.9350210766416,1)</f>
        <v>21.9</v>
      </c>
    </row>
    <row r="29" spans="1:3">
      <c r="A29" s="15">
        <v>4</v>
      </c>
      <c r="B29" s="41">
        <f>ROUND(403634,0)</f>
        <v>403634</v>
      </c>
      <c r="C29" s="21">
        <f>ROUND(23.9,1)</f>
        <v>23.9</v>
      </c>
    </row>
    <row r="30" spans="1:3">
      <c r="A30" s="15">
        <v>5</v>
      </c>
      <c r="B30" s="41">
        <v>499011</v>
      </c>
      <c r="C30" s="21">
        <v>24.2448989754379</v>
      </c>
    </row>
    <row r="31" spans="1:3">
      <c r="A31" s="22">
        <v>6</v>
      </c>
      <c r="B31" s="42">
        <v>647923</v>
      </c>
      <c r="C31" s="24">
        <v>11</v>
      </c>
    </row>
  </sheetData>
  <mergeCells count="3">
    <mergeCell ref="A1:C1"/>
    <mergeCell ref="B3:C3"/>
    <mergeCell ref="A3:A4"/>
  </mergeCells>
  <printOptions horizontalCentered="1"/>
  <pageMargins left="0.75" right="0.75" top="0.98" bottom="0.98" header="0.51" footer="0.51"/>
  <pageSetup paperSize="9" orientation="portrait" horizontalDpi="600"/>
  <headerFooter alignWithMargins="0" scaleWithDoc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30"/>
  <sheetViews>
    <sheetView workbookViewId="0">
      <selection activeCell="F12" sqref="F12"/>
    </sheetView>
  </sheetViews>
  <sheetFormatPr defaultColWidth="9" defaultRowHeight="14.25" outlineLevelCol="2"/>
  <cols>
    <col min="1" max="1" width="14.375" customWidth="1"/>
    <col min="2" max="2" width="26.875" customWidth="1"/>
    <col min="3" max="3" width="18.875" customWidth="1"/>
  </cols>
  <sheetData>
    <row r="1" spans="1:1">
      <c r="A1" t="s">
        <v>495</v>
      </c>
    </row>
    <row r="2" ht="24.75" spans="1:3">
      <c r="A2" s="25"/>
      <c r="B2" s="25"/>
      <c r="C2" s="26" t="s">
        <v>496</v>
      </c>
    </row>
    <row r="3" ht="32.1" customHeight="1" spans="1:2">
      <c r="A3" t="s">
        <v>485</v>
      </c>
      <c r="B3" t="s">
        <v>497</v>
      </c>
    </row>
    <row r="4" ht="32.1" customHeight="1" spans="2:3">
      <c r="B4" s="7" t="s">
        <v>486</v>
      </c>
      <c r="C4" s="8" t="s">
        <v>487</v>
      </c>
    </row>
    <row r="5" ht="18" customHeight="1" spans="1:3">
      <c r="A5" s="9">
        <v>2016</v>
      </c>
      <c r="B5" s="27"/>
      <c r="C5" s="11"/>
    </row>
    <row r="6" ht="18" customHeight="1" spans="1:3">
      <c r="A6" s="9">
        <v>6</v>
      </c>
      <c r="B6" s="28">
        <f>ROUND(38.78,2)</f>
        <v>38.78</v>
      </c>
      <c r="C6" s="11">
        <f>ROUND(31.4,1)</f>
        <v>31.4</v>
      </c>
    </row>
    <row r="7" spans="1:3">
      <c r="A7" s="9">
        <v>7</v>
      </c>
      <c r="B7" s="28">
        <f>ROUND(49.38,2)</f>
        <v>49.38</v>
      </c>
      <c r="C7" s="11">
        <f>ROUND(44.3,1)</f>
        <v>44.3</v>
      </c>
    </row>
    <row r="8" spans="1:3">
      <c r="A8" s="9">
        <v>8</v>
      </c>
      <c r="B8" s="28">
        <f>ROUND(56,2)</f>
        <v>56</v>
      </c>
      <c r="C8" s="11">
        <f>ROUND(41.9,1)</f>
        <v>41.9</v>
      </c>
    </row>
    <row r="9" spans="1:3">
      <c r="A9" s="9">
        <v>9</v>
      </c>
      <c r="B9" s="28">
        <f>ROUND(64.1,2)</f>
        <v>64.1</v>
      </c>
      <c r="C9" s="29">
        <f>ROUND(44.1,1)</f>
        <v>44.1</v>
      </c>
    </row>
    <row r="10" spans="1:3">
      <c r="A10" s="9">
        <v>10</v>
      </c>
      <c r="B10" s="28">
        <f>ROUND(72.32,2)</f>
        <v>72.32</v>
      </c>
      <c r="C10" s="29">
        <f>ROUND(47.3,1)</f>
        <v>47.3</v>
      </c>
    </row>
    <row r="11" spans="1:3">
      <c r="A11" s="9">
        <v>11</v>
      </c>
      <c r="B11" s="28">
        <f>ROUND(80.75,2)</f>
        <v>80.75</v>
      </c>
      <c r="C11" s="30">
        <f>ROUND(52,1)</f>
        <v>52</v>
      </c>
    </row>
    <row r="12" spans="1:3">
      <c r="A12" s="9">
        <v>12</v>
      </c>
      <c r="B12" s="28">
        <f>ROUND(89.4,2)</f>
        <v>89.4</v>
      </c>
      <c r="C12" s="30">
        <f>ROUND(52.9,1)</f>
        <v>52.9</v>
      </c>
    </row>
    <row r="13" spans="1:3">
      <c r="A13" s="9">
        <v>2017</v>
      </c>
      <c r="B13" s="28"/>
      <c r="C13" s="30"/>
    </row>
    <row r="14" spans="1:3">
      <c r="A14" s="9">
        <v>2</v>
      </c>
      <c r="B14" s="28">
        <f>ROUND(19.95,2)</f>
        <v>19.95</v>
      </c>
      <c r="C14" s="30">
        <f>ROUND(49.7,1)</f>
        <v>49.7</v>
      </c>
    </row>
    <row r="15" spans="1:3">
      <c r="A15" s="9">
        <v>3</v>
      </c>
      <c r="B15" s="28">
        <f>ROUND(25.02,2)</f>
        <v>25.02</v>
      </c>
      <c r="C15" s="30">
        <f>ROUND(66.7,1)</f>
        <v>66.7</v>
      </c>
    </row>
    <row r="16" spans="1:3">
      <c r="A16" s="9">
        <v>4</v>
      </c>
      <c r="B16" s="28">
        <f>ROUND(34.86,2)</f>
        <v>34.86</v>
      </c>
      <c r="C16" s="30">
        <f>ROUND(55.8,1)</f>
        <v>55.8</v>
      </c>
    </row>
    <row r="17" spans="1:3">
      <c r="A17" s="9">
        <v>5</v>
      </c>
      <c r="B17" s="28">
        <f>ROUND(44.18,2)</f>
        <v>44.18</v>
      </c>
      <c r="C17" s="30">
        <f>ROUND(47.1,1)</f>
        <v>47.1</v>
      </c>
    </row>
    <row r="18" spans="1:3">
      <c r="A18" s="9">
        <v>6</v>
      </c>
      <c r="B18" s="28">
        <f>ROUND(54.94,2)</f>
        <v>54.94</v>
      </c>
      <c r="C18" s="30">
        <f>ROUND(41.7,1)</f>
        <v>41.7</v>
      </c>
    </row>
    <row r="19" spans="1:3">
      <c r="A19" s="9">
        <v>7</v>
      </c>
      <c r="B19" s="28">
        <f>ROUND(64.67,2)</f>
        <v>64.67</v>
      </c>
      <c r="C19" s="30">
        <f>ROUND(35.8,1)</f>
        <v>35.8</v>
      </c>
    </row>
    <row r="20" spans="1:3">
      <c r="A20" s="31">
        <v>8</v>
      </c>
      <c r="B20" s="28">
        <f>ROUND(75.46,2)</f>
        <v>75.46</v>
      </c>
      <c r="C20" s="32">
        <f>ROUND(34.8,1)</f>
        <v>34.8</v>
      </c>
    </row>
    <row r="21" spans="1:3">
      <c r="A21" s="31">
        <v>9</v>
      </c>
      <c r="B21" s="28">
        <f>ROUND(85.67,2)</f>
        <v>85.67</v>
      </c>
      <c r="C21" s="32">
        <f>ROUND(33.7,1)</f>
        <v>33.7</v>
      </c>
    </row>
    <row r="22" spans="1:3">
      <c r="A22" s="15">
        <v>10</v>
      </c>
      <c r="B22" s="33">
        <f>ROUND(93.88,2)</f>
        <v>93.88</v>
      </c>
      <c r="C22" s="17">
        <f>ROUND(29.8,1)</f>
        <v>29.8</v>
      </c>
    </row>
    <row r="23" spans="1:3">
      <c r="A23" s="15">
        <v>11</v>
      </c>
      <c r="B23" s="33">
        <f>ROUND(102.83,2)</f>
        <v>102.83</v>
      </c>
      <c r="C23" s="34">
        <f>ROUND(27.4,1)</f>
        <v>27.4</v>
      </c>
    </row>
    <row r="24" spans="1:3">
      <c r="A24" s="15">
        <v>12</v>
      </c>
      <c r="B24" s="33">
        <f>ROUND(112.45,2)</f>
        <v>112.45</v>
      </c>
      <c r="C24" s="34">
        <f>ROUND(25.8,1)</f>
        <v>25.8</v>
      </c>
    </row>
    <row r="25" spans="1:3">
      <c r="A25" s="15">
        <v>2018</v>
      </c>
      <c r="B25" s="35"/>
      <c r="C25" s="17"/>
    </row>
    <row r="26" spans="1:3">
      <c r="A26" s="15">
        <v>2</v>
      </c>
      <c r="B26" s="35">
        <f>ROUND(17.26707351,2)</f>
        <v>17.27</v>
      </c>
      <c r="C26" s="34">
        <f>ROUND(6.31,1)</f>
        <v>6.3</v>
      </c>
    </row>
    <row r="27" spans="1:3">
      <c r="A27" s="15">
        <v>3</v>
      </c>
      <c r="B27" s="35">
        <f>ROUND(26.96,2)</f>
        <v>26.96</v>
      </c>
      <c r="C27" s="34">
        <f>ROUND(6.1,1)</f>
        <v>6.1</v>
      </c>
    </row>
    <row r="28" spans="1:3">
      <c r="A28" s="15">
        <v>4</v>
      </c>
      <c r="B28" s="28">
        <f>ROUND(374489.7976/10000,2)</f>
        <v>37.45</v>
      </c>
      <c r="C28" s="36">
        <f>ROUND(5.86,1)</f>
        <v>5.9</v>
      </c>
    </row>
    <row r="29" spans="1:3">
      <c r="A29" s="15">
        <v>5</v>
      </c>
      <c r="B29" s="28">
        <v>48.08</v>
      </c>
      <c r="C29" s="36">
        <v>9.1</v>
      </c>
    </row>
    <row r="30" spans="1:3">
      <c r="A30" s="22">
        <v>6</v>
      </c>
      <c r="B30" s="37">
        <v>58.99</v>
      </c>
      <c r="C30" s="38">
        <v>8.9</v>
      </c>
    </row>
  </sheetData>
  <mergeCells count="3">
    <mergeCell ref="A1:C1"/>
    <mergeCell ref="B3:C3"/>
    <mergeCell ref="A3:A4"/>
  </mergeCells>
  <printOptions horizontalCentered="1"/>
  <pageMargins left="0.75" right="0.75" top="0.98" bottom="0.98" header="0.51" footer="0.51"/>
  <pageSetup paperSize="9" orientation="portrait" horizontalDpi="600"/>
  <headerFooter alignWithMargins="0" scaleWithDoc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V31"/>
  <sheetViews>
    <sheetView topLeftCell="A10" workbookViewId="0">
      <selection activeCell="J41" sqref="J41"/>
    </sheetView>
  </sheetViews>
  <sheetFormatPr defaultColWidth="9" defaultRowHeight="12.75"/>
  <cols>
    <col min="1" max="1" width="14.125" style="2" customWidth="1"/>
    <col min="2" max="2" width="21.375" style="2" customWidth="1"/>
    <col min="3" max="3" width="17.375" style="2" customWidth="1"/>
    <col min="4" max="16384" width="9" style="2"/>
  </cols>
  <sheetData>
    <row r="1" ht="24" customHeight="1" spans="1:3">
      <c r="A1" s="3" t="s">
        <v>400</v>
      </c>
      <c r="B1" s="3"/>
      <c r="C1" s="3"/>
    </row>
    <row r="2" ht="24" customHeight="1" spans="1:3">
      <c r="A2" s="4"/>
      <c r="B2" s="5"/>
      <c r="C2" s="6" t="s">
        <v>498</v>
      </c>
    </row>
    <row r="3" s="1" customFormat="1" ht="32.25" customHeight="1" spans="1:3">
      <c r="A3" t="s">
        <v>485</v>
      </c>
      <c r="B3" t="s">
        <v>400</v>
      </c>
      <c r="C3"/>
    </row>
    <row r="4" s="1" customFormat="1" ht="32.25" customHeight="1" spans="1:3">
      <c r="A4">
        <v>2009</v>
      </c>
      <c r="B4" s="7" t="s">
        <v>499</v>
      </c>
      <c r="C4" s="8" t="s">
        <v>500</v>
      </c>
    </row>
    <row r="5" s="1" customFormat="1" ht="20.1" customHeight="1" spans="1:3">
      <c r="A5" s="9">
        <v>2016</v>
      </c>
      <c r="B5" s="10"/>
      <c r="C5" s="11"/>
    </row>
    <row r="6" s="1" customFormat="1" ht="20.1" customHeight="1" spans="1:3">
      <c r="A6" s="9">
        <v>6</v>
      </c>
      <c r="B6" s="10">
        <f>ROUND(102.3,1)</f>
        <v>102.3</v>
      </c>
      <c r="C6" s="11">
        <f>ROUND(102.7,1)</f>
        <v>102.7</v>
      </c>
    </row>
    <row r="7" s="1" customFormat="1" ht="20.1" customHeight="1" spans="1:3">
      <c r="A7" s="9">
        <v>7</v>
      </c>
      <c r="B7" s="10">
        <f>ROUND(102.1,1)</f>
        <v>102.1</v>
      </c>
      <c r="C7" s="11">
        <f>ROUND(102.6,1)</f>
        <v>102.6</v>
      </c>
    </row>
    <row r="8" s="1" customFormat="1" ht="20.1" customHeight="1" spans="1:3">
      <c r="A8" s="9">
        <v>8</v>
      </c>
      <c r="B8" s="10">
        <f>ROUND(101.4,1)</f>
        <v>101.4</v>
      </c>
      <c r="C8" s="11">
        <f>ROUND(102.5,1)</f>
        <v>102.5</v>
      </c>
    </row>
    <row r="9" s="1" customFormat="1" ht="14.45" customHeight="1" spans="1:3">
      <c r="A9" s="9">
        <v>9</v>
      </c>
      <c r="B9" s="10">
        <f>ROUND(101.82067344,1)</f>
        <v>101.8</v>
      </c>
      <c r="C9" s="11">
        <f>ROUND(102.40761463,1)</f>
        <v>102.4</v>
      </c>
    </row>
    <row r="10" s="1" customFormat="1" ht="14.45" customHeight="1" spans="1:3">
      <c r="A10" s="9">
        <v>10</v>
      </c>
      <c r="B10" s="10">
        <f>ROUND(101.32746357,1)</f>
        <v>101.3</v>
      </c>
      <c r="C10" s="11">
        <f>ROUND(102.29864677,1)</f>
        <v>102.3</v>
      </c>
    </row>
    <row r="11" s="1" customFormat="1" ht="14.45" customHeight="1" spans="1:3">
      <c r="A11" s="9">
        <v>11</v>
      </c>
      <c r="B11" s="10">
        <f>ROUND(102.2,1)</f>
        <v>102.2</v>
      </c>
      <c r="C11" s="11">
        <f>ROUND(102.29864677,1)</f>
        <v>102.3</v>
      </c>
    </row>
    <row r="12" ht="14.25" spans="1:3">
      <c r="A12" s="12">
        <v>12</v>
      </c>
      <c r="B12" s="10">
        <f>ROUND(101.4,1)</f>
        <v>101.4</v>
      </c>
      <c r="C12" s="11">
        <f>ROUND(102.2,1)</f>
        <v>102.2</v>
      </c>
    </row>
    <row r="13" ht="14.25" spans="1:256">
      <c r="A13" s="12">
        <v>2017</v>
      </c>
      <c r="B13" s="10"/>
      <c r="C13" s="11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ht="14.25" spans="1:256">
      <c r="A14" s="12">
        <v>2</v>
      </c>
      <c r="B14" s="10">
        <f>ROUND(99.8,1)</f>
        <v>99.8</v>
      </c>
      <c r="C14" s="11">
        <f>ROUND(101.1,1)</f>
        <v>101.1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ht="14.25" spans="1:256">
      <c r="A15" s="12">
        <v>3</v>
      </c>
      <c r="B15" s="10">
        <f>ROUND(100.57911031,1)</f>
        <v>100.6</v>
      </c>
      <c r="C15" s="11">
        <f>ROUND(100.95612843,1)</f>
        <v>101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ht="14.25" spans="1:256">
      <c r="A16" s="12">
        <v>4</v>
      </c>
      <c r="B16" s="10">
        <f>ROUND(101,1)</f>
        <v>101</v>
      </c>
      <c r="C16" s="11">
        <f>ROUND(100.95612843,1)</f>
        <v>101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ht="14.25" spans="1:256">
      <c r="A17" s="12">
        <v>5</v>
      </c>
      <c r="B17" s="10">
        <f>ROUND(101.5,1)</f>
        <v>101.5</v>
      </c>
      <c r="C17" s="11">
        <f>ROUND(101.1,1)</f>
        <v>101.1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ht="14.25" spans="1:256">
      <c r="A18" s="12">
        <v>6</v>
      </c>
      <c r="B18" s="10">
        <f>ROUND(101.1,1)</f>
        <v>101.1</v>
      </c>
      <c r="C18" s="11">
        <f>ROUND(101.1,1)</f>
        <v>101.1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ht="14.25" spans="1:256">
      <c r="A19" s="12">
        <v>7</v>
      </c>
      <c r="B19" s="10">
        <f>ROUND(101.62395255,1)</f>
        <v>101.6</v>
      </c>
      <c r="C19" s="11">
        <f>ROUND(101.16440126,1)</f>
        <v>101.2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ht="14.25" spans="1:256">
      <c r="A20" s="13">
        <v>8</v>
      </c>
      <c r="B20" s="10">
        <f>ROUND(101.91687646,1)</f>
        <v>101.9</v>
      </c>
      <c r="C20" s="14">
        <f>ROUND(101.25801138,1)</f>
        <v>101.3</v>
      </c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ht="14.25" spans="1:3">
      <c r="A21" s="12">
        <v>9</v>
      </c>
      <c r="B21" s="10">
        <f>ROUND(101.03765598,1)</f>
        <v>101</v>
      </c>
      <c r="C21" s="14">
        <f>ROUND(101.23346012,1)</f>
        <v>101.2</v>
      </c>
    </row>
    <row r="22" ht="14.25" spans="1:3">
      <c r="A22" s="12">
        <v>10</v>
      </c>
      <c r="B22" s="10">
        <f>ROUND(101.8,1)</f>
        <v>101.8</v>
      </c>
      <c r="C22" s="14">
        <f>ROUND(101.3,1)</f>
        <v>101.3</v>
      </c>
    </row>
    <row r="23" ht="14.25" spans="1:3">
      <c r="A23" s="12">
        <v>11</v>
      </c>
      <c r="B23" s="10">
        <f>ROUND(101.32934401,1)</f>
        <v>101.3</v>
      </c>
      <c r="C23" s="14">
        <f>ROUND(101.29138171,1)</f>
        <v>101.3</v>
      </c>
    </row>
    <row r="24" ht="14.25" spans="1:3">
      <c r="A24" s="12">
        <v>12</v>
      </c>
      <c r="B24" s="10">
        <f>ROUND(101.93633331,1)</f>
        <v>101.9</v>
      </c>
      <c r="C24" s="14">
        <f>ROUND(101.34501843,1)</f>
        <v>101.3</v>
      </c>
    </row>
    <row r="25" ht="14.25" spans="1:3">
      <c r="A25" s="15">
        <v>2018</v>
      </c>
      <c r="B25" s="16"/>
      <c r="C25" s="17"/>
    </row>
    <row r="26" ht="14.25" spans="1:3">
      <c r="A26" s="15">
        <v>1</v>
      </c>
      <c r="B26" s="10">
        <f>ROUND(100.4833835,1)</f>
        <v>100.5</v>
      </c>
      <c r="C26" s="14">
        <f>ROUND(100.4833835,1)</f>
        <v>100.5</v>
      </c>
    </row>
    <row r="27" ht="14.25" spans="1:3">
      <c r="A27" s="15">
        <v>2</v>
      </c>
      <c r="B27" s="18">
        <f>ROUND(102.58323309,1)</f>
        <v>102.6</v>
      </c>
      <c r="C27" s="19">
        <f>ROUND(101.53370061,1)</f>
        <v>101.5</v>
      </c>
    </row>
    <row r="28" ht="14.25" spans="1:3">
      <c r="A28" s="15">
        <v>3</v>
      </c>
      <c r="B28" s="10">
        <f>ROUND(101.8,1)</f>
        <v>101.8</v>
      </c>
      <c r="C28" s="19">
        <f>ROUND(101.6,1)</f>
        <v>101.6</v>
      </c>
    </row>
    <row r="29" ht="14.25" spans="1:3">
      <c r="A29" s="15">
        <v>4</v>
      </c>
      <c r="B29" s="20">
        <f>ROUND(101,1)</f>
        <v>101</v>
      </c>
      <c r="C29" s="21">
        <f>ROUND(101.45789835,1)</f>
        <v>101.5</v>
      </c>
    </row>
    <row r="30" customFormat="1" ht="14.25" spans="1:3">
      <c r="A30" s="15">
        <v>5</v>
      </c>
      <c r="B30" s="20">
        <v>100.63043043</v>
      </c>
      <c r="C30" s="21">
        <v>101.29245659</v>
      </c>
    </row>
    <row r="31" ht="14.25" spans="1:3">
      <c r="A31" s="22">
        <v>6</v>
      </c>
      <c r="B31" s="23">
        <v>101.2</v>
      </c>
      <c r="C31" s="24">
        <v>101.27416779</v>
      </c>
    </row>
  </sheetData>
  <mergeCells count="3">
    <mergeCell ref="A1:C1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23" sqref="L23"/>
    </sheetView>
  </sheetViews>
  <sheetFormatPr defaultColWidth="9" defaultRowHeight="14.2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selection activeCell="K14" sqref="K14"/>
    </sheetView>
  </sheetViews>
  <sheetFormatPr defaultColWidth="9" defaultRowHeight="14.25"/>
  <cols>
    <col min="1" max="1" width="10.5" style="312" customWidth="1"/>
    <col min="2" max="2" width="12.875" style="312" customWidth="1"/>
    <col min="3" max="3" width="9.5" style="312" customWidth="1"/>
    <col min="4" max="4" width="11.25" style="312" customWidth="1"/>
    <col min="5" max="5" width="9.5" style="312" customWidth="1"/>
    <col min="6" max="6" width="11.25" style="312" customWidth="1"/>
    <col min="7" max="7" width="9.5" style="312" customWidth="1"/>
    <col min="8" max="8" width="11.25" style="312" customWidth="1"/>
    <col min="9" max="9" width="9.5" style="312" customWidth="1"/>
    <col min="10" max="10" width="11.25" style="312" customWidth="1"/>
    <col min="11" max="11" width="9.5" style="312" customWidth="1"/>
    <col min="12" max="16384" width="9" style="312"/>
  </cols>
  <sheetData>
    <row r="1" s="312" customFormat="1" ht="21" customHeight="1" spans="1:11">
      <c r="A1" s="313" t="s">
        <v>74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</row>
    <row r="2" s="312" customFormat="1" ht="23.1" customHeight="1" spans="1:11">
      <c r="A2" s="314"/>
      <c r="B2" s="314"/>
      <c r="C2" s="314"/>
      <c r="D2" s="314"/>
      <c r="E2" s="314"/>
      <c r="F2" s="314"/>
      <c r="G2" s="314"/>
      <c r="H2" s="314"/>
      <c r="I2" s="314"/>
      <c r="J2" s="314"/>
      <c r="K2" s="314"/>
    </row>
    <row r="3" s="312" customFormat="1" customHeight="1" spans="1:11">
      <c r="A3" s="315"/>
      <c r="B3" s="316" t="s">
        <v>75</v>
      </c>
      <c r="C3" s="316"/>
      <c r="D3" s="317" t="s">
        <v>76</v>
      </c>
      <c r="E3" s="315"/>
      <c r="F3" s="316" t="s">
        <v>77</v>
      </c>
      <c r="G3" s="316"/>
      <c r="H3" s="317" t="s">
        <v>78</v>
      </c>
      <c r="I3" s="316"/>
      <c r="J3" s="317" t="s">
        <v>79</v>
      </c>
      <c r="K3" s="316"/>
    </row>
    <row r="4" s="312" customFormat="1" ht="21" customHeight="1" spans="1:11">
      <c r="A4" s="318"/>
      <c r="B4" s="319"/>
      <c r="C4" s="319"/>
      <c r="D4" s="320"/>
      <c r="E4" s="321"/>
      <c r="F4" s="322"/>
      <c r="G4" s="322"/>
      <c r="H4" s="320"/>
      <c r="I4" s="322"/>
      <c r="J4" s="320"/>
      <c r="K4" s="322"/>
    </row>
    <row r="5" s="312" customFormat="1" ht="30" customHeight="1" spans="1:11">
      <c r="A5" s="321"/>
      <c r="B5" s="323" t="s">
        <v>80</v>
      </c>
      <c r="C5" s="323" t="s">
        <v>81</v>
      </c>
      <c r="D5" s="323" t="s">
        <v>80</v>
      </c>
      <c r="E5" s="323" t="s">
        <v>81</v>
      </c>
      <c r="F5" s="323" t="s">
        <v>80</v>
      </c>
      <c r="G5" s="323" t="s">
        <v>81</v>
      </c>
      <c r="H5" s="323" t="s">
        <v>80</v>
      </c>
      <c r="I5" s="323" t="s">
        <v>81</v>
      </c>
      <c r="J5" s="323" t="s">
        <v>80</v>
      </c>
      <c r="K5" s="334" t="s">
        <v>81</v>
      </c>
    </row>
    <row r="6" s="312" customFormat="1" ht="25.5" customHeight="1" spans="1:12">
      <c r="A6" s="324" t="s">
        <v>82</v>
      </c>
      <c r="B6" s="325">
        <v>830.542712273417</v>
      </c>
      <c r="C6" s="326">
        <v>1.10014461024812</v>
      </c>
      <c r="D6" s="325">
        <v>394.713603714034</v>
      </c>
      <c r="E6" s="326">
        <v>-4.5</v>
      </c>
      <c r="F6" s="325"/>
      <c r="G6" s="326">
        <v>4.42314362139331</v>
      </c>
      <c r="H6" s="325">
        <v>759.97</v>
      </c>
      <c r="I6" s="326">
        <v>6.6</v>
      </c>
      <c r="J6" s="325">
        <v>65.3357</v>
      </c>
      <c r="K6" s="335">
        <v>6.62805347747183</v>
      </c>
      <c r="L6" s="336"/>
    </row>
    <row r="7" s="312" customFormat="1" ht="27.95" customHeight="1" spans="1:11">
      <c r="A7" s="324" t="s">
        <v>83</v>
      </c>
      <c r="B7" s="325">
        <v>83.1454457171262</v>
      </c>
      <c r="C7" s="326">
        <v>3.50515018013284</v>
      </c>
      <c r="D7" s="325">
        <v>22.6335879418845</v>
      </c>
      <c r="E7" s="326">
        <v>9.8</v>
      </c>
      <c r="F7" s="325"/>
      <c r="G7" s="326">
        <v>-8.86064589028955</v>
      </c>
      <c r="H7" s="325">
        <v>176.53</v>
      </c>
      <c r="I7" s="326">
        <v>3.9</v>
      </c>
      <c r="J7" s="325">
        <v>1.8985</v>
      </c>
      <c r="K7" s="335">
        <v>79.255972051742</v>
      </c>
    </row>
    <row r="8" s="312" customFormat="1" ht="27.95" customHeight="1" spans="1:11">
      <c r="A8" s="324" t="s">
        <v>84</v>
      </c>
      <c r="B8" s="325">
        <v>104.803876316345</v>
      </c>
      <c r="C8" s="326">
        <v>-0.644320215821878</v>
      </c>
      <c r="D8" s="325">
        <v>75.771848999343</v>
      </c>
      <c r="E8" s="326">
        <v>-3.9</v>
      </c>
      <c r="F8" s="325"/>
      <c r="G8" s="326">
        <v>-16.2348680450075</v>
      </c>
      <c r="H8" s="325">
        <v>138.59</v>
      </c>
      <c r="I8" s="326">
        <v>7.5</v>
      </c>
      <c r="J8" s="325">
        <v>2.8165</v>
      </c>
      <c r="K8" s="335">
        <v>5.42371612516844</v>
      </c>
    </row>
    <row r="9" s="312" customFormat="1" ht="27.95" customHeight="1" spans="1:11">
      <c r="A9" s="324" t="s">
        <v>85</v>
      </c>
      <c r="B9" s="325">
        <v>100.011161071928</v>
      </c>
      <c r="C9" s="326">
        <v>-7.15112169002332</v>
      </c>
      <c r="D9" s="325">
        <v>91.1758892727165</v>
      </c>
      <c r="E9" s="326">
        <v>-8.1</v>
      </c>
      <c r="F9" s="325"/>
      <c r="G9" s="326">
        <v>-8.29404558271375</v>
      </c>
      <c r="H9" s="325">
        <v>18.41</v>
      </c>
      <c r="I9" s="326">
        <v>8.4</v>
      </c>
      <c r="J9" s="325">
        <v>2.1822</v>
      </c>
      <c r="K9" s="335">
        <v>41.1239733557524</v>
      </c>
    </row>
    <row r="10" s="312" customFormat="1" ht="27.95" customHeight="1" spans="1:11">
      <c r="A10" s="324" t="s">
        <v>86</v>
      </c>
      <c r="B10" s="325">
        <v>48.6923618020966</v>
      </c>
      <c r="C10" s="326">
        <v>4.82561277409775</v>
      </c>
      <c r="D10" s="325">
        <v>16.3934888787075</v>
      </c>
      <c r="E10" s="326">
        <v>-1.5</v>
      </c>
      <c r="F10" s="325"/>
      <c r="G10" s="326">
        <v>-16.8775791600503</v>
      </c>
      <c r="H10" s="325">
        <v>62.22</v>
      </c>
      <c r="I10" s="326">
        <v>7.3</v>
      </c>
      <c r="J10" s="325">
        <v>3.1284</v>
      </c>
      <c r="K10" s="335">
        <v>0.153668843641952</v>
      </c>
    </row>
    <row r="11" s="312" customFormat="1" ht="27.95" customHeight="1" spans="1:11">
      <c r="A11" s="324" t="s">
        <v>87</v>
      </c>
      <c r="B11" s="325">
        <v>65.7445413554831</v>
      </c>
      <c r="C11" s="326">
        <v>2.53446413033862</v>
      </c>
      <c r="D11" s="325">
        <v>4.319888009409</v>
      </c>
      <c r="E11" s="326">
        <v>-6.9</v>
      </c>
      <c r="F11" s="325"/>
      <c r="G11" s="326">
        <v>-8.79697673738301</v>
      </c>
      <c r="H11" s="325">
        <v>68.44</v>
      </c>
      <c r="I11" s="326">
        <v>7.8</v>
      </c>
      <c r="J11" s="325">
        <v>4.5049</v>
      </c>
      <c r="K11" s="335">
        <v>24.2559646945249</v>
      </c>
    </row>
    <row r="12" s="312" customFormat="1" ht="27.95" customHeight="1" spans="1:11">
      <c r="A12" s="324" t="s">
        <v>88</v>
      </c>
      <c r="B12" s="325">
        <v>55.5114387736297</v>
      </c>
      <c r="C12" s="326">
        <v>3.67627496719834</v>
      </c>
      <c r="D12" s="325">
        <v>12.385909034268</v>
      </c>
      <c r="E12" s="326">
        <v>4.4</v>
      </c>
      <c r="F12" s="325"/>
      <c r="G12" s="326">
        <v>-13.5570509315195</v>
      </c>
      <c r="H12" s="325">
        <v>31.1</v>
      </c>
      <c r="I12" s="326">
        <v>6.8</v>
      </c>
      <c r="J12" s="325">
        <v>2.7242</v>
      </c>
      <c r="K12" s="335">
        <v>-54.5079571831739</v>
      </c>
    </row>
    <row r="13" s="312" customFormat="1" ht="27.95" customHeight="1" spans="1:11">
      <c r="A13" s="324" t="s">
        <v>89</v>
      </c>
      <c r="B13" s="325">
        <v>80.1821966607665</v>
      </c>
      <c r="C13" s="326">
        <v>2.67884042393082</v>
      </c>
      <c r="D13" s="325">
        <v>6.333214432125</v>
      </c>
      <c r="E13" s="326">
        <v>2.8</v>
      </c>
      <c r="F13" s="325"/>
      <c r="G13" s="326">
        <v>16.6888783609775</v>
      </c>
      <c r="H13" s="325">
        <v>75.86</v>
      </c>
      <c r="I13" s="326">
        <v>6.9</v>
      </c>
      <c r="J13" s="325">
        <v>2.6971</v>
      </c>
      <c r="K13" s="335">
        <v>14.4682115270351</v>
      </c>
    </row>
    <row r="14" s="312" customFormat="1" ht="27.95" customHeight="1" spans="1:11">
      <c r="A14" s="327" t="s">
        <v>90</v>
      </c>
      <c r="B14" s="325">
        <v>88.1805247896061</v>
      </c>
      <c r="C14" s="328">
        <v>2.10176008064202</v>
      </c>
      <c r="D14" s="325">
        <v>10.480565140248</v>
      </c>
      <c r="E14" s="328">
        <v>-15.7</v>
      </c>
      <c r="F14" s="325"/>
      <c r="G14" s="328">
        <v>-3.29436914706828</v>
      </c>
      <c r="H14" s="325">
        <v>61.08</v>
      </c>
      <c r="I14" s="328">
        <v>8.8</v>
      </c>
      <c r="J14" s="325">
        <v>6.1064</v>
      </c>
      <c r="K14" s="337">
        <v>-12.8690267254541</v>
      </c>
    </row>
    <row r="15" s="312" customFormat="1" ht="27.95" customHeight="1" spans="1:11">
      <c r="A15" s="327" t="s">
        <v>91</v>
      </c>
      <c r="B15" s="325">
        <v>105.184877652163</v>
      </c>
      <c r="C15" s="328">
        <v>4.57874755718595</v>
      </c>
      <c r="D15" s="325">
        <v>9.494637704328</v>
      </c>
      <c r="E15" s="328">
        <v>4.3</v>
      </c>
      <c r="F15" s="325"/>
      <c r="G15" s="328">
        <v>31.8182913024374</v>
      </c>
      <c r="H15" s="325">
        <v>127.73</v>
      </c>
      <c r="I15" s="328">
        <v>6.9</v>
      </c>
      <c r="J15" s="325">
        <v>5.3184</v>
      </c>
      <c r="K15" s="337">
        <v>-30.3473204463303</v>
      </c>
    </row>
    <row r="16" s="312" customFormat="1" ht="27.95" customHeight="1" spans="1:11">
      <c r="A16" s="329" t="s">
        <v>92</v>
      </c>
      <c r="B16" s="330">
        <v>176.995313550381</v>
      </c>
      <c r="C16" s="331">
        <v>-4.55660353666745</v>
      </c>
      <c r="D16" s="332">
        <v>228.715407460617</v>
      </c>
      <c r="E16" s="331">
        <v>-4.8</v>
      </c>
      <c r="F16" s="332"/>
      <c r="G16" s="331">
        <v>62.3018801512181</v>
      </c>
      <c r="H16" s="332">
        <v>45.64</v>
      </c>
      <c r="I16" s="331">
        <v>5</v>
      </c>
      <c r="J16" s="332">
        <v>7.899</v>
      </c>
      <c r="K16" s="338">
        <v>-6.24666183993448</v>
      </c>
    </row>
    <row r="17" s="312" customFormat="1" spans="5:5">
      <c r="E17" s="333"/>
    </row>
  </sheetData>
  <mergeCells count="7">
    <mergeCell ref="A3:A5"/>
    <mergeCell ref="B3:C4"/>
    <mergeCell ref="D3:E4"/>
    <mergeCell ref="F3:G4"/>
    <mergeCell ref="H3:I4"/>
    <mergeCell ref="J3:K4"/>
    <mergeCell ref="A1:K2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F28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A1" sqref="A1:F1"/>
    </sheetView>
  </sheetViews>
  <sheetFormatPr defaultColWidth="9" defaultRowHeight="14.25" outlineLevelCol="5"/>
  <cols>
    <col min="1" max="1" width="33.125" style="268" customWidth="1"/>
    <col min="2" max="2" width="9.625" style="268" customWidth="1"/>
    <col min="3" max="3" width="12.625" style="268"/>
    <col min="4" max="6" width="10.375" style="268"/>
    <col min="7" max="16384" width="9" style="268"/>
  </cols>
  <sheetData>
    <row r="1" ht="24.95" customHeight="1" spans="1:6">
      <c r="A1" s="135" t="s">
        <v>93</v>
      </c>
      <c r="B1" s="135"/>
      <c r="C1" s="135"/>
      <c r="D1" s="135"/>
      <c r="E1" s="135"/>
      <c r="F1" s="135"/>
    </row>
    <row r="2" s="299" customFormat="1" ht="21" customHeight="1" spans="1:6">
      <c r="A2" s="301" t="s">
        <v>1</v>
      </c>
      <c r="B2" s="302" t="s">
        <v>94</v>
      </c>
      <c r="C2" s="137" t="s">
        <v>3</v>
      </c>
      <c r="D2" s="138"/>
      <c r="E2" s="137" t="s">
        <v>5</v>
      </c>
      <c r="F2" s="138"/>
    </row>
    <row r="3" s="299" customFormat="1" ht="21" customHeight="1" spans="1:6">
      <c r="A3" s="303"/>
      <c r="B3" s="304"/>
      <c r="C3" s="140" t="s">
        <v>8</v>
      </c>
      <c r="D3" s="141" t="s">
        <v>9</v>
      </c>
      <c r="E3" s="140" t="s">
        <v>8</v>
      </c>
      <c r="F3" s="141" t="s">
        <v>9</v>
      </c>
    </row>
    <row r="4" s="300" customFormat="1" ht="24.95" customHeight="1" spans="1:6">
      <c r="A4" s="249" t="s">
        <v>95</v>
      </c>
      <c r="B4" s="250" t="s">
        <v>11</v>
      </c>
      <c r="C4" s="305">
        <v>1104.578659</v>
      </c>
      <c r="D4" s="306">
        <v>4.7</v>
      </c>
      <c r="E4" s="305">
        <v>229.715063</v>
      </c>
      <c r="F4" s="306">
        <v>4</v>
      </c>
    </row>
    <row r="5" s="300" customFormat="1" ht="24.95" customHeight="1" spans="1:6">
      <c r="A5" s="249" t="s">
        <v>96</v>
      </c>
      <c r="B5" s="250" t="s">
        <v>11</v>
      </c>
      <c r="C5" s="305">
        <v>598.206521</v>
      </c>
      <c r="D5" s="306">
        <v>4.4</v>
      </c>
      <c r="E5" s="305">
        <v>104.078042</v>
      </c>
      <c r="F5" s="306">
        <v>3.40000000000001</v>
      </c>
    </row>
    <row r="6" s="300" customFormat="1" ht="24.95" customHeight="1" spans="1:6">
      <c r="A6" s="249" t="s">
        <v>97</v>
      </c>
      <c r="B6" s="250" t="s">
        <v>11</v>
      </c>
      <c r="C6" s="305">
        <v>21.518088</v>
      </c>
      <c r="D6" s="306">
        <v>9.3</v>
      </c>
      <c r="E6" s="305">
        <v>3.856243</v>
      </c>
      <c r="F6" s="306">
        <v>-3.5</v>
      </c>
    </row>
    <row r="7" s="300" customFormat="1" ht="24.95" customHeight="1" spans="1:6">
      <c r="A7" s="249" t="s">
        <v>98</v>
      </c>
      <c r="B7" s="250" t="s">
        <v>11</v>
      </c>
      <c r="C7" s="305">
        <v>161.314782</v>
      </c>
      <c r="D7" s="306">
        <v>4.2</v>
      </c>
      <c r="E7" s="305">
        <v>46.877971</v>
      </c>
      <c r="F7" s="306">
        <v>3.8</v>
      </c>
    </row>
    <row r="8" s="300" customFormat="1" ht="24.95" customHeight="1" spans="1:6">
      <c r="A8" s="249" t="s">
        <v>99</v>
      </c>
      <c r="B8" s="250" t="s">
        <v>11</v>
      </c>
      <c r="C8" s="305">
        <v>274.58577</v>
      </c>
      <c r="D8" s="306">
        <v>4.1</v>
      </c>
      <c r="E8" s="305">
        <v>65.172107</v>
      </c>
      <c r="F8" s="306">
        <v>4.90000000000001</v>
      </c>
    </row>
    <row r="9" s="300" customFormat="1" ht="24.95" customHeight="1" spans="1:6">
      <c r="A9" s="249" t="s">
        <v>100</v>
      </c>
      <c r="B9" s="250" t="s">
        <v>11</v>
      </c>
      <c r="C9" s="305">
        <v>48.9535</v>
      </c>
      <c r="D9" s="306">
        <v>9.6</v>
      </c>
      <c r="E9" s="305">
        <v>9.7307</v>
      </c>
      <c r="F9" s="306">
        <v>8.2</v>
      </c>
    </row>
    <row r="10" s="300" customFormat="1" ht="24.95" customHeight="1" spans="1:6">
      <c r="A10" s="280" t="s">
        <v>101</v>
      </c>
      <c r="B10" s="250" t="s">
        <v>11</v>
      </c>
      <c r="C10" s="305">
        <v>703.37</v>
      </c>
      <c r="D10" s="306">
        <v>4.6</v>
      </c>
      <c r="E10" s="305">
        <v>130.31</v>
      </c>
      <c r="F10" s="306">
        <v>4.6</v>
      </c>
    </row>
    <row r="11" s="300" customFormat="1" ht="24.95" customHeight="1" spans="1:6">
      <c r="A11" s="249" t="s">
        <v>96</v>
      </c>
      <c r="B11" s="250" t="s">
        <v>11</v>
      </c>
      <c r="C11" s="305">
        <v>410.706123680599</v>
      </c>
      <c r="D11" s="306">
        <v>4.3</v>
      </c>
      <c r="E11" s="305">
        <v>64.9398752790367</v>
      </c>
      <c r="F11" s="306">
        <v>4.00000000000001</v>
      </c>
    </row>
    <row r="12" s="300" customFormat="1" ht="24.95" customHeight="1" spans="1:6">
      <c r="A12" s="249" t="s">
        <v>97</v>
      </c>
      <c r="B12" s="250" t="s">
        <v>11</v>
      </c>
      <c r="C12" s="305">
        <v>15.9869188189277</v>
      </c>
      <c r="D12" s="306">
        <v>9.2</v>
      </c>
      <c r="E12" s="305">
        <v>2.60411957946496</v>
      </c>
      <c r="F12" s="306">
        <v>-2.9</v>
      </c>
    </row>
    <row r="13" s="300" customFormat="1" ht="24.95" customHeight="1" spans="1:6">
      <c r="A13" s="249" t="s">
        <v>98</v>
      </c>
      <c r="B13" s="250" t="s">
        <v>11</v>
      </c>
      <c r="C13" s="305">
        <v>78.1338425069713</v>
      </c>
      <c r="D13" s="306">
        <v>4.1</v>
      </c>
      <c r="E13" s="305">
        <v>20.6295733414751</v>
      </c>
      <c r="F13" s="306">
        <v>4.4</v>
      </c>
    </row>
    <row r="14" s="300" customFormat="1" ht="24.95" customHeight="1" spans="1:6">
      <c r="A14" s="249" t="s">
        <v>99</v>
      </c>
      <c r="B14" s="250" t="s">
        <v>11</v>
      </c>
      <c r="C14" s="305">
        <v>178.325544782605</v>
      </c>
      <c r="D14" s="306">
        <v>4</v>
      </c>
      <c r="E14" s="305">
        <v>38.4827588059753</v>
      </c>
      <c r="F14" s="306">
        <v>5.50000000000001</v>
      </c>
    </row>
    <row r="15" s="300" customFormat="1" ht="24.95" customHeight="1" spans="1:6">
      <c r="A15" s="249" t="s">
        <v>100</v>
      </c>
      <c r="B15" s="250" t="s">
        <v>11</v>
      </c>
      <c r="C15" s="305">
        <v>20.2175702108967</v>
      </c>
      <c r="D15" s="306">
        <v>9.5</v>
      </c>
      <c r="E15" s="305">
        <v>3.65367299404793</v>
      </c>
      <c r="F15" s="306">
        <v>8.8</v>
      </c>
    </row>
    <row r="16" s="300" customFormat="1" ht="24.95" customHeight="1" spans="1:6">
      <c r="A16" s="249" t="s">
        <v>102</v>
      </c>
      <c r="B16" s="250"/>
      <c r="C16" s="305"/>
      <c r="D16" s="306"/>
      <c r="E16" s="305"/>
      <c r="F16" s="306"/>
    </row>
    <row r="17" s="300" customFormat="1" ht="24.95" customHeight="1" spans="1:6">
      <c r="A17" s="249" t="s">
        <v>103</v>
      </c>
      <c r="B17" s="250" t="s">
        <v>104</v>
      </c>
      <c r="C17" s="305">
        <v>154.6427</v>
      </c>
      <c r="D17" s="306">
        <v>1.8721245210829</v>
      </c>
      <c r="E17" s="307" t="s">
        <v>12</v>
      </c>
      <c r="F17" s="308" t="s">
        <v>12</v>
      </c>
    </row>
    <row r="18" s="300" customFormat="1" ht="24.95" customHeight="1" spans="1:6">
      <c r="A18" s="249" t="s">
        <v>105</v>
      </c>
      <c r="B18" s="250" t="s">
        <v>104</v>
      </c>
      <c r="C18" s="305">
        <v>127.0376</v>
      </c>
      <c r="D18" s="306">
        <v>0.330439617372406</v>
      </c>
      <c r="E18" s="307" t="s">
        <v>12</v>
      </c>
      <c r="F18" s="308" t="s">
        <v>12</v>
      </c>
    </row>
    <row r="19" s="300" customFormat="1" ht="24.95" customHeight="1" spans="1:6">
      <c r="A19" s="249" t="s">
        <v>106</v>
      </c>
      <c r="B19" s="250" t="s">
        <v>104</v>
      </c>
      <c r="C19" s="305">
        <v>453.9338</v>
      </c>
      <c r="D19" s="306">
        <v>3.2</v>
      </c>
      <c r="E19" s="305">
        <v>166.4</v>
      </c>
      <c r="F19" s="306">
        <v>3.9</v>
      </c>
    </row>
    <row r="20" s="300" customFormat="1" ht="24.95" customHeight="1" spans="1:6">
      <c r="A20" s="249" t="s">
        <v>107</v>
      </c>
      <c r="B20" s="250" t="s">
        <v>104</v>
      </c>
      <c r="C20" s="305">
        <v>328.9562</v>
      </c>
      <c r="D20" s="306">
        <v>3.5</v>
      </c>
      <c r="E20" s="305">
        <v>61.94</v>
      </c>
      <c r="F20" s="306">
        <v>1.4</v>
      </c>
    </row>
    <row r="21" s="300" customFormat="1" ht="24.95" customHeight="1" spans="1:6">
      <c r="A21" s="273" t="s">
        <v>108</v>
      </c>
      <c r="B21" s="274" t="s">
        <v>104</v>
      </c>
      <c r="C21" s="305">
        <v>129.7194</v>
      </c>
      <c r="D21" s="306">
        <v>-4.5</v>
      </c>
      <c r="E21" s="305">
        <v>21.01</v>
      </c>
      <c r="F21" s="306">
        <v>-12.9</v>
      </c>
    </row>
    <row r="22" s="300" customFormat="1" ht="24.95" customHeight="1" spans="1:6">
      <c r="A22" s="273" t="s">
        <v>109</v>
      </c>
      <c r="B22" s="274" t="s">
        <v>104</v>
      </c>
      <c r="C22" s="305">
        <v>116.195</v>
      </c>
      <c r="D22" s="306">
        <v>2</v>
      </c>
      <c r="E22" s="305">
        <v>30.11</v>
      </c>
      <c r="F22" s="306">
        <v>1.6</v>
      </c>
    </row>
    <row r="23" s="300" customFormat="1" ht="24.95" customHeight="1" spans="1:6">
      <c r="A23" s="273" t="s">
        <v>110</v>
      </c>
      <c r="B23" s="274" t="s">
        <v>111</v>
      </c>
      <c r="C23" s="305">
        <v>400.0092</v>
      </c>
      <c r="D23" s="306">
        <v>8.03990145907233</v>
      </c>
      <c r="E23" s="305">
        <v>118.58</v>
      </c>
      <c r="F23" s="306">
        <v>5.2</v>
      </c>
    </row>
    <row r="24" s="300" customFormat="1" ht="24.95" customHeight="1" spans="1:6">
      <c r="A24" s="273" t="s">
        <v>112</v>
      </c>
      <c r="B24" s="274" t="s">
        <v>113</v>
      </c>
      <c r="C24" s="305">
        <v>9278.5271</v>
      </c>
      <c r="D24" s="306">
        <v>1.05678392258083</v>
      </c>
      <c r="E24" s="305">
        <v>2598.91</v>
      </c>
      <c r="F24" s="306">
        <v>0.5</v>
      </c>
    </row>
    <row r="25" s="300" customFormat="1" ht="24.95" customHeight="1" spans="1:6">
      <c r="A25" s="273" t="s">
        <v>114</v>
      </c>
      <c r="B25" s="274" t="s">
        <v>104</v>
      </c>
      <c r="C25" s="305">
        <v>122.2</v>
      </c>
      <c r="D25" s="306">
        <v>1</v>
      </c>
      <c r="E25" s="305">
        <v>27.33</v>
      </c>
      <c r="F25" s="306">
        <v>2.7</v>
      </c>
    </row>
    <row r="26" s="300" customFormat="1" ht="24.95" customHeight="1" spans="1:6">
      <c r="A26" s="273" t="s">
        <v>115</v>
      </c>
      <c r="B26" s="274" t="s">
        <v>104</v>
      </c>
      <c r="C26" s="305">
        <v>103.81</v>
      </c>
      <c r="D26" s="306">
        <v>0.2</v>
      </c>
      <c r="E26" s="305">
        <v>23.06</v>
      </c>
      <c r="F26" s="306">
        <v>2.9</v>
      </c>
    </row>
    <row r="27" s="300" customFormat="1" ht="24.95" customHeight="1" spans="1:6">
      <c r="A27" s="275" t="s">
        <v>116</v>
      </c>
      <c r="B27" s="276" t="s">
        <v>104</v>
      </c>
      <c r="C27" s="309">
        <v>18.39</v>
      </c>
      <c r="D27" s="310">
        <v>5.7</v>
      </c>
      <c r="E27" s="309">
        <v>4.28</v>
      </c>
      <c r="F27" s="310">
        <v>1.2</v>
      </c>
    </row>
    <row r="28" ht="29" customHeight="1" spans="1:4">
      <c r="A28" s="311" t="s">
        <v>117</v>
      </c>
      <c r="B28" s="311"/>
      <c r="C28" s="311"/>
      <c r="D28" s="311"/>
    </row>
  </sheetData>
  <mergeCells count="6">
    <mergeCell ref="A1:F1"/>
    <mergeCell ref="C2:D2"/>
    <mergeCell ref="E2:F2"/>
    <mergeCell ref="A28:D28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K18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A1" sqref="A1:K1"/>
    </sheetView>
  </sheetViews>
  <sheetFormatPr defaultColWidth="9" defaultRowHeight="14.25"/>
  <cols>
    <col min="1" max="1" width="26.75" style="133" customWidth="1"/>
    <col min="2" max="3" width="10.375" style="133"/>
    <col min="4" max="4" width="11.625" style="133"/>
    <col min="5" max="6" width="10.375" style="133"/>
    <col min="7" max="7" width="9.25" style="133"/>
    <col min="8" max="8" width="10.375" style="133"/>
    <col min="9" max="9" width="9.25" style="133"/>
    <col min="10" max="10" width="10.375" style="133"/>
    <col min="11" max="11" width="9.25" style="133"/>
    <col min="12" max="187" width="9" style="133"/>
    <col min="188" max="16384" width="9" style="134"/>
  </cols>
  <sheetData>
    <row r="1" ht="28.5" customHeight="1" spans="1:11">
      <c r="A1" s="135" t="s">
        <v>76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ht="21" customHeight="1" spans="1:11">
      <c r="A2" s="278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</row>
    <row r="3" ht="21" customHeight="1" spans="1:11">
      <c r="A3" s="279"/>
      <c r="B3" s="140" t="s">
        <v>8</v>
      </c>
      <c r="C3" s="141" t="s">
        <v>9</v>
      </c>
      <c r="D3" s="140" t="s">
        <v>8</v>
      </c>
      <c r="E3" s="141" t="s">
        <v>9</v>
      </c>
      <c r="F3" s="140" t="s">
        <v>8</v>
      </c>
      <c r="G3" s="141" t="s">
        <v>9</v>
      </c>
      <c r="H3" s="140" t="s">
        <v>8</v>
      </c>
      <c r="I3" s="141" t="s">
        <v>9</v>
      </c>
      <c r="J3" s="140" t="s">
        <v>8</v>
      </c>
      <c r="K3" s="141" t="s">
        <v>9</v>
      </c>
    </row>
    <row r="4" ht="41.25" customHeight="1" spans="1:11">
      <c r="A4" s="207" t="s">
        <v>118</v>
      </c>
      <c r="B4" s="222">
        <v>1006.7434956825</v>
      </c>
      <c r="C4" s="200">
        <v>-1.7</v>
      </c>
      <c r="D4" s="222">
        <v>150.34</v>
      </c>
      <c r="E4" s="200">
        <v>-8</v>
      </c>
      <c r="F4" s="222">
        <v>232.208963465272</v>
      </c>
      <c r="G4" s="200">
        <v>-9.099999966</v>
      </c>
      <c r="H4" s="222">
        <v>313.98</v>
      </c>
      <c r="I4" s="200">
        <v>-6</v>
      </c>
      <c r="J4" s="222">
        <v>394.713608604548</v>
      </c>
      <c r="K4" s="200">
        <v>-4.5</v>
      </c>
    </row>
    <row r="5" ht="41.25" customHeight="1" spans="1:11">
      <c r="A5" s="148" t="s">
        <v>119</v>
      </c>
      <c r="B5" s="146">
        <v>140.2526</v>
      </c>
      <c r="C5" s="147">
        <v>-1.20800800800801</v>
      </c>
      <c r="D5" s="146">
        <v>23.3246418749766</v>
      </c>
      <c r="E5" s="147">
        <v>6.84750001198312</v>
      </c>
      <c r="F5" s="146">
        <v>36.536997558434</v>
      </c>
      <c r="G5" s="147">
        <v>5.31428573414129</v>
      </c>
      <c r="H5" s="146">
        <v>47.54</v>
      </c>
      <c r="I5" s="147">
        <v>3.8</v>
      </c>
      <c r="J5" s="146">
        <v>58.8818595836197</v>
      </c>
      <c r="K5" s="147">
        <v>1.9</v>
      </c>
    </row>
    <row r="6" ht="41.25" customHeight="1" spans="1:11">
      <c r="A6" s="148" t="s">
        <v>120</v>
      </c>
      <c r="B6" s="146">
        <v>866.4909</v>
      </c>
      <c r="C6" s="147">
        <v>-1.7983983983984</v>
      </c>
      <c r="D6" s="146">
        <v>127.019588301424</v>
      </c>
      <c r="E6" s="147">
        <v>-10.409638536</v>
      </c>
      <c r="F6" s="146">
        <v>195.671965906838</v>
      </c>
      <c r="G6" s="147">
        <v>-11.350537592</v>
      </c>
      <c r="H6" s="146">
        <v>266.44</v>
      </c>
      <c r="I6" s="147">
        <v>-7.5</v>
      </c>
      <c r="J6" s="146">
        <v>335.831749020928</v>
      </c>
      <c r="K6" s="147">
        <v>-5.5</v>
      </c>
    </row>
    <row r="7" ht="41.25" customHeight="1" spans="1:11">
      <c r="A7" s="148" t="s">
        <v>121</v>
      </c>
      <c r="B7" s="146">
        <v>0.688047328973915</v>
      </c>
      <c r="C7" s="147">
        <v>-12.819019019019</v>
      </c>
      <c r="D7" s="146">
        <v>0.0995642577252</v>
      </c>
      <c r="E7" s="147">
        <v>-12.6</v>
      </c>
      <c r="F7" s="146">
        <v>0.14820413529707</v>
      </c>
      <c r="G7" s="147">
        <v>-10.959139744</v>
      </c>
      <c r="H7" s="146">
        <v>0.2</v>
      </c>
      <c r="I7" s="147">
        <v>-9.1</v>
      </c>
      <c r="J7" s="146">
        <v>0.247558749959115</v>
      </c>
      <c r="K7" s="147">
        <v>-10.4</v>
      </c>
    </row>
    <row r="8" ht="41.25" customHeight="1" spans="1:11">
      <c r="A8" s="148" t="s">
        <v>122</v>
      </c>
      <c r="B8" s="143" t="s">
        <v>12</v>
      </c>
      <c r="C8" s="144" t="s">
        <v>12</v>
      </c>
      <c r="D8" s="143" t="s">
        <v>12</v>
      </c>
      <c r="E8" s="144" t="s">
        <v>12</v>
      </c>
      <c r="F8" s="143" t="s">
        <v>12</v>
      </c>
      <c r="G8" s="144" t="s">
        <v>12</v>
      </c>
      <c r="H8" s="143" t="s">
        <v>12</v>
      </c>
      <c r="I8" s="144" t="s">
        <v>12</v>
      </c>
      <c r="J8" s="143" t="s">
        <v>12</v>
      </c>
      <c r="K8" s="144" t="s">
        <v>12</v>
      </c>
    </row>
    <row r="9" ht="41.25" customHeight="1" spans="1:11">
      <c r="A9" s="148" t="s">
        <v>123</v>
      </c>
      <c r="B9" s="146">
        <v>373.997029521112</v>
      </c>
      <c r="C9" s="147">
        <v>10.6981981981982</v>
      </c>
      <c r="D9" s="146">
        <v>57.3922442984643</v>
      </c>
      <c r="E9" s="147">
        <v>-2.987951802</v>
      </c>
      <c r="F9" s="146">
        <v>90.1158139125585</v>
      </c>
      <c r="G9" s="147">
        <v>-3.718279556</v>
      </c>
      <c r="H9" s="146">
        <v>122.84</v>
      </c>
      <c r="I9" s="147">
        <v>-3.5</v>
      </c>
      <c r="J9" s="146">
        <v>155.671365369785</v>
      </c>
      <c r="K9" s="147">
        <v>-2.5</v>
      </c>
    </row>
    <row r="10" ht="41.25" customHeight="1" spans="1:11">
      <c r="A10" s="148" t="s">
        <v>124</v>
      </c>
      <c r="B10" s="146">
        <v>630.403357330475</v>
      </c>
      <c r="C10" s="147">
        <v>-9.67027027027028</v>
      </c>
      <c r="D10" s="146">
        <v>92.592493219132</v>
      </c>
      <c r="E10" s="147">
        <v>-11.08433733</v>
      </c>
      <c r="F10" s="146">
        <v>141.514291439154</v>
      </c>
      <c r="G10" s="147">
        <v>-12.329032212</v>
      </c>
      <c r="H10" s="146">
        <v>190.34</v>
      </c>
      <c r="I10" s="147">
        <v>-7.6</v>
      </c>
      <c r="J10" s="146">
        <v>238.033356796161</v>
      </c>
      <c r="K10" s="147">
        <v>-5.7</v>
      </c>
    </row>
    <row r="11" ht="41.25" customHeight="1" spans="1:11">
      <c r="A11" s="148" t="s">
        <v>125</v>
      </c>
      <c r="B11" s="146">
        <v>1.65506150193751</v>
      </c>
      <c r="C11" s="147">
        <v>-23.446046046046</v>
      </c>
      <c r="D11" s="146">
        <v>0.2599284010796</v>
      </c>
      <c r="E11" s="147">
        <v>-4.626506016</v>
      </c>
      <c r="F11" s="146">
        <v>0.430653978262515</v>
      </c>
      <c r="G11" s="147">
        <v>1.43076923611496</v>
      </c>
      <c r="H11" s="146">
        <v>0.59</v>
      </c>
      <c r="I11" s="147">
        <v>2.9</v>
      </c>
      <c r="J11" s="146">
        <v>0.76132768864278</v>
      </c>
      <c r="K11" s="147">
        <v>4.9</v>
      </c>
    </row>
    <row r="12" ht="41.25" customHeight="1" spans="1:11">
      <c r="A12" s="148" t="s">
        <v>126</v>
      </c>
      <c r="B12" s="146">
        <v>617.846885226217</v>
      </c>
      <c r="C12" s="147">
        <v>3.8103103103103</v>
      </c>
      <c r="D12" s="146">
        <v>91.8081633621888</v>
      </c>
      <c r="E12" s="147">
        <v>-5.108433726</v>
      </c>
      <c r="F12" s="146">
        <v>142.010570248383</v>
      </c>
      <c r="G12" s="147">
        <v>-6.555913954</v>
      </c>
      <c r="H12" s="146">
        <v>193.52</v>
      </c>
      <c r="I12" s="147">
        <v>-4.3</v>
      </c>
      <c r="J12" s="146">
        <v>244.133826820534</v>
      </c>
      <c r="K12" s="147">
        <v>-2.8</v>
      </c>
    </row>
    <row r="13" ht="41.25" customHeight="1" spans="1:11">
      <c r="A13" s="148" t="s">
        <v>127</v>
      </c>
      <c r="B13" s="146">
        <v>823.228098668855</v>
      </c>
      <c r="C13" s="147">
        <v>-1.57213142559912</v>
      </c>
      <c r="D13" s="146">
        <v>123.46</v>
      </c>
      <c r="E13" s="147">
        <v>-7.70056146512026</v>
      </c>
      <c r="F13" s="146">
        <v>189.8</v>
      </c>
      <c r="G13" s="147">
        <v>-9.5</v>
      </c>
      <c r="H13" s="146">
        <v>256.24</v>
      </c>
      <c r="I13" s="147">
        <v>-5.8</v>
      </c>
      <c r="J13" s="146">
        <v>321.207040371031</v>
      </c>
      <c r="K13" s="147">
        <v>-4.47724027571161</v>
      </c>
    </row>
    <row r="14" ht="41.25" customHeight="1" spans="1:11">
      <c r="A14" s="148" t="s">
        <v>128</v>
      </c>
      <c r="B14" s="146">
        <v>69.0567861143703</v>
      </c>
      <c r="C14" s="147">
        <v>-1.28532198530826</v>
      </c>
      <c r="D14" s="146">
        <v>9.99</v>
      </c>
      <c r="E14" s="147">
        <v>-4.68838210839766</v>
      </c>
      <c r="F14" s="146">
        <v>15.81</v>
      </c>
      <c r="G14" s="147">
        <v>-1.4</v>
      </c>
      <c r="H14" s="146">
        <v>21.25</v>
      </c>
      <c r="I14" s="147">
        <v>-1.1</v>
      </c>
      <c r="J14" s="146">
        <v>26.7988574899143</v>
      </c>
      <c r="K14" s="147">
        <v>-0.0167268809819774</v>
      </c>
    </row>
    <row r="15" ht="41.25" customHeight="1" spans="1:11">
      <c r="A15" s="148" t="s">
        <v>129</v>
      </c>
      <c r="B15" s="146">
        <v>106.819969624834</v>
      </c>
      <c r="C15" s="147">
        <v>-2.77972109879394</v>
      </c>
      <c r="D15" s="146">
        <v>15.75</v>
      </c>
      <c r="E15" s="147">
        <v>-11.5028235838917</v>
      </c>
      <c r="F15" s="146">
        <v>24.76</v>
      </c>
      <c r="G15" s="147">
        <v>-10</v>
      </c>
      <c r="H15" s="146">
        <v>34.05</v>
      </c>
      <c r="I15" s="147">
        <v>-9.8</v>
      </c>
      <c r="J15" s="146">
        <v>43.5979948661407</v>
      </c>
      <c r="K15" s="147">
        <v>-6.38025706240815</v>
      </c>
    </row>
    <row r="16" ht="41.25" customHeight="1" spans="1:11">
      <c r="A16" s="156" t="s">
        <v>130</v>
      </c>
      <c r="B16" s="164">
        <v>7.63868525255042</v>
      </c>
      <c r="C16" s="165">
        <v>-1.65041143255168</v>
      </c>
      <c r="D16" s="164">
        <v>1.14</v>
      </c>
      <c r="E16" s="165">
        <v>-16.3923907844389</v>
      </c>
      <c r="F16" s="164">
        <v>1.84</v>
      </c>
      <c r="G16" s="165">
        <v>-11.8</v>
      </c>
      <c r="H16" s="164">
        <v>2.44</v>
      </c>
      <c r="I16" s="165">
        <v>-12.4</v>
      </c>
      <c r="J16" s="164">
        <v>3.1097598920787</v>
      </c>
      <c r="K16" s="165">
        <v>-12.0337558217169</v>
      </c>
    </row>
    <row r="17" ht="41" customHeight="1" spans="1:1">
      <c r="A17" s="298"/>
    </row>
    <row r="18" spans="1:1">
      <c r="A18" s="298"/>
    </row>
  </sheetData>
  <mergeCells count="7">
    <mergeCell ref="A1:K1"/>
    <mergeCell ref="B2:C2"/>
    <mergeCell ref="D2:E2"/>
    <mergeCell ref="F2:G2"/>
    <mergeCell ref="H2:I2"/>
    <mergeCell ref="J2:K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K38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J15" sqref="J15"/>
    </sheetView>
  </sheetViews>
  <sheetFormatPr defaultColWidth="9" defaultRowHeight="14.25"/>
  <cols>
    <col min="1" max="1" width="26.25" style="133" customWidth="1"/>
    <col min="2" max="3" width="10.375" style="133"/>
    <col min="4" max="4" width="11.625" style="133"/>
    <col min="5" max="6" width="10.375" style="133"/>
    <col min="7" max="7" width="9.25" style="133"/>
    <col min="8" max="8" width="10.375" style="133"/>
    <col min="9" max="9" width="9.25" style="133"/>
    <col min="10" max="10" width="10.375" style="133"/>
    <col min="11" max="11" width="9.25" style="133"/>
    <col min="12" max="185" width="9" style="133"/>
    <col min="186" max="16384" width="9" style="134"/>
  </cols>
  <sheetData>
    <row r="1" ht="28.5" customHeight="1" spans="1:11">
      <c r="A1" s="135" t="s">
        <v>131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ht="21" customHeight="1" spans="1:11">
      <c r="A2" s="278" t="s">
        <v>1</v>
      </c>
      <c r="B2" s="137" t="s">
        <v>3</v>
      </c>
      <c r="C2" s="138"/>
      <c r="D2" s="137" t="s">
        <v>4</v>
      </c>
      <c r="E2" s="138"/>
      <c r="F2" s="137" t="s">
        <v>5</v>
      </c>
      <c r="G2" s="138"/>
      <c r="H2" s="137" t="s">
        <v>6</v>
      </c>
      <c r="I2" s="138"/>
      <c r="J2" s="137" t="s">
        <v>7</v>
      </c>
      <c r="K2" s="138"/>
    </row>
    <row r="3" ht="21" customHeight="1" spans="1:11">
      <c r="A3" s="279"/>
      <c r="B3" s="140" t="s">
        <v>8</v>
      </c>
      <c r="C3" s="141" t="s">
        <v>9</v>
      </c>
      <c r="D3" s="140" t="s">
        <v>8</v>
      </c>
      <c r="E3" s="141" t="s">
        <v>9</v>
      </c>
      <c r="F3" s="140" t="s">
        <v>8</v>
      </c>
      <c r="G3" s="141" t="s">
        <v>9</v>
      </c>
      <c r="H3" s="140" t="s">
        <v>8</v>
      </c>
      <c r="I3" s="141" t="s">
        <v>9</v>
      </c>
      <c r="J3" s="140" t="s">
        <v>8</v>
      </c>
      <c r="K3" s="141" t="s">
        <v>9</v>
      </c>
    </row>
    <row r="4" ht="24.75" customHeight="1" spans="1:11">
      <c r="A4" s="207" t="s">
        <v>132</v>
      </c>
      <c r="B4" s="222">
        <v>1006.7434956825</v>
      </c>
      <c r="C4" s="200">
        <v>-1.7</v>
      </c>
      <c r="D4" s="222">
        <v>150.344230176401</v>
      </c>
      <c r="E4" s="200">
        <v>-8</v>
      </c>
      <c r="F4" s="222">
        <v>232.208963465272</v>
      </c>
      <c r="G4" s="200">
        <v>-9.099999966</v>
      </c>
      <c r="H4" s="222">
        <v>313.98</v>
      </c>
      <c r="I4" s="200">
        <v>-6</v>
      </c>
      <c r="J4" s="222">
        <v>394.713608604548</v>
      </c>
      <c r="K4" s="200">
        <v>-4.5</v>
      </c>
    </row>
    <row r="5" ht="23.25" customHeight="1" spans="1:11">
      <c r="A5" s="153" t="s">
        <v>133</v>
      </c>
      <c r="B5" s="222">
        <v>245.319853404244</v>
      </c>
      <c r="C5" s="200">
        <v>-12.1121762092983</v>
      </c>
      <c r="D5" s="222">
        <v>37.4688615051583</v>
      </c>
      <c r="E5" s="200">
        <v>-12.6150490730644</v>
      </c>
      <c r="F5" s="222">
        <v>57.2640473666688</v>
      </c>
      <c r="G5" s="200">
        <v>-14.5</v>
      </c>
      <c r="H5" s="222">
        <v>75.62</v>
      </c>
      <c r="I5" s="200">
        <v>-8.7</v>
      </c>
      <c r="J5" s="222">
        <v>93.1695744168207</v>
      </c>
      <c r="K5" s="200">
        <v>-7.37116059358091</v>
      </c>
    </row>
    <row r="6" ht="21.75" customHeight="1" spans="1:11">
      <c r="A6" s="153" t="s">
        <v>134</v>
      </c>
      <c r="B6" s="222">
        <v>702.953805676984</v>
      </c>
      <c r="C6" s="200">
        <v>1.09013794981097</v>
      </c>
      <c r="D6" s="222">
        <v>104.395857660183</v>
      </c>
      <c r="E6" s="200">
        <v>-6.69574700109051</v>
      </c>
      <c r="F6" s="222">
        <v>161.073458783561</v>
      </c>
      <c r="G6" s="200">
        <v>-7.7</v>
      </c>
      <c r="H6" s="222">
        <v>218.54</v>
      </c>
      <c r="I6" s="200">
        <v>-5.9</v>
      </c>
      <c r="J6" s="222">
        <v>276.025501283616</v>
      </c>
      <c r="K6" s="200">
        <v>-4.31423713294663</v>
      </c>
    </row>
    <row r="7" ht="18" customHeight="1" spans="1:11">
      <c r="A7" s="148" t="s">
        <v>135</v>
      </c>
      <c r="B7" s="146">
        <v>35.8112863691456</v>
      </c>
      <c r="C7" s="147">
        <v>-5.24234234234235</v>
      </c>
      <c r="D7" s="146">
        <v>6.0308052888985</v>
      </c>
      <c r="E7" s="147">
        <v>0.726250001270937</v>
      </c>
      <c r="F7" s="146">
        <v>8.8</v>
      </c>
      <c r="G7" s="147">
        <v>-0.3</v>
      </c>
      <c r="H7" s="146">
        <v>11.2</v>
      </c>
      <c r="I7" s="147">
        <v>-1.93548388</v>
      </c>
      <c r="J7" s="146">
        <v>13.9516948244646</v>
      </c>
      <c r="K7" s="147">
        <v>-2.4</v>
      </c>
    </row>
    <row r="8" ht="18" customHeight="1" spans="1:11">
      <c r="A8" s="148" t="s">
        <v>136</v>
      </c>
      <c r="B8" s="146">
        <v>2.59515520685063</v>
      </c>
      <c r="C8" s="147">
        <v>-3.17597597597597</v>
      </c>
      <c r="D8" s="146">
        <v>0.2361207461406</v>
      </c>
      <c r="E8" s="147">
        <v>-21.975903576</v>
      </c>
      <c r="F8" s="146">
        <v>0.38</v>
      </c>
      <c r="G8" s="147">
        <v>-21.5</v>
      </c>
      <c r="H8" s="146">
        <v>0.53</v>
      </c>
      <c r="I8" s="147">
        <v>-19.548387188</v>
      </c>
      <c r="J8" s="146">
        <v>0.66116411225109</v>
      </c>
      <c r="K8" s="147">
        <v>-19.4</v>
      </c>
    </row>
    <row r="9" ht="18" customHeight="1" spans="1:11">
      <c r="A9" s="148" t="s">
        <v>137</v>
      </c>
      <c r="B9" s="146">
        <v>6.33603795014842</v>
      </c>
      <c r="C9" s="147">
        <v>-13.2126126126126</v>
      </c>
      <c r="D9" s="146">
        <v>0.6608045671011</v>
      </c>
      <c r="E9" s="147">
        <v>-42.89156619</v>
      </c>
      <c r="F9" s="146">
        <v>1.05</v>
      </c>
      <c r="G9" s="147">
        <v>-38.9</v>
      </c>
      <c r="H9" s="146">
        <v>1.46</v>
      </c>
      <c r="I9" s="147">
        <v>-35.032258228</v>
      </c>
      <c r="J9" s="146">
        <v>1.86749914764042</v>
      </c>
      <c r="K9" s="147">
        <v>-30.8</v>
      </c>
    </row>
    <row r="10" ht="18" customHeight="1" spans="1:11">
      <c r="A10" s="148" t="s">
        <v>138</v>
      </c>
      <c r="B10" s="146">
        <v>23.7978540324035</v>
      </c>
      <c r="C10" s="147">
        <v>2.03913913913914</v>
      </c>
      <c r="D10" s="146">
        <v>6.4169670150886</v>
      </c>
      <c r="E10" s="147">
        <v>79.8875001398031</v>
      </c>
      <c r="F10" s="146">
        <v>10.02</v>
      </c>
      <c r="G10" s="147">
        <v>40.4</v>
      </c>
      <c r="H10" s="146">
        <v>12.1</v>
      </c>
      <c r="I10" s="147">
        <v>28.82999986546</v>
      </c>
      <c r="J10" s="146">
        <v>14.3035271380036</v>
      </c>
      <c r="K10" s="147">
        <v>21</v>
      </c>
    </row>
    <row r="11" ht="18" customHeight="1" spans="1:11">
      <c r="A11" s="148" t="s">
        <v>139</v>
      </c>
      <c r="B11" s="146">
        <v>1.50675167294355</v>
      </c>
      <c r="C11" s="147">
        <v>-22.3636636636637</v>
      </c>
      <c r="D11" s="146">
        <v>0.1891677912092</v>
      </c>
      <c r="E11" s="147">
        <v>-8.963855406</v>
      </c>
      <c r="F11" s="146">
        <v>0.32</v>
      </c>
      <c r="G11" s="147">
        <v>-3.9</v>
      </c>
      <c r="H11" s="146">
        <v>0.44</v>
      </c>
      <c r="I11" s="147">
        <v>-0.096774194</v>
      </c>
      <c r="J11" s="146">
        <v>0.56914421823189</v>
      </c>
      <c r="K11" s="147">
        <v>0.3</v>
      </c>
    </row>
    <row r="12" ht="18" customHeight="1" spans="1:11">
      <c r="A12" s="148" t="s">
        <v>140</v>
      </c>
      <c r="B12" s="146">
        <v>0.689846522384244</v>
      </c>
      <c r="C12" s="147">
        <v>-18.9197197197197</v>
      </c>
      <c r="D12" s="146">
        <v>0.1121695171293</v>
      </c>
      <c r="E12" s="147">
        <v>33.0962500579184</v>
      </c>
      <c r="F12" s="146">
        <v>0.17</v>
      </c>
      <c r="G12" s="147">
        <v>24.1</v>
      </c>
      <c r="H12" s="146">
        <v>0.2</v>
      </c>
      <c r="I12" s="147">
        <v>7.95666662953556</v>
      </c>
      <c r="J12" s="146">
        <v>0.282394852694955</v>
      </c>
      <c r="K12" s="147">
        <v>11.9</v>
      </c>
    </row>
    <row r="13" ht="18" customHeight="1" spans="1:11">
      <c r="A13" s="148" t="s">
        <v>141</v>
      </c>
      <c r="B13" s="146">
        <v>2.55218859181255</v>
      </c>
      <c r="C13" s="147">
        <v>-17.738938938939</v>
      </c>
      <c r="D13" s="146">
        <v>0.3354134187992</v>
      </c>
      <c r="E13" s="147">
        <v>-15.325301178</v>
      </c>
      <c r="F13" s="146">
        <v>0.59</v>
      </c>
      <c r="G13" s="147">
        <v>-5.9</v>
      </c>
      <c r="H13" s="146">
        <v>0.86</v>
      </c>
      <c r="I13" s="147">
        <v>-4.548387118</v>
      </c>
      <c r="J13" s="146">
        <v>1.10695491919225</v>
      </c>
      <c r="K13" s="147">
        <v>-1.1</v>
      </c>
    </row>
    <row r="14" ht="18" customHeight="1" spans="1:11">
      <c r="A14" s="148" t="s">
        <v>142</v>
      </c>
      <c r="B14" s="146">
        <v>2.85832315856906</v>
      </c>
      <c r="C14" s="147">
        <v>-28.2675675675676</v>
      </c>
      <c r="D14" s="146">
        <v>0.348537425219</v>
      </c>
      <c r="E14" s="147">
        <v>-31.80722886</v>
      </c>
      <c r="F14" s="146">
        <v>0.44</v>
      </c>
      <c r="G14" s="147">
        <v>-45.6</v>
      </c>
      <c r="H14" s="146">
        <v>0.61</v>
      </c>
      <c r="I14" s="147">
        <v>-45.290322792</v>
      </c>
      <c r="J14" s="146">
        <v>0.80911778241168</v>
      </c>
      <c r="K14" s="147">
        <v>-43.4</v>
      </c>
    </row>
    <row r="15" ht="18" customHeight="1" spans="1:11">
      <c r="A15" s="148" t="s">
        <v>143</v>
      </c>
      <c r="B15" s="146">
        <v>1.18018878470083</v>
      </c>
      <c r="C15" s="147">
        <v>-33.7778778778779</v>
      </c>
      <c r="D15" s="146">
        <v>0.0573503645135</v>
      </c>
      <c r="E15" s="147">
        <v>-69.783132408</v>
      </c>
      <c r="F15" s="146">
        <v>0.1</v>
      </c>
      <c r="G15" s="147">
        <v>-61.6</v>
      </c>
      <c r="H15" s="146">
        <v>0.14</v>
      </c>
      <c r="I15" s="147">
        <v>-57.193548654</v>
      </c>
      <c r="J15" s="146">
        <v>0.20965433932002</v>
      </c>
      <c r="K15" s="147">
        <v>-55</v>
      </c>
    </row>
    <row r="16" ht="18" customHeight="1" spans="1:11">
      <c r="A16" s="148" t="s">
        <v>144</v>
      </c>
      <c r="B16" s="162">
        <v>35.3402856803128</v>
      </c>
      <c r="C16" s="163">
        <v>8.63183183183183</v>
      </c>
      <c r="D16" s="162">
        <v>4.8910819491917</v>
      </c>
      <c r="E16" s="163">
        <v>-9.927710826</v>
      </c>
      <c r="F16" s="162">
        <v>8.15</v>
      </c>
      <c r="G16" s="163">
        <v>0.3</v>
      </c>
      <c r="H16" s="162">
        <v>11.41</v>
      </c>
      <c r="I16" s="163">
        <v>8.16333329523778</v>
      </c>
      <c r="J16" s="162">
        <v>14.5158350697181</v>
      </c>
      <c r="K16" s="163">
        <v>6.2</v>
      </c>
    </row>
    <row r="17" ht="18" customHeight="1" spans="1:11">
      <c r="A17" s="148" t="s">
        <v>145</v>
      </c>
      <c r="B17" s="146">
        <v>5.65540337620837</v>
      </c>
      <c r="C17" s="147">
        <v>7.35265265265264</v>
      </c>
      <c r="D17" s="146">
        <v>0.7416089398122</v>
      </c>
      <c r="E17" s="147">
        <v>-7.518072276</v>
      </c>
      <c r="F17" s="146">
        <v>1.08</v>
      </c>
      <c r="G17" s="147">
        <v>-15.2</v>
      </c>
      <c r="H17" s="146">
        <v>1.46</v>
      </c>
      <c r="I17" s="147">
        <v>-20.32258074</v>
      </c>
      <c r="J17" s="146">
        <v>1.86681936632299</v>
      </c>
      <c r="K17" s="147">
        <v>-20.2</v>
      </c>
    </row>
    <row r="18" ht="18" customHeight="1" spans="1:11">
      <c r="A18" s="148" t="s">
        <v>146</v>
      </c>
      <c r="B18" s="146">
        <v>0.10791251296498</v>
      </c>
      <c r="C18" s="147">
        <v>0.0711711711711587</v>
      </c>
      <c r="D18" s="146">
        <v>0.0124372283557</v>
      </c>
      <c r="E18" s="147">
        <v>-0.289156626</v>
      </c>
      <c r="F18" s="146">
        <v>0.02</v>
      </c>
      <c r="G18" s="147">
        <v>4.8</v>
      </c>
      <c r="H18" s="146">
        <v>0.04</v>
      </c>
      <c r="I18" s="147">
        <v>40.8166664761889</v>
      </c>
      <c r="J18" s="146">
        <v>0.045676414017885</v>
      </c>
      <c r="K18" s="147">
        <v>35.2</v>
      </c>
    </row>
    <row r="19" ht="18" customHeight="1" spans="1:11">
      <c r="A19" s="148" t="s">
        <v>147</v>
      </c>
      <c r="B19" s="146">
        <v>351.241370732106</v>
      </c>
      <c r="C19" s="147">
        <v>-10.5558558558559</v>
      </c>
      <c r="D19" s="146">
        <v>50.5976958868257</v>
      </c>
      <c r="E19" s="147">
        <v>-13.397590338</v>
      </c>
      <c r="F19" s="146">
        <v>77.34</v>
      </c>
      <c r="G19" s="147">
        <v>-14.3</v>
      </c>
      <c r="H19" s="146">
        <v>106.31</v>
      </c>
      <c r="I19" s="147">
        <v>-9.6774194</v>
      </c>
      <c r="J19" s="146">
        <v>135.199410615821</v>
      </c>
      <c r="K19" s="147">
        <v>-5.1</v>
      </c>
    </row>
    <row r="20" ht="18" customHeight="1" spans="1:11">
      <c r="A20" s="148" t="s">
        <v>148</v>
      </c>
      <c r="B20" s="146">
        <v>43.3332937824424</v>
      </c>
      <c r="C20" s="147">
        <v>27.1307307307307</v>
      </c>
      <c r="D20" s="146">
        <v>6.3054188220685</v>
      </c>
      <c r="E20" s="147">
        <v>5.18750000907812</v>
      </c>
      <c r="F20" s="146">
        <v>9.64</v>
      </c>
      <c r="G20" s="147">
        <v>6.5</v>
      </c>
      <c r="H20" s="146">
        <v>12.78</v>
      </c>
      <c r="I20" s="147">
        <v>4.54666664544889</v>
      </c>
      <c r="J20" s="146">
        <v>15.830616254443</v>
      </c>
      <c r="K20" s="147">
        <v>-5.5</v>
      </c>
    </row>
    <row r="21" ht="18" customHeight="1" spans="1:11">
      <c r="A21" s="148" t="s">
        <v>149</v>
      </c>
      <c r="B21" s="146">
        <v>11.1317953150656</v>
      </c>
      <c r="C21" s="147">
        <v>9.41901901901902</v>
      </c>
      <c r="D21" s="146">
        <v>1.6193445211718</v>
      </c>
      <c r="E21" s="147">
        <v>-0.096385542</v>
      </c>
      <c r="F21" s="146">
        <v>2.65</v>
      </c>
      <c r="G21" s="147">
        <v>5.5</v>
      </c>
      <c r="H21" s="146">
        <v>3.31</v>
      </c>
      <c r="I21" s="147">
        <v>3.20333331838444</v>
      </c>
      <c r="J21" s="146">
        <v>3.95822869889706</v>
      </c>
      <c r="K21" s="147">
        <v>-3.3</v>
      </c>
    </row>
    <row r="22" ht="18" customHeight="1" spans="1:11">
      <c r="A22" s="148" t="s">
        <v>150</v>
      </c>
      <c r="B22" s="146">
        <v>3.54814818054319</v>
      </c>
      <c r="C22" s="147">
        <v>-18.1325325325325</v>
      </c>
      <c r="D22" s="146">
        <v>0.3661875237739</v>
      </c>
      <c r="E22" s="147">
        <v>-17.734939728</v>
      </c>
      <c r="F22" s="146">
        <v>0.66</v>
      </c>
      <c r="G22" s="147">
        <v>-9.9</v>
      </c>
      <c r="H22" s="146">
        <v>0.84</v>
      </c>
      <c r="I22" s="147">
        <v>-22.451613008</v>
      </c>
      <c r="J22" s="146">
        <v>1.04839982804267</v>
      </c>
      <c r="K22" s="147">
        <v>-27.3</v>
      </c>
    </row>
    <row r="23" ht="18" customHeight="1" spans="1:11">
      <c r="A23" s="148" t="s">
        <v>151</v>
      </c>
      <c r="B23" s="146">
        <v>19.6614272668735</v>
      </c>
      <c r="C23" s="147">
        <v>-4.15995995995996</v>
      </c>
      <c r="D23" s="146">
        <v>2.4632609232668</v>
      </c>
      <c r="E23" s="147">
        <v>-9.15662649</v>
      </c>
      <c r="F23" s="146">
        <v>4.16</v>
      </c>
      <c r="G23" s="147">
        <v>0.7</v>
      </c>
      <c r="H23" s="146">
        <v>5.78</v>
      </c>
      <c r="I23" s="147">
        <v>-1.838709686</v>
      </c>
      <c r="J23" s="146">
        <v>7.38348537047016</v>
      </c>
      <c r="K23" s="147">
        <v>-1.3</v>
      </c>
    </row>
    <row r="24" ht="18" customHeight="1" spans="1:11">
      <c r="A24" s="148" t="s">
        <v>152</v>
      </c>
      <c r="B24" s="146">
        <v>131.07558888906</v>
      </c>
      <c r="C24" s="147">
        <v>28.1147147147147</v>
      </c>
      <c r="D24" s="146">
        <v>19.4325484701344</v>
      </c>
      <c r="E24" s="147">
        <v>-5.590361436</v>
      </c>
      <c r="F24" s="146">
        <v>29.73</v>
      </c>
      <c r="G24" s="147">
        <v>-9</v>
      </c>
      <c r="H24" s="146">
        <v>41.09</v>
      </c>
      <c r="I24" s="147">
        <v>-8.322580684</v>
      </c>
      <c r="J24" s="146">
        <v>52.2356728548496</v>
      </c>
      <c r="K24" s="147">
        <v>-7.7</v>
      </c>
    </row>
    <row r="25" ht="18" customHeight="1" spans="1:11">
      <c r="A25" s="148" t="s">
        <v>153</v>
      </c>
      <c r="B25" s="146">
        <v>0.088486892423367</v>
      </c>
      <c r="C25" s="147">
        <v>83.8082082082082</v>
      </c>
      <c r="D25" s="146">
        <v>0.0093374462826</v>
      </c>
      <c r="E25" s="147">
        <v>-30.457831272</v>
      </c>
      <c r="F25" s="146">
        <v>0.02</v>
      </c>
      <c r="G25" s="147">
        <v>-29</v>
      </c>
      <c r="H25" s="146">
        <v>0.02</v>
      </c>
      <c r="I25" s="147">
        <v>-30.193548528</v>
      </c>
      <c r="J25" s="146">
        <v>0.028418771478825</v>
      </c>
      <c r="K25" s="147">
        <v>-33.6</v>
      </c>
    </row>
    <row r="26" ht="18" customHeight="1" spans="1:11">
      <c r="A26" s="148" t="s">
        <v>154</v>
      </c>
      <c r="B26" s="146">
        <v>1.71414560623314</v>
      </c>
      <c r="C26" s="147">
        <v>-21.9700700700701</v>
      </c>
      <c r="D26" s="146">
        <v>0.2391286972919</v>
      </c>
      <c r="E26" s="147">
        <v>-11.951807208</v>
      </c>
      <c r="F26" s="146">
        <v>0.39</v>
      </c>
      <c r="G26" s="147">
        <v>-6.6</v>
      </c>
      <c r="H26" s="146">
        <v>0.52</v>
      </c>
      <c r="I26" s="147">
        <v>-11.032258116</v>
      </c>
      <c r="J26" s="146">
        <v>0.700821282776265</v>
      </c>
      <c r="K26" s="147">
        <v>0.3</v>
      </c>
    </row>
    <row r="27" ht="18" customHeight="1" spans="1:11">
      <c r="A27" s="148" t="s">
        <v>155</v>
      </c>
      <c r="B27" s="146">
        <v>1.42097480948642</v>
      </c>
      <c r="C27" s="147">
        <v>-19.8053053053053</v>
      </c>
      <c r="D27" s="146">
        <v>0.1605526898215</v>
      </c>
      <c r="E27" s="147">
        <v>-39.132530052</v>
      </c>
      <c r="F27" s="146">
        <v>0.25</v>
      </c>
      <c r="G27" s="147">
        <v>-36.6</v>
      </c>
      <c r="H27" s="146">
        <v>0.36</v>
      </c>
      <c r="I27" s="147">
        <v>-32.322580796</v>
      </c>
      <c r="J27" s="146">
        <v>0.465881034653265</v>
      </c>
      <c r="K27" s="147">
        <v>-31.4</v>
      </c>
    </row>
    <row r="28" ht="18" customHeight="1" spans="1:11">
      <c r="A28" s="148" t="s">
        <v>156</v>
      </c>
      <c r="B28" s="146">
        <v>1.53665776612632</v>
      </c>
      <c r="C28" s="147">
        <v>-14.1965965965966</v>
      </c>
      <c r="D28" s="146">
        <v>0.2620248814858</v>
      </c>
      <c r="E28" s="147">
        <v>-9.15662649</v>
      </c>
      <c r="F28" s="146">
        <v>0.32</v>
      </c>
      <c r="G28" s="147">
        <v>-24.7</v>
      </c>
      <c r="H28" s="146">
        <v>0.44</v>
      </c>
      <c r="I28" s="147">
        <v>-21.677419456</v>
      </c>
      <c r="J28" s="146">
        <v>0.57987009150798</v>
      </c>
      <c r="K28" s="147">
        <v>-18.9</v>
      </c>
    </row>
    <row r="29" ht="18" customHeight="1" spans="1:11">
      <c r="A29" s="148" t="s">
        <v>157</v>
      </c>
      <c r="B29" s="146">
        <v>2.9713156320701</v>
      </c>
      <c r="C29" s="147">
        <v>11.4853853853854</v>
      </c>
      <c r="D29" s="146">
        <v>0.387028258399</v>
      </c>
      <c r="E29" s="147">
        <v>-32.578313196</v>
      </c>
      <c r="F29" s="146">
        <v>0.64</v>
      </c>
      <c r="G29" s="147">
        <v>-26</v>
      </c>
      <c r="H29" s="146">
        <v>0.84</v>
      </c>
      <c r="I29" s="147">
        <v>-21.000000098</v>
      </c>
      <c r="J29" s="146">
        <v>1.02181304276173</v>
      </c>
      <c r="K29" s="147">
        <v>-18.2</v>
      </c>
    </row>
    <row r="30" ht="18" customHeight="1" spans="1:11">
      <c r="A30" s="148" t="s">
        <v>158</v>
      </c>
      <c r="B30" s="146">
        <v>0.336001568284521</v>
      </c>
      <c r="C30" s="147">
        <v>-10.6542542542543</v>
      </c>
      <c r="D30" s="146">
        <v>0.0455579064598</v>
      </c>
      <c r="E30" s="147">
        <v>-9.542168658</v>
      </c>
      <c r="F30" s="146">
        <v>0.07</v>
      </c>
      <c r="G30" s="147">
        <v>-8.9</v>
      </c>
      <c r="H30" s="146">
        <v>0.1</v>
      </c>
      <c r="I30" s="147">
        <v>-2.90322582</v>
      </c>
      <c r="J30" s="146">
        <v>0.13096011532758</v>
      </c>
      <c r="K30" s="147">
        <v>1.4</v>
      </c>
    </row>
    <row r="31" ht="18" customHeight="1" spans="1:11">
      <c r="A31" s="148" t="s">
        <v>159</v>
      </c>
      <c r="B31" s="146">
        <v>8.12483395760263</v>
      </c>
      <c r="C31" s="147">
        <v>-11.7366366366366</v>
      </c>
      <c r="D31" s="146">
        <v>1.1576567464247</v>
      </c>
      <c r="E31" s="147">
        <v>-3.084337344</v>
      </c>
      <c r="F31" s="146">
        <v>1.92</v>
      </c>
      <c r="G31" s="147">
        <v>-2.4</v>
      </c>
      <c r="H31" s="146">
        <v>2.69</v>
      </c>
      <c r="I31" s="147">
        <v>-3.677419372</v>
      </c>
      <c r="J31" s="146">
        <v>3.43061471769807</v>
      </c>
      <c r="K31" s="147">
        <v>-0.3</v>
      </c>
    </row>
    <row r="32" ht="18" customHeight="1" spans="1:11">
      <c r="A32" s="148" t="s">
        <v>160</v>
      </c>
      <c r="B32" s="146">
        <v>0.442779445970092</v>
      </c>
      <c r="C32" s="147">
        <v>-25.2172172172172</v>
      </c>
      <c r="D32" s="146">
        <v>0.0521013481004</v>
      </c>
      <c r="E32" s="147">
        <v>23.24000004067</v>
      </c>
      <c r="F32" s="146">
        <v>0.08</v>
      </c>
      <c r="G32" s="147">
        <v>-2.7</v>
      </c>
      <c r="H32" s="146">
        <v>0.11</v>
      </c>
      <c r="I32" s="147">
        <v>-15.774193622</v>
      </c>
      <c r="J32" s="146">
        <v>0.145462442800185</v>
      </c>
      <c r="K32" s="147">
        <v>-13.9</v>
      </c>
    </row>
    <row r="33" ht="27.75" customHeight="1" spans="1:11">
      <c r="A33" s="153" t="s">
        <v>161</v>
      </c>
      <c r="B33" s="222">
        <v>58.4698366012704</v>
      </c>
      <c r="C33" s="200">
        <v>7.25425425425425</v>
      </c>
      <c r="D33" s="222">
        <v>8.47951101106</v>
      </c>
      <c r="E33" s="200">
        <v>-3.38495092693567</v>
      </c>
      <c r="F33" s="222">
        <v>13.87</v>
      </c>
      <c r="G33" s="200">
        <v>1.3</v>
      </c>
      <c r="H33" s="222">
        <v>19.82</v>
      </c>
      <c r="I33" s="200">
        <v>4.6</v>
      </c>
      <c r="J33" s="222">
        <v>25.5185329041107</v>
      </c>
      <c r="K33" s="200">
        <v>7.02283919241076</v>
      </c>
    </row>
    <row r="34" ht="18" customHeight="1" spans="1:11">
      <c r="A34" s="148" t="s">
        <v>162</v>
      </c>
      <c r="B34" s="146">
        <v>52.055197060896</v>
      </c>
      <c r="C34" s="147">
        <v>6.66386386386387</v>
      </c>
      <c r="D34" s="146">
        <v>7.3773113490802</v>
      </c>
      <c r="E34" s="147">
        <v>-4.433734932</v>
      </c>
      <c r="F34" s="146">
        <v>12.26</v>
      </c>
      <c r="G34" s="147">
        <v>-0.3</v>
      </c>
      <c r="H34" s="146">
        <v>17.68</v>
      </c>
      <c r="I34" s="147">
        <v>4.3</v>
      </c>
      <c r="J34" s="146">
        <v>22.8506866202073</v>
      </c>
      <c r="K34" s="147">
        <v>7.9</v>
      </c>
    </row>
    <row r="35" ht="18" customHeight="1" spans="1:11">
      <c r="A35" s="148" t="s">
        <v>163</v>
      </c>
      <c r="B35" s="146">
        <v>2.30168340436225</v>
      </c>
      <c r="C35" s="147">
        <v>15.0277277277277</v>
      </c>
      <c r="D35" s="146">
        <v>0.4026443997285</v>
      </c>
      <c r="E35" s="147">
        <v>-5.493975894</v>
      </c>
      <c r="F35" s="146">
        <v>0.58</v>
      </c>
      <c r="G35" s="147">
        <v>21.4</v>
      </c>
      <c r="H35" s="146">
        <v>0.71</v>
      </c>
      <c r="I35" s="147">
        <v>9.2</v>
      </c>
      <c r="J35" s="146">
        <v>0.864172244302185</v>
      </c>
      <c r="K35" s="147">
        <v>-5.8</v>
      </c>
    </row>
    <row r="36" ht="18" customHeight="1" spans="1:11">
      <c r="A36" s="156" t="s">
        <v>164</v>
      </c>
      <c r="B36" s="164">
        <v>4.11295613601209</v>
      </c>
      <c r="C36" s="165">
        <v>10.403003003003</v>
      </c>
      <c r="D36" s="164">
        <v>0.6995552622513</v>
      </c>
      <c r="E36" s="165">
        <v>7.67750001343563</v>
      </c>
      <c r="F36" s="164">
        <v>1.03</v>
      </c>
      <c r="G36" s="165">
        <v>8.8</v>
      </c>
      <c r="H36" s="164">
        <v>1.43</v>
      </c>
      <c r="I36" s="165">
        <v>4.8</v>
      </c>
      <c r="J36" s="164">
        <v>1.80367403960121</v>
      </c>
      <c r="K36" s="165">
        <v>4.3</v>
      </c>
    </row>
    <row r="37" ht="44" customHeight="1" spans="1:5">
      <c r="A37" s="297"/>
      <c r="B37" s="297"/>
      <c r="C37" s="297"/>
      <c r="D37" s="297"/>
      <c r="E37" s="297"/>
    </row>
    <row r="38" ht="41" customHeight="1"/>
  </sheetData>
  <mergeCells count="8">
    <mergeCell ref="A1:K1"/>
    <mergeCell ref="B2:C2"/>
    <mergeCell ref="D2:E2"/>
    <mergeCell ref="F2:G2"/>
    <mergeCell ref="H2:I2"/>
    <mergeCell ref="J2:K2"/>
    <mergeCell ref="A37:E37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J21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H6" sqref="H6"/>
    </sheetView>
  </sheetViews>
  <sheetFormatPr defaultColWidth="9" defaultRowHeight="14.25"/>
  <cols>
    <col min="1" max="1" width="17.025" style="133" customWidth="1"/>
    <col min="2" max="2" width="7.625" style="133" customWidth="1"/>
    <col min="3" max="3" width="10.375" style="133"/>
    <col min="4" max="4" width="9.375" style="133"/>
    <col min="5" max="5" width="10.375" style="133"/>
    <col min="6" max="6" width="9.375" style="133"/>
    <col min="7" max="7" width="10.375" style="133"/>
    <col min="8" max="8" width="9.375" style="133"/>
    <col min="9" max="9" width="10.375" style="133"/>
    <col min="10" max="10" width="9.375" style="133"/>
    <col min="11" max="16384" width="9" style="133"/>
  </cols>
  <sheetData>
    <row r="1" ht="28.5" customHeight="1" spans="1:10">
      <c r="A1" s="135" t="s">
        <v>165</v>
      </c>
      <c r="B1" s="135"/>
      <c r="C1" s="135"/>
      <c r="D1" s="135"/>
      <c r="E1" s="135"/>
      <c r="F1" s="135"/>
      <c r="G1" s="135"/>
      <c r="H1" s="135"/>
      <c r="I1" s="135"/>
      <c r="J1" s="135"/>
    </row>
    <row r="2" ht="21" customHeight="1" spans="1:10">
      <c r="A2" s="287" t="s">
        <v>166</v>
      </c>
      <c r="B2" s="288" t="s">
        <v>2</v>
      </c>
      <c r="C2" s="137" t="s">
        <v>3</v>
      </c>
      <c r="D2" s="138"/>
      <c r="E2" s="137" t="s">
        <v>4</v>
      </c>
      <c r="F2" s="138"/>
      <c r="G2" s="137" t="s">
        <v>5</v>
      </c>
      <c r="H2" s="138"/>
      <c r="I2" s="137" t="s">
        <v>6</v>
      </c>
      <c r="J2" s="138"/>
    </row>
    <row r="3" ht="21" customHeight="1" spans="1:10">
      <c r="A3" s="295"/>
      <c r="B3" s="296"/>
      <c r="C3" s="140" t="s">
        <v>8</v>
      </c>
      <c r="D3" s="141" t="s">
        <v>9</v>
      </c>
      <c r="E3" s="140" t="s">
        <v>8</v>
      </c>
      <c r="F3" s="141" t="s">
        <v>9</v>
      </c>
      <c r="G3" s="140" t="s">
        <v>8</v>
      </c>
      <c r="H3" s="141" t="s">
        <v>9</v>
      </c>
      <c r="I3" s="140" t="s">
        <v>8</v>
      </c>
      <c r="J3" s="141" t="s">
        <v>9</v>
      </c>
    </row>
    <row r="4" ht="39" customHeight="1" spans="1:10">
      <c r="A4" s="289" t="s">
        <v>167</v>
      </c>
      <c r="B4" s="290" t="s">
        <v>168</v>
      </c>
      <c r="C4" s="254">
        <v>792</v>
      </c>
      <c r="D4" s="147">
        <v>3</v>
      </c>
      <c r="E4" s="254">
        <v>815</v>
      </c>
      <c r="F4" s="147">
        <v>4.2</v>
      </c>
      <c r="G4" s="254">
        <v>815</v>
      </c>
      <c r="H4" s="147">
        <v>4.2</v>
      </c>
      <c r="I4" s="254">
        <v>815</v>
      </c>
      <c r="J4" s="147">
        <v>4.1</v>
      </c>
    </row>
    <row r="5" ht="39" customHeight="1" spans="1:10">
      <c r="A5" s="148" t="s">
        <v>169</v>
      </c>
      <c r="B5" s="292" t="s">
        <v>168</v>
      </c>
      <c r="C5" s="254">
        <v>230</v>
      </c>
      <c r="D5" s="147">
        <v>29.2</v>
      </c>
      <c r="E5" s="254">
        <v>336</v>
      </c>
      <c r="F5" s="147">
        <v>6.7</v>
      </c>
      <c r="G5" s="254">
        <v>346</v>
      </c>
      <c r="H5" s="147">
        <v>10.2</v>
      </c>
      <c r="I5" s="254">
        <v>321</v>
      </c>
      <c r="J5" s="147">
        <v>15.9</v>
      </c>
    </row>
    <row r="6" ht="39" customHeight="1" spans="1:10">
      <c r="A6" s="148" t="s">
        <v>170</v>
      </c>
      <c r="B6" s="292" t="s">
        <v>11</v>
      </c>
      <c r="C6" s="146">
        <v>37.01</v>
      </c>
      <c r="D6" s="147">
        <v>23.5</v>
      </c>
      <c r="E6" s="146">
        <v>8.04</v>
      </c>
      <c r="F6" s="147">
        <v>18.8</v>
      </c>
      <c r="G6" s="146">
        <v>11.82</v>
      </c>
      <c r="H6" s="147">
        <v>-1.6</v>
      </c>
      <c r="I6" s="146">
        <v>14.59</v>
      </c>
      <c r="J6" s="147">
        <v>-5.1</v>
      </c>
    </row>
    <row r="7" ht="39" customHeight="1" spans="1:10">
      <c r="A7" s="148" t="s">
        <v>171</v>
      </c>
      <c r="B7" s="292" t="s">
        <v>11</v>
      </c>
      <c r="C7" s="146">
        <v>1385.76</v>
      </c>
      <c r="D7" s="147">
        <v>11.5</v>
      </c>
      <c r="E7" s="146">
        <v>1432.65</v>
      </c>
      <c r="F7" s="147">
        <v>9.6</v>
      </c>
      <c r="G7" s="146">
        <v>1418.3</v>
      </c>
      <c r="H7" s="147">
        <v>2.4</v>
      </c>
      <c r="I7" s="146">
        <v>1432.02</v>
      </c>
      <c r="J7" s="147">
        <v>0.9</v>
      </c>
    </row>
    <row r="8" ht="39" customHeight="1" spans="1:10">
      <c r="A8" s="148" t="s">
        <v>172</v>
      </c>
      <c r="B8" s="292" t="s">
        <v>11</v>
      </c>
      <c r="C8" s="146">
        <v>3937.11</v>
      </c>
      <c r="D8" s="147">
        <v>3.8</v>
      </c>
      <c r="E8" s="146">
        <v>4082.34</v>
      </c>
      <c r="F8" s="147">
        <v>4.1</v>
      </c>
      <c r="G8" s="146">
        <v>4066.81</v>
      </c>
      <c r="H8" s="147">
        <v>0.6</v>
      </c>
      <c r="I8" s="146">
        <v>4105.69</v>
      </c>
      <c r="J8" s="147">
        <v>1.6</v>
      </c>
    </row>
    <row r="9" ht="39" customHeight="1" spans="1:10">
      <c r="A9" s="148" t="s">
        <v>173</v>
      </c>
      <c r="B9" s="292" t="s">
        <v>11</v>
      </c>
      <c r="C9" s="146">
        <v>2655.09</v>
      </c>
      <c r="D9" s="147">
        <v>3.4</v>
      </c>
      <c r="E9" s="146">
        <v>2654.38</v>
      </c>
      <c r="F9" s="147">
        <v>2.3</v>
      </c>
      <c r="G9" s="146">
        <v>2632.22</v>
      </c>
      <c r="H9" s="147">
        <v>-0.9</v>
      </c>
      <c r="I9" s="146">
        <v>2638.86</v>
      </c>
      <c r="J9" s="147">
        <v>-0.7</v>
      </c>
    </row>
    <row r="10" ht="39" customHeight="1" spans="1:10">
      <c r="A10" s="148" t="s">
        <v>174</v>
      </c>
      <c r="B10" s="292" t="s">
        <v>11</v>
      </c>
      <c r="C10" s="146">
        <v>3513.87</v>
      </c>
      <c r="D10" s="147">
        <v>12.7</v>
      </c>
      <c r="E10" s="146">
        <v>505.46</v>
      </c>
      <c r="F10" s="147">
        <v>-1</v>
      </c>
      <c r="G10" s="146">
        <v>788.68</v>
      </c>
      <c r="H10" s="147">
        <v>-4</v>
      </c>
      <c r="I10" s="146">
        <v>1070.67</v>
      </c>
      <c r="J10" s="147">
        <v>-3.2</v>
      </c>
    </row>
    <row r="11" ht="39" customHeight="1" spans="1:10">
      <c r="A11" s="148" t="s">
        <v>175</v>
      </c>
      <c r="B11" s="292" t="s">
        <v>11</v>
      </c>
      <c r="C11" s="146">
        <v>2964.36</v>
      </c>
      <c r="D11" s="147">
        <v>18.6</v>
      </c>
      <c r="E11" s="146">
        <v>425.63</v>
      </c>
      <c r="F11" s="147">
        <v>3.4</v>
      </c>
      <c r="G11" s="146">
        <v>667.84</v>
      </c>
      <c r="H11" s="147">
        <v>1.7</v>
      </c>
      <c r="I11" s="146">
        <v>905.15</v>
      </c>
      <c r="J11" s="147">
        <v>1.3</v>
      </c>
    </row>
    <row r="12" ht="39" customHeight="1" spans="1:10">
      <c r="A12" s="148" t="s">
        <v>176</v>
      </c>
      <c r="B12" s="292" t="s">
        <v>11</v>
      </c>
      <c r="C12" s="146">
        <v>33.15</v>
      </c>
      <c r="D12" s="147">
        <v>0.8</v>
      </c>
      <c r="E12" s="146">
        <v>4.64</v>
      </c>
      <c r="F12" s="147">
        <v>-1.5</v>
      </c>
      <c r="G12" s="146">
        <v>7.4</v>
      </c>
      <c r="H12" s="147">
        <v>-1.7</v>
      </c>
      <c r="I12" s="146">
        <v>10.11</v>
      </c>
      <c r="J12" s="147">
        <v>0</v>
      </c>
    </row>
    <row r="13" ht="39" customHeight="1" spans="1:10">
      <c r="A13" s="148" t="s">
        <v>177</v>
      </c>
      <c r="B13" s="292" t="s">
        <v>11</v>
      </c>
      <c r="C13" s="146">
        <v>60.73</v>
      </c>
      <c r="D13" s="147">
        <v>9.9</v>
      </c>
      <c r="E13" s="146">
        <v>9.68</v>
      </c>
      <c r="F13" s="147">
        <v>2.1</v>
      </c>
      <c r="G13" s="146">
        <v>15.35</v>
      </c>
      <c r="H13" s="147">
        <v>7</v>
      </c>
      <c r="I13" s="146">
        <v>21.39</v>
      </c>
      <c r="J13" s="147">
        <v>12</v>
      </c>
    </row>
    <row r="14" ht="39" customHeight="1" spans="1:10">
      <c r="A14" s="148" t="s">
        <v>178</v>
      </c>
      <c r="B14" s="292" t="s">
        <v>11</v>
      </c>
      <c r="C14" s="146">
        <v>45.43</v>
      </c>
      <c r="D14" s="147">
        <v>12.5</v>
      </c>
      <c r="E14" s="146">
        <v>6.63</v>
      </c>
      <c r="F14" s="147">
        <v>1.5</v>
      </c>
      <c r="G14" s="146">
        <v>10.06</v>
      </c>
      <c r="H14" s="147">
        <v>-5.5</v>
      </c>
      <c r="I14" s="146">
        <v>13.39</v>
      </c>
      <c r="J14" s="147">
        <v>-11</v>
      </c>
    </row>
    <row r="15" ht="39" customHeight="1" spans="1:10">
      <c r="A15" s="148" t="s">
        <v>179</v>
      </c>
      <c r="B15" s="292" t="s">
        <v>11</v>
      </c>
      <c r="C15" s="146">
        <v>178.47</v>
      </c>
      <c r="D15" s="147">
        <v>-26.4</v>
      </c>
      <c r="E15" s="146">
        <v>22.01</v>
      </c>
      <c r="F15" s="147">
        <v>-46.1</v>
      </c>
      <c r="G15" s="146">
        <v>34</v>
      </c>
      <c r="H15" s="147">
        <v>-53.2</v>
      </c>
      <c r="I15" s="146">
        <v>47.84</v>
      </c>
      <c r="J15" s="147">
        <v>-47.4</v>
      </c>
    </row>
    <row r="16" ht="39" customHeight="1" spans="1:10">
      <c r="A16" s="148" t="s">
        <v>180</v>
      </c>
      <c r="B16" s="292" t="s">
        <v>11</v>
      </c>
      <c r="C16" s="162">
        <v>209</v>
      </c>
      <c r="D16" s="163">
        <v>-4.6</v>
      </c>
      <c r="E16" s="162">
        <v>34.45</v>
      </c>
      <c r="F16" s="163">
        <v>-2.9</v>
      </c>
      <c r="G16" s="162">
        <v>52.37</v>
      </c>
      <c r="H16" s="163">
        <v>-6.5</v>
      </c>
      <c r="I16" s="162">
        <v>70.11</v>
      </c>
      <c r="J16" s="163">
        <v>-4</v>
      </c>
    </row>
    <row r="17" ht="39" customHeight="1" spans="1:10">
      <c r="A17" s="148" t="s">
        <v>181</v>
      </c>
      <c r="B17" s="292" t="s">
        <v>11</v>
      </c>
      <c r="C17" s="146">
        <v>77.32</v>
      </c>
      <c r="D17" s="147">
        <v>9.4</v>
      </c>
      <c r="E17" s="146">
        <v>3.92</v>
      </c>
      <c r="F17" s="147">
        <v>-64.7</v>
      </c>
      <c r="G17" s="146">
        <v>11.18</v>
      </c>
      <c r="H17" s="147">
        <v>-23.6</v>
      </c>
      <c r="I17" s="146">
        <v>17.28</v>
      </c>
      <c r="J17" s="147">
        <v>-33.9</v>
      </c>
    </row>
    <row r="18" ht="39" customHeight="1" spans="1:10">
      <c r="A18" s="148" t="s">
        <v>182</v>
      </c>
      <c r="B18" s="292" t="s">
        <v>11</v>
      </c>
      <c r="C18" s="146">
        <v>101.85</v>
      </c>
      <c r="D18" s="147">
        <v>-3.2</v>
      </c>
      <c r="E18" s="146">
        <v>110.91</v>
      </c>
      <c r="F18" s="147">
        <v>7.3</v>
      </c>
      <c r="G18" s="146">
        <v>110.07</v>
      </c>
      <c r="H18" s="147">
        <v>6.2</v>
      </c>
      <c r="I18" s="146">
        <v>109.41</v>
      </c>
      <c r="J18" s="147">
        <v>-2.7</v>
      </c>
    </row>
    <row r="19" ht="39" customHeight="1" spans="1:10">
      <c r="A19" s="156" t="s">
        <v>183</v>
      </c>
      <c r="B19" s="294" t="s">
        <v>184</v>
      </c>
      <c r="C19" s="164">
        <v>10.13</v>
      </c>
      <c r="D19" s="165">
        <v>-3.3</v>
      </c>
      <c r="E19" s="164">
        <v>10.15</v>
      </c>
      <c r="F19" s="165">
        <v>-2.8</v>
      </c>
      <c r="G19" s="164">
        <v>10.09</v>
      </c>
      <c r="H19" s="165">
        <v>-3.1</v>
      </c>
      <c r="I19" s="164">
        <v>10.06</v>
      </c>
      <c r="J19" s="165">
        <v>-3.6</v>
      </c>
    </row>
    <row r="20" ht="36" customHeight="1" spans="1:4">
      <c r="A20" s="297"/>
      <c r="B20" s="297"/>
      <c r="C20" s="297"/>
      <c r="D20" s="297"/>
    </row>
    <row r="21" ht="45" customHeight="1" spans="1:4">
      <c r="A21" s="297"/>
      <c r="B21" s="297"/>
      <c r="C21" s="297"/>
      <c r="D21" s="297"/>
    </row>
  </sheetData>
  <mergeCells count="8">
    <mergeCell ref="A1:J1"/>
    <mergeCell ref="C2:D2"/>
    <mergeCell ref="E2:F2"/>
    <mergeCell ref="G2:H2"/>
    <mergeCell ref="I2:J2"/>
    <mergeCell ref="A2:A3"/>
    <mergeCell ref="B2:B3"/>
    <mergeCell ref="A20:D21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16"/>
  <sheetViews>
    <sheetView zoomScale="80" zoomScaleNormal="80" workbookViewId="0">
      <pane xSplit="2" ySplit="2" topLeftCell="C3" activePane="bottomRight" state="frozen"/>
      <selection/>
      <selection pane="topRight"/>
      <selection pane="bottomLeft"/>
      <selection pane="bottomRight" activeCell="E9" sqref="E9"/>
    </sheetView>
  </sheetViews>
  <sheetFormatPr defaultColWidth="9" defaultRowHeight="14.25" outlineLevelCol="5"/>
  <cols>
    <col min="1" max="1" width="25.0416666666667" style="133" customWidth="1"/>
    <col min="2" max="2" width="8.975" style="133" customWidth="1"/>
    <col min="3" max="3" width="16.0916666666667" style="133" customWidth="1"/>
    <col min="4" max="4" width="15.9333333333333" style="133" customWidth="1"/>
    <col min="5" max="5" width="14.525" style="133" customWidth="1"/>
    <col min="6" max="6" width="14.675" style="133" customWidth="1"/>
    <col min="7" max="16384" width="9" style="133"/>
  </cols>
  <sheetData>
    <row r="1" ht="42" customHeight="1" spans="1:6">
      <c r="A1" s="135" t="s">
        <v>185</v>
      </c>
      <c r="B1" s="135"/>
      <c r="C1" s="135"/>
      <c r="D1" s="135"/>
      <c r="E1" s="135"/>
      <c r="F1" s="135"/>
    </row>
    <row r="2" ht="43.35" customHeight="1" spans="1:6">
      <c r="A2" s="287" t="s">
        <v>166</v>
      </c>
      <c r="B2" s="288" t="s">
        <v>2</v>
      </c>
      <c r="C2" s="138" t="s">
        <v>3</v>
      </c>
      <c r="D2" s="138" t="s">
        <v>4</v>
      </c>
      <c r="E2" s="138" t="s">
        <v>5</v>
      </c>
      <c r="F2" s="138" t="s">
        <v>6</v>
      </c>
    </row>
    <row r="3" ht="35" customHeight="1" spans="1:6">
      <c r="A3" s="289" t="s">
        <v>186</v>
      </c>
      <c r="B3" s="290" t="s">
        <v>24</v>
      </c>
      <c r="C3" s="291">
        <v>4.59</v>
      </c>
      <c r="D3" s="291">
        <v>4.99</v>
      </c>
      <c r="E3" s="291">
        <v>3.34</v>
      </c>
      <c r="F3" s="291">
        <v>3.51</v>
      </c>
    </row>
    <row r="4" ht="35" customHeight="1" spans="1:6">
      <c r="A4" s="148" t="s">
        <v>187</v>
      </c>
      <c r="B4" s="292" t="s">
        <v>188</v>
      </c>
      <c r="C4" s="147">
        <v>-2.09</v>
      </c>
      <c r="D4" s="147">
        <v>-2.84</v>
      </c>
      <c r="E4" s="147">
        <v>-3.96</v>
      </c>
      <c r="F4" s="147">
        <v>-3.34</v>
      </c>
    </row>
    <row r="5" ht="35" customHeight="1" spans="1:6">
      <c r="A5" s="148" t="s">
        <v>189</v>
      </c>
      <c r="B5" s="292" t="s">
        <v>24</v>
      </c>
      <c r="C5" s="293">
        <v>104.58</v>
      </c>
      <c r="D5" s="293">
        <v>107.62</v>
      </c>
      <c r="E5" s="293">
        <v>103.62</v>
      </c>
      <c r="F5" s="293">
        <v>105.98</v>
      </c>
    </row>
    <row r="6" ht="35" customHeight="1" spans="1:6">
      <c r="A6" s="148" t="s">
        <v>187</v>
      </c>
      <c r="B6" s="292" t="s">
        <v>188</v>
      </c>
      <c r="C6" s="147">
        <v>8.4</v>
      </c>
      <c r="D6" s="147">
        <v>-5.1</v>
      </c>
      <c r="E6" s="147">
        <v>-12.7</v>
      </c>
      <c r="F6" s="147">
        <v>-5.3</v>
      </c>
    </row>
    <row r="7" ht="35" customHeight="1" spans="1:6">
      <c r="A7" s="148" t="s">
        <v>190</v>
      </c>
      <c r="B7" s="292" t="s">
        <v>24</v>
      </c>
      <c r="C7" s="293">
        <v>67.44</v>
      </c>
      <c r="D7" s="293">
        <v>65.02</v>
      </c>
      <c r="E7" s="293">
        <v>64.72</v>
      </c>
      <c r="F7" s="293">
        <v>64.27</v>
      </c>
    </row>
    <row r="8" ht="35" customHeight="1" spans="1:6">
      <c r="A8" s="148" t="s">
        <v>187</v>
      </c>
      <c r="B8" s="292" t="s">
        <v>188</v>
      </c>
      <c r="C8" s="147">
        <v>-0.2</v>
      </c>
      <c r="D8" s="147">
        <v>-1.1</v>
      </c>
      <c r="E8" s="147">
        <v>-1</v>
      </c>
      <c r="F8" s="147">
        <v>-1.5</v>
      </c>
    </row>
    <row r="9" ht="35" customHeight="1" spans="1:6">
      <c r="A9" s="148" t="s">
        <v>191</v>
      </c>
      <c r="B9" s="292" t="s">
        <v>192</v>
      </c>
      <c r="C9" s="293">
        <v>2.62</v>
      </c>
      <c r="D9" s="293">
        <v>2.12</v>
      </c>
      <c r="E9" s="293">
        <v>2.21</v>
      </c>
      <c r="F9" s="293">
        <v>2.24</v>
      </c>
    </row>
    <row r="10" ht="35" customHeight="1" spans="1:6">
      <c r="A10" s="148" t="s">
        <v>187</v>
      </c>
      <c r="B10" s="292" t="s">
        <v>188</v>
      </c>
      <c r="C10" s="147">
        <v>0</v>
      </c>
      <c r="D10" s="147">
        <v>-0.2</v>
      </c>
      <c r="E10" s="147">
        <v>-0.2</v>
      </c>
      <c r="F10" s="147">
        <v>-0.2</v>
      </c>
    </row>
    <row r="11" ht="35" customHeight="1" spans="1:6">
      <c r="A11" s="148" t="s">
        <v>193</v>
      </c>
      <c r="B11" s="292" t="s">
        <v>24</v>
      </c>
      <c r="C11" s="293">
        <v>5.69</v>
      </c>
      <c r="D11" s="293">
        <v>4.9</v>
      </c>
      <c r="E11" s="293">
        <v>4.83</v>
      </c>
      <c r="F11" s="293">
        <v>5.01</v>
      </c>
    </row>
    <row r="12" ht="35" customHeight="1" spans="1:6">
      <c r="A12" s="148" t="s">
        <v>187</v>
      </c>
      <c r="B12" s="292" t="s">
        <v>188</v>
      </c>
      <c r="C12" s="147">
        <v>-3.4</v>
      </c>
      <c r="D12" s="147">
        <v>-4.5</v>
      </c>
      <c r="E12" s="147">
        <v>-5.6</v>
      </c>
      <c r="F12" s="147">
        <v>-4.6</v>
      </c>
    </row>
    <row r="13" ht="35" customHeight="1" spans="1:6">
      <c r="A13" s="148" t="s">
        <v>194</v>
      </c>
      <c r="B13" s="292" t="s">
        <v>24</v>
      </c>
      <c r="C13" s="293">
        <v>100.6</v>
      </c>
      <c r="D13" s="293">
        <v>99.54</v>
      </c>
      <c r="E13" s="293">
        <v>99.92</v>
      </c>
      <c r="F13" s="293">
        <v>99.36</v>
      </c>
    </row>
    <row r="14" ht="35" customHeight="1" spans="1:6">
      <c r="A14" s="148" t="s">
        <v>187</v>
      </c>
      <c r="B14" s="292" t="s">
        <v>188</v>
      </c>
      <c r="C14" s="147">
        <v>0</v>
      </c>
      <c r="D14" s="147">
        <v>2.3</v>
      </c>
      <c r="E14" s="147">
        <v>0.8</v>
      </c>
      <c r="F14" s="147">
        <v>0.2</v>
      </c>
    </row>
    <row r="15" ht="35" customHeight="1" spans="1:6">
      <c r="A15" s="148" t="s">
        <v>195</v>
      </c>
      <c r="B15" s="292" t="s">
        <v>196</v>
      </c>
      <c r="C15" s="293">
        <v>99.398078</v>
      </c>
      <c r="D15" s="293">
        <v>88.873435</v>
      </c>
      <c r="E15" s="293">
        <v>92.08</v>
      </c>
      <c r="F15" s="293">
        <v>93.68</v>
      </c>
    </row>
    <row r="16" ht="35" customHeight="1" spans="1:6">
      <c r="A16" s="156" t="s">
        <v>187</v>
      </c>
      <c r="B16" s="294" t="s">
        <v>188</v>
      </c>
      <c r="C16" s="165">
        <v>20.8</v>
      </c>
      <c r="D16" s="165">
        <v>0</v>
      </c>
      <c r="E16" s="165">
        <v>-3.9</v>
      </c>
      <c r="F16" s="165">
        <v>-3.2</v>
      </c>
    </row>
  </sheetData>
  <mergeCells count="1">
    <mergeCell ref="A1:F1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yz</Company>
  <Application>Microsoft Excel</Application>
  <HeadingPairs>
    <vt:vector size="2" baseType="variant">
      <vt:variant>
        <vt:lpstr>工作表</vt:lpstr>
      </vt:variant>
      <vt:variant>
        <vt:i4>36</vt:i4>
      </vt:variant>
    </vt:vector>
  </HeadingPairs>
  <TitlesOfParts>
    <vt:vector size="36" baseType="lpstr">
      <vt:lpstr>-------</vt:lpstr>
      <vt:lpstr>主要指标（一）</vt:lpstr>
      <vt:lpstr>主要指标（二）</vt:lpstr>
      <vt:lpstr>分县区</vt:lpstr>
      <vt:lpstr>农业</vt:lpstr>
      <vt:lpstr>工业增加值</vt:lpstr>
      <vt:lpstr>分行业工业增加值</vt:lpstr>
      <vt:lpstr>规上工业主要经济指标</vt:lpstr>
      <vt:lpstr>规上工业经济效益指标</vt:lpstr>
      <vt:lpstr>主要工业产品产量</vt:lpstr>
      <vt:lpstr>工业综合能源消费</vt:lpstr>
      <vt:lpstr>交通运输及邮政</vt:lpstr>
      <vt:lpstr>固定资产投资</vt:lpstr>
      <vt:lpstr>社会消费品零售总额</vt:lpstr>
      <vt:lpstr>财政收支</vt:lpstr>
      <vt:lpstr>金融</vt:lpstr>
      <vt:lpstr>进出口总额</vt:lpstr>
      <vt:lpstr>居民收入和消费价格</vt:lpstr>
      <vt:lpstr>分县地区生产总值及第一产业增加值</vt:lpstr>
      <vt:lpstr>分县第二产业增加值及第三产业增加值</vt:lpstr>
      <vt:lpstr>分县农业总产值及规上工业增加值</vt:lpstr>
      <vt:lpstr>分县规上工业利润总额和营业收入</vt:lpstr>
      <vt:lpstr>分县社零和投资</vt:lpstr>
      <vt:lpstr>分县工业投资和房地产投资</vt:lpstr>
      <vt:lpstr>分县工业技术改造和制造业投资</vt:lpstr>
      <vt:lpstr>分县财政收支</vt:lpstr>
      <vt:lpstr>分县税收和利用外资</vt:lpstr>
      <vt:lpstr>分市5（旧）</vt:lpstr>
      <vt:lpstr>工业序列（原）</vt:lpstr>
      <vt:lpstr>投资序列(原)</vt:lpstr>
      <vt:lpstr>消费序列（原）</vt:lpstr>
      <vt:lpstr>出口序列（原）</vt:lpstr>
      <vt:lpstr>地方预算收入序列（原）</vt:lpstr>
      <vt:lpstr>工业用电量序列 （原）</vt:lpstr>
      <vt:lpstr>价格序列（原）</vt:lpstr>
      <vt:lpstr>Sheet16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mmtjj07</dc:creator>
  <cp:lastModifiedBy>丘春俏</cp:lastModifiedBy>
  <cp:revision>1</cp:revision>
  <dcterms:created xsi:type="dcterms:W3CDTF">2006-03-06T17:13:00Z</dcterms:created>
  <cp:lastPrinted>2020-03-22T21:18:00Z</cp:lastPrinted>
  <dcterms:modified xsi:type="dcterms:W3CDTF">2023-08-30T01:53:43Z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KSOReadingLayout">
    <vt:bool>true</vt:bool>
  </property>
  <property fmtid="{D5CDD505-2E9C-101B-9397-08002B2CF9AE}" pid="4" name="ICV">
    <vt:lpwstr>975EAF08B0EE4341B5FA1C96C999B727</vt:lpwstr>
  </property>
  <property fmtid="{D5CDD505-2E9C-101B-9397-08002B2CF9AE}" pid="5" name="commondata">
    <vt:lpwstr>eyJoZGlkIjoiOGExZmYwZDZlNzUzOTBiYzE1NWNjNTMxZDdiOWUzZmIifQ==</vt:lpwstr>
  </property>
</Properties>
</file>