
<file path=[Content_Types].xml><?xml version="1.0" encoding="utf-8"?>
<Types xmlns="http://schemas.openxmlformats.org/package/2006/content-types"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53.xml" ContentType="application/vnd.openxmlformats-officedocument.spreadsheetml.worksheet+xml"/>
  <Override PartName="/xl/worksheets/sheet13.xml" ContentType="application/vnd.openxmlformats-officedocument.spreadsheetml.worksheet+xml"/>
  <Override PartName="/xl/worksheets/sheet42.xml" ContentType="application/vnd.openxmlformats-officedocument.spreadsheetml.worksheet+xml"/>
  <Override PartName="/xl/worksheets/sheet60.xml" ContentType="application/vnd.openxmlformats-officedocument.spreadsheetml.worksheet+xml"/>
  <Override PartName="/xl/externalLinks/externalLink9.xml" ContentType="application/vnd.openxmlformats-officedocument.spreadsheetml.externalLink+xml"/>
  <Override PartName="/xl/styles.xml" ContentType="application/vnd.openxmlformats-officedocument.spreadsheetml.styles+xml"/>
  <Override PartName="/xl/worksheets/sheet7.xml" ContentType="application/vnd.openxmlformats-officedocument.spreadsheetml.worksheet+xml"/>
  <Override PartName="/xl/worksheets/sheet20.xml" ContentType="application/vnd.openxmlformats-officedocument.spreadsheetml.worksheet+xml"/>
  <Override PartName="/xl/worksheets/sheet31.xml" ContentType="application/vnd.openxmlformats-officedocument.spreadsheetml.worksheet+xml"/>
  <Override PartName="/xl/externalLinks/externalLink27.xml" ContentType="application/vnd.openxmlformats-officedocument.spreadsheetml.externalLink+xml"/>
  <Default Extension="xml" ContentType="application/xml"/>
  <Override PartName="/xl/worksheets/sheet5.xml" ContentType="application/vnd.openxmlformats-officedocument.spreadsheetml.worksheet+xml"/>
  <Override PartName="/xl/externalLinks/externalLink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25.xml" ContentType="application/vnd.openxmlformats-officedocument.spreadsheetml.externalLink+xml"/>
  <Override PartName="/xl/worksheets/sheet3.xml" ContentType="application/vnd.openxmlformats-officedocument.spreadsheetml.worksheet+xml"/>
  <Override PartName="/xl/externalLinks/externalLink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23.xml" ContentType="application/vnd.openxmlformats-officedocument.spreadsheetml.externalLink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4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21.xml" ContentType="application/vnd.openxmlformats-officedocument.spreadsheetml.externalLink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worksheets/sheet47.xml" ContentType="application/vnd.openxmlformats-officedocument.spreadsheetml.worksheet+xml"/>
  <Override PartName="/xl/worksheets/sheet58.xml" ContentType="application/vnd.openxmlformats-officedocument.spreadsheetml.worksheet+xml"/>
  <Override PartName="/xl/worksheets/sheet67.xml" ContentType="application/vnd.openxmlformats-officedocument.spreadsheetml.worksheet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xl/worksheets/sheet18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45.xml" ContentType="application/vnd.openxmlformats-officedocument.spreadsheetml.worksheet+xml"/>
  <Override PartName="/xl/worksheets/sheet54.xml" ContentType="application/vnd.openxmlformats-officedocument.spreadsheetml.worksheet+xml"/>
  <Override PartName="/xl/worksheets/sheet56.xml" ContentType="application/vnd.openxmlformats-officedocument.spreadsheetml.worksheet+xml"/>
  <Override PartName="/xl/worksheets/sheet6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Override PartName="/xl/worksheets/sheet43.xml" ContentType="application/vnd.openxmlformats-officedocument.spreadsheetml.worksheet+xml"/>
  <Override PartName="/xl/worksheets/sheet52.xml" ContentType="application/vnd.openxmlformats-officedocument.spreadsheetml.worksheet+xml"/>
  <Override PartName="/xl/worksheets/sheet63.xml" ContentType="application/vnd.openxmlformats-officedocument.spreadsheetml.worksheet+xml"/>
  <Default Extension="bin" ContentType="application/vnd.openxmlformats-officedocument.spreadsheetml.printerSettings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41.xml" ContentType="application/vnd.openxmlformats-officedocument.spreadsheetml.worksheet+xml"/>
  <Override PartName="/xl/worksheets/sheet50.xml" ContentType="application/vnd.openxmlformats-officedocument.spreadsheetml.worksheet+xml"/>
  <Override PartName="/xl/worksheets/sheet61.xml" ContentType="application/vnd.openxmlformats-officedocument.spreadsheetml.worksheet+xml"/>
  <Override PartName="/xl/externalLinks/externalLink8.xml" ContentType="application/vnd.openxmlformats-officedocument.spreadsheetml.externalLink+xml"/>
  <Override PartName="/xl/externalLinks/externalLink19.xml" ContentType="application/vnd.openxmlformats-officedocument.spreadsheetml.externalLink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28.xml" ContentType="application/vnd.openxmlformats-officedocument.spreadsheetml.externalLink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6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2.xml" ContentType="application/vnd.openxmlformats-officedocument.spreadsheetml.externalLink+xml"/>
  <Override PartName="/xl/worksheets/sheet59.xml" ContentType="application/vnd.openxmlformats-officedocument.spreadsheetml.worksheet+xml"/>
  <Override PartName="/xl/worksheets/sheet68.xml" ContentType="application/vnd.openxmlformats-officedocument.spreadsheetml.worksheet+xml"/>
  <Override PartName="/xl/externalLinks/externalLink11.xml" ContentType="application/vnd.openxmlformats-officedocument.spreadsheetml.externalLink+xml"/>
  <Override PartName="/xl/externalLinks/externalLink20.xml" ContentType="application/vnd.openxmlformats-officedocument.spreadsheetml.externalLink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8.xml" ContentType="application/vnd.openxmlformats-officedocument.spreadsheetml.worksheet+xml"/>
  <Override PartName="/xl/worksheets/sheet57.xml" ContentType="application/vnd.openxmlformats-officedocument.spreadsheetml.worksheet+xml"/>
  <Override PartName="/xl/worksheets/sheet6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6.xml" ContentType="application/vnd.openxmlformats-officedocument.spreadsheetml.worksheet+xml"/>
  <Override PartName="/xl/worksheets/sheet37.xml" ContentType="application/vnd.openxmlformats-officedocument.spreadsheetml.worksheet+xml"/>
  <Override PartName="/xl/worksheets/sheet46.xml" ContentType="application/vnd.openxmlformats-officedocument.spreadsheetml.worksheet+xml"/>
  <Override PartName="/xl/worksheets/sheet55.xml" ContentType="application/vnd.openxmlformats-officedocument.spreadsheetml.worksheet+xml"/>
  <Override PartName="/xl/worksheets/sheet64.xml" ContentType="application/vnd.openxmlformats-officedocument.spreadsheetml.worksheet+xml"/>
  <Override PartName="/docProps/core.xml" ContentType="application/vnd.openxmlformats-package.core-properties+xml"/>
  <Override PartName="/xl/worksheets/sheet15.xml" ContentType="application/vnd.openxmlformats-officedocument.spreadsheetml.worksheet+xml"/>
  <Override PartName="/xl/worksheets/sheet44.xml" ContentType="application/vnd.openxmlformats-officedocument.spreadsheetml.worksheet+xml"/>
  <Override PartName="/xl/worksheets/sheet62.xml" ContentType="application/vnd.openxmlformats-officedocument.spreadsheetml.worksheet+xml"/>
  <Override PartName="/xl/worksheets/sheet9.xml" ContentType="application/vnd.openxmlformats-officedocument.spreadsheetml.worksheet+xml"/>
  <Override PartName="/xl/worksheets/sheet22.xml" ContentType="application/vnd.openxmlformats-officedocument.spreadsheetml.worksheet+xml"/>
  <Override PartName="/xl/worksheets/sheet33.xml" ContentType="application/vnd.openxmlformats-officedocument.spreadsheetml.worksheet+xml"/>
  <Override PartName="/xl/worksheets/sheet51.xml" ContentType="application/vnd.openxmlformats-officedocument.spreadsheetml.worksheet+xml"/>
  <Override PartName="/xl/externalLinks/externalLink29.xml" ContentType="application/vnd.openxmlformats-officedocument.spreadsheetml.externalLink+xml"/>
  <Override PartName="/xl/theme/theme1.xml" ContentType="application/vnd.openxmlformats-officedocument.theme+xml"/>
  <Override PartName="/xl/worksheets/sheet11.xml" ContentType="application/vnd.openxmlformats-officedocument.spreadsheetml.worksheet+xml"/>
  <Override PartName="/xl/worksheets/sheet40.xml" ContentType="application/vnd.openxmlformats-officedocument.spreadsheetml.worksheet+xml"/>
  <Override PartName="/xl/externalLinks/externalLink7.xml" ContentType="application/vnd.openxmlformats-officedocument.spreadsheetml.externalLink+xml"/>
  <Override PartName="/xl/externalLinks/externalLink18.xml" ContentType="application/vnd.openxmlformats-officedocument.spreadsheetml.externalLink+xml"/>
  <Default Extension="rels" ContentType="application/vnd.openxmlformats-package.relationships+xml"/>
  <Default Extension="wmf" ContentType="image/x-wmf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defaultThemeVersion="124226"/>
  <bookViews>
    <workbookView xWindow="0" yWindow="0" windowWidth="11940" windowHeight="9120" tabRatio="886" firstSheet="1" activeTab="1"/>
  </bookViews>
  <sheets>
    <sheet name="-------" sheetId="138" state="hidden" r:id="rId1"/>
    <sheet name="全市指标1" sheetId="212" r:id="rId2"/>
    <sheet name="全市指标2" sheetId="209" r:id="rId3"/>
    <sheet name="全市指标3" sheetId="213" r:id="rId4"/>
    <sheet name="全市指标4" sheetId="214" r:id="rId5"/>
    <sheet name="全市指标5" sheetId="230" r:id="rId6"/>
    <sheet name="GDP" sheetId="139" r:id="rId7"/>
    <sheet name="农业" sheetId="145" r:id="rId8"/>
    <sheet name="工业1" sheetId="125" r:id="rId9"/>
    <sheet name="工业2" sheetId="173" r:id="rId10"/>
    <sheet name="工业经济效益" sheetId="9" r:id="rId11"/>
    <sheet name="分行业工业总产值1" sheetId="162" r:id="rId12"/>
    <sheet name="分行业工业总产值2" sheetId="163" r:id="rId13"/>
    <sheet name="主要工业产品产量1" sheetId="160" r:id="rId14"/>
    <sheet name="主要工业产品产量2 " sheetId="161" r:id="rId15"/>
    <sheet name="主要工业产品产量3" sheetId="177" r:id="rId16"/>
    <sheet name="工业综合能源消费量" sheetId="174" r:id="rId17"/>
    <sheet name="交通 " sheetId="98" r:id="rId18"/>
    <sheet name="投资" sheetId="68" r:id="rId19"/>
    <sheet name="国内贸易" sheetId="11" r:id="rId20"/>
    <sheet name="财税" sheetId="23" r:id="rId21"/>
    <sheet name="金融" sheetId="146" r:id="rId22"/>
    <sheet name="进出口" sheetId="124" r:id="rId23"/>
    <sheet name="居民收支" sheetId="99" r:id="rId24"/>
    <sheet name="消价" sheetId="42" r:id="rId25"/>
    <sheet name="分县1" sheetId="100" r:id="rId26"/>
    <sheet name="分县2" sheetId="149" r:id="rId27"/>
    <sheet name="分县3" sheetId="181" r:id="rId28"/>
    <sheet name="分县4" sheetId="167" r:id="rId29"/>
    <sheet name="分县5" sheetId="101" r:id="rId30"/>
    <sheet name="分县6" sheetId="183" r:id="rId31"/>
    <sheet name="分县7" sheetId="166" r:id="rId32"/>
    <sheet name="分县8" sheetId="165" r:id="rId33"/>
    <sheet name="分县9" sheetId="171" r:id="rId34"/>
    <sheet name="分县10" sheetId="184" r:id="rId35"/>
    <sheet name="分县11" sheetId="170" r:id="rId36"/>
    <sheet name="分县12" sheetId="193" r:id="rId37"/>
    <sheet name="分县13" sheetId="185" r:id="rId38"/>
    <sheet name="分县14" sheetId="172" r:id="rId39"/>
    <sheet name="分县15" sheetId="210" r:id="rId40"/>
    <sheet name="分县16" sheetId="127" r:id="rId41"/>
    <sheet name="分县17" sheetId="211" r:id="rId42"/>
    <sheet name="分县18" sheetId="147" r:id="rId43"/>
    <sheet name="分县19" sheetId="186" r:id="rId44"/>
    <sheet name="分县20" sheetId="215" r:id="rId45"/>
    <sheet name="分县21（1）" sheetId="227" r:id="rId46"/>
    <sheet name="分县21（2）" sheetId="217" r:id="rId47"/>
    <sheet name="分县21（3）" sheetId="228" r:id="rId48"/>
    <sheet name="分县21（4）" sheetId="224" r:id="rId49"/>
    <sheet name="分县22（1）" sheetId="220" r:id="rId50"/>
    <sheet name="分县22（2）" sheetId="218" r:id="rId51"/>
    <sheet name="分县22（3）" sheetId="229" r:id="rId52"/>
    <sheet name="分县22（4）" sheetId="221" r:id="rId53"/>
    <sheet name="分市5（旧）" sheetId="194" state="hidden" r:id="rId54"/>
    <sheet name="工业序列（原）" sheetId="158" state="hidden" r:id="rId55"/>
    <sheet name="工业序列" sheetId="199" r:id="rId56"/>
    <sheet name="投资序列" sheetId="200" r:id="rId57"/>
    <sheet name="消费序列" sheetId="201" r:id="rId58"/>
    <sheet name="进出口序列" sheetId="202" r:id="rId59"/>
    <sheet name="预算收入序列" sheetId="204" r:id="rId60"/>
    <sheet name="价格指数序列" sheetId="208" r:id="rId61"/>
    <sheet name="用电量序列" sheetId="205" r:id="rId62"/>
    <sheet name="投资序列(原)" sheetId="157" state="hidden" r:id="rId63"/>
    <sheet name="消费序列（原）" sheetId="156" state="hidden" r:id="rId64"/>
    <sheet name="出口序列（原）" sheetId="155" state="hidden" r:id="rId65"/>
    <sheet name="地方预算收入序列（原）" sheetId="154" state="hidden" r:id="rId66"/>
    <sheet name="工业用电量序列 （原）" sheetId="198" state="hidden" r:id="rId67"/>
    <sheet name="价格序列（原）" sheetId="153" state="hidden" r:id="rId68"/>
  </sheets>
  <externalReferences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  <externalReference r:id="rId81"/>
    <externalReference r:id="rId82"/>
    <externalReference r:id="rId83"/>
    <externalReference r:id="rId84"/>
    <externalReference r:id="rId85"/>
    <externalReference r:id="rId86"/>
    <externalReference r:id="rId87"/>
    <externalReference r:id="rId88"/>
    <externalReference r:id="rId89"/>
    <externalReference r:id="rId90"/>
    <externalReference r:id="rId91"/>
    <externalReference r:id="rId92"/>
    <externalReference r:id="rId93"/>
    <externalReference r:id="rId94"/>
    <externalReference r:id="rId95"/>
    <externalReference r:id="rId96"/>
    <externalReference r:id="rId97"/>
  </externalReferences>
  <definedNames>
    <definedName name="_21114" localSheetId="66">#REF!</definedName>
    <definedName name="_21114">#REF!</definedName>
    <definedName name="_Fill" localSheetId="66" hidden="1">[1]eqpmad2!#REF!</definedName>
    <definedName name="_Fill" hidden="1">[1]eqpmad2!#REF!</definedName>
    <definedName name="_xlnm._FilterDatabase" localSheetId="66" hidden="1">#REF!</definedName>
    <definedName name="_xlnm._FilterDatabase" hidden="1">#REF!</definedName>
    <definedName name="_Order1" hidden="1">255</definedName>
    <definedName name="_Order2" hidden="1">255</definedName>
    <definedName name="A" localSheetId="66">#REF!</definedName>
    <definedName name="A">#REF!</definedName>
    <definedName name="aa" localSheetId="66">#REF!</definedName>
    <definedName name="aa">#REF!</definedName>
    <definedName name="as">#N/A</definedName>
    <definedName name="data" localSheetId="66">#REF!</definedName>
    <definedName name="data">#REF!</definedName>
    <definedName name="_xlnm.Database" localSheetId="66" hidden="1">#REF!</definedName>
    <definedName name="_xlnm.Database" hidden="1">#REF!</definedName>
    <definedName name="database2" localSheetId="66">#REF!</definedName>
    <definedName name="database2">#REF!</definedName>
    <definedName name="database3" localSheetId="66">#REF!</definedName>
    <definedName name="database3">#REF!</definedName>
    <definedName name="dss" localSheetId="66" hidden="1">#REF!</definedName>
    <definedName name="dss" hidden="1">#REF!</definedName>
    <definedName name="E206." localSheetId="66">#REF!</definedName>
    <definedName name="E206.">#REF!</definedName>
    <definedName name="eee" localSheetId="66">#REF!</definedName>
    <definedName name="eee">#REF!</definedName>
    <definedName name="fff" localSheetId="66">#REF!</definedName>
    <definedName name="fff">#REF!</definedName>
    <definedName name="gxxe2003">[2]P1012001!$A$6:$E$117</definedName>
    <definedName name="gxxe20032">[2]P1012001!$A$6:$E$117</definedName>
    <definedName name="hhhh" localSheetId="66">#REF!</definedName>
    <definedName name="hhhh">#REF!</definedName>
    <definedName name="HWSheet">1</definedName>
    <definedName name="kkkk" localSheetId="66">#REF!</definedName>
    <definedName name="kkkk">#REF!</definedName>
    <definedName name="Module.Prix_SMC" localSheetId="34">[0]!Module.Prix_SMC</definedName>
    <definedName name="Module.Prix_SMC" localSheetId="37">分县10!Module.Prix_SMC</definedName>
    <definedName name="Module.Prix_SMC" localSheetId="39">分县15!Module.Prix_SMC</definedName>
    <definedName name="Module.Prix_SMC" localSheetId="40">分县16!Module.Prix_SMC</definedName>
    <definedName name="Module.Prix_SMC" localSheetId="41">分县17!Module.Prix_SMC</definedName>
    <definedName name="Module.Prix_SMC" localSheetId="43">分县10!Module.Prix_SMC</definedName>
    <definedName name="Module.Prix_SMC" localSheetId="45">分县10!Module.Prix_SMC</definedName>
    <definedName name="Module.Prix_SMC" localSheetId="46">分县10!Module.Prix_SMC</definedName>
    <definedName name="Module.Prix_SMC" localSheetId="47">分县10!Module.Prix_SMC</definedName>
    <definedName name="Module.Prix_SMC" localSheetId="48">分县10!Module.Prix_SMC</definedName>
    <definedName name="Module.Prix_SMC" localSheetId="49">分县10!Module.Prix_SMC</definedName>
    <definedName name="Module.Prix_SMC" localSheetId="50">分县10!Module.Prix_SMC</definedName>
    <definedName name="Module.Prix_SMC" localSheetId="51">分县10!Module.Prix_SMC</definedName>
    <definedName name="Module.Prix_SMC" localSheetId="52">分县10!Module.Prix_SMC</definedName>
    <definedName name="Module.Prix_SMC" localSheetId="27">分县10!Module.Prix_SMC</definedName>
    <definedName name="Module.Prix_SMC" localSheetId="30">分县10!Module.Prix_SMC</definedName>
    <definedName name="Module.Prix_SMC" localSheetId="8">工业1!Module.Prix_SMC</definedName>
    <definedName name="Module.Prix_SMC" localSheetId="60">分县10!Module.Prix_SMC</definedName>
    <definedName name="Module.Prix_SMC" localSheetId="22">进出口!Module.Prix_SMC</definedName>
    <definedName name="Module.Prix_SMC" localSheetId="58">分县10!Module.Prix_SMC</definedName>
    <definedName name="Module.Prix_SMC" localSheetId="1">分县10!Module.Prix_SMC</definedName>
    <definedName name="Module.Prix_SMC" localSheetId="3">分县10!Module.Prix_SMC</definedName>
    <definedName name="Module.Prix_SMC" localSheetId="4">分县10!Module.Prix_SMC</definedName>
    <definedName name="Module.Prix_SMC" localSheetId="5">分县10!Module.Prix_SMC</definedName>
    <definedName name="Module.Prix_SMC" localSheetId="56">分县10!Module.Prix_SMC</definedName>
    <definedName name="Module.Prix_SMC" localSheetId="57">分县10!Module.Prix_SMC</definedName>
    <definedName name="Module.Prix_SMC" localSheetId="61">分县10!Module.Prix_SMC</definedName>
    <definedName name="Module.Prix_SMC" localSheetId="59">分县10!Module.Prix_SMC</definedName>
    <definedName name="Module.Prix_SMC">分县10!Module.Prix_SMC</definedName>
    <definedName name="panduan">OR([3]Sheet!$G1="日期有误",[3]Sheet!$G1="请检查身份证号码",[3]Sheet!$G1="识别码有误")</definedName>
    <definedName name="_xlnm.Print_Area" localSheetId="34">分县10!$A$1:$D$27</definedName>
    <definedName name="_xlnm.Print_Area" localSheetId="37">分县13!$A$1:$D$27</definedName>
    <definedName name="_xlnm.Print_Area" localSheetId="38">分县14!$A$1:$D$27</definedName>
    <definedName name="_xlnm.Print_Area" localSheetId="42">分县18!$A$1:$D$27</definedName>
    <definedName name="_xlnm.Print_Area" localSheetId="43">分县19!$A$1:$D$28</definedName>
    <definedName name="_xlnm.Print_Area" localSheetId="26">分县2!$A$1:$D$27</definedName>
    <definedName name="_xlnm.Print_Area" localSheetId="27">分县3!$A$1:$D$28</definedName>
    <definedName name="_xlnm.Print_Area" localSheetId="29">分县5!$A$1:$D$28</definedName>
    <definedName name="_xlnm.Print_Area" localSheetId="30">分县6!$A$1:$D$27</definedName>
    <definedName name="_xlnm.Print_Area" localSheetId="31">分县7!$A$1:$D$27</definedName>
    <definedName name="_xlnm.Print_Area" localSheetId="32">分县8!$A$1:$D$27</definedName>
    <definedName name="_xlnm.Print_Area" localSheetId="33">分县9!$A$1:$D$27</definedName>
    <definedName name="_xlnm.Print_Area" localSheetId="8">工业1!$A$1:$E$22</definedName>
    <definedName name="_xlnm.Print_Area" localSheetId="66" hidden="1">#REF!</definedName>
    <definedName name="_xlnm.Print_Area" localSheetId="19">国内贸易!$A$1:$C$30</definedName>
    <definedName name="_xlnm.Print_Area" localSheetId="23">居民收支!$A$1:$AG$23</definedName>
    <definedName name="_xlnm.Print_Area" localSheetId="18">投资!$A$1:$D$24</definedName>
    <definedName name="_xlnm.Print_Area" localSheetId="24">消价!$A$1:$C$21</definedName>
    <definedName name="_xlnm.Print_Area" hidden="1">#REF!</definedName>
    <definedName name="Print_Area_MI" localSheetId="66">#REF!</definedName>
    <definedName name="Print_Area_MI">#REF!</definedName>
    <definedName name="_xlnm.Print_Titles" hidden="1">#N/A</definedName>
    <definedName name="rrrr" localSheetId="66">#REF!</definedName>
    <definedName name="rrrr">#REF!</definedName>
    <definedName name="s" localSheetId="66">#REF!</definedName>
    <definedName name="s">#REF!</definedName>
    <definedName name="sfeggsafasfas" localSheetId="66">#REF!</definedName>
    <definedName name="sfeggsafasfas">#REF!</definedName>
    <definedName name="Sheet1" localSheetId="66">#REF!</definedName>
    <definedName name="Sheet1">#REF!</definedName>
    <definedName name="Sheet10" localSheetId="66">#REF!</definedName>
    <definedName name="Sheet10">#REF!</definedName>
    <definedName name="Sheet11" localSheetId="66">#REF!</definedName>
    <definedName name="Sheet11">#REF!</definedName>
    <definedName name="Sheet12" localSheetId="66">#REF!</definedName>
    <definedName name="Sheet12">#REF!</definedName>
    <definedName name="Sheet3" localSheetId="66">#REF!</definedName>
    <definedName name="Sheet3">#REF!</definedName>
    <definedName name="Sheet4" localSheetId="66">#REF!</definedName>
    <definedName name="Sheet4">#REF!</definedName>
    <definedName name="Sheet5" localSheetId="66">#REF!</definedName>
    <definedName name="Sheet5">#REF!</definedName>
    <definedName name="Sheet6" localSheetId="66">#REF!</definedName>
    <definedName name="Sheet6">#REF!</definedName>
    <definedName name="Sheet7" localSheetId="66">#REF!</definedName>
    <definedName name="Sheet7">#REF!</definedName>
    <definedName name="Sheet8" localSheetId="66">#REF!</definedName>
    <definedName name="Sheet8">#REF!</definedName>
    <definedName name="Sheet9" localSheetId="66">#REF!</definedName>
    <definedName name="Sheet9">#REF!</definedName>
    <definedName name="ss" localSheetId="66">#REF!</definedName>
    <definedName name="ss">#REF!</definedName>
    <definedName name="ttt" localSheetId="66">#REF!</definedName>
    <definedName name="ttt">#REF!</definedName>
    <definedName name="tttt" localSheetId="66">#REF!</definedName>
    <definedName name="tttt">#REF!</definedName>
    <definedName name="UFPrn20010712083924" localSheetId="66">#REF!</definedName>
    <definedName name="UFPrn20010712083924">#REF!</definedName>
    <definedName name="UFPrn20020224093130" localSheetId="66">#REF!</definedName>
    <definedName name="UFPrn20020224093130">#REF!</definedName>
    <definedName name="UFPrn20020224094757" localSheetId="66">#REF!</definedName>
    <definedName name="UFPrn20020224094757">#REF!</definedName>
    <definedName name="UFPrn20020224101302" localSheetId="66">#REF!</definedName>
    <definedName name="UFPrn20020224101302">#REF!</definedName>
    <definedName name="UFPrn20020224101600" localSheetId="66">#REF!</definedName>
    <definedName name="UFPrn20020224101600">#REF!</definedName>
    <definedName name="UFPrn20020228143318" localSheetId="66">#REF!</definedName>
    <definedName name="UFPrn20020228143318">#REF!</definedName>
    <definedName name="UFPrn20020303094007" localSheetId="66">#REF!</definedName>
    <definedName name="UFPrn20020303094007">#REF!</definedName>
    <definedName name="www" localSheetId="66">#REF!</definedName>
    <definedName name="www">#REF!</definedName>
    <definedName name="yyyy" localSheetId="66">#REF!</definedName>
    <definedName name="yyyy">#REF!</definedName>
    <definedName name="备___注" localSheetId="66">#REF!</definedName>
    <definedName name="备___注">#REF!</definedName>
    <definedName name="本级标准收入2004年">[4]本年收入合计!$E$4:$E$184</definedName>
    <definedName name="拨款汇总_合计" localSheetId="66">SUM([5]汇总!#REF!)</definedName>
    <definedName name="拨款汇总_合计">SUM([5]汇总!#REF!)</definedName>
    <definedName name="财力" localSheetId="66">#REF!</definedName>
    <definedName name="财力">#REF!</definedName>
    <definedName name="财政供养人员增幅2004年">[6]财政供养人员增幅!$E$6</definedName>
    <definedName name="财政供养人员增幅2004年分县">[6]财政供养人员增幅!$E$4:$E$184</definedName>
    <definedName name="村级标准支出">[7]村级支出!$E$4:$E$184</definedName>
    <definedName name="存货合计" localSheetId="66">#REF!</definedName>
    <definedName name="存货合计">#REF!</definedName>
    <definedName name="存货明细" localSheetId="66">#REF!</definedName>
    <definedName name="存货明细">#REF!</definedName>
    <definedName name="大多数">'[8]13 铁路配件'!$A$15</definedName>
    <definedName name="大幅度" localSheetId="66">#REF!</definedName>
    <definedName name="大幅度">#REF!</definedName>
    <definedName name="地区名称" localSheetId="66">[9]封面!#REF!</definedName>
    <definedName name="地区名称">[9]封面!#REF!</definedName>
    <definedName name="第二产业分县2003年">[10]GDP!$G$4:$G$184</definedName>
    <definedName name="第二产业合计2003年">[10]GDP!$G$4</definedName>
    <definedName name="第三产业分县2003年">[10]GDP!$H$4:$H$184</definedName>
    <definedName name="第三产业合计2003年">[10]GDP!$H$4</definedName>
    <definedName name="耕地占用税分县2003年">[11]一般预算收入!$U$4:$U$184</definedName>
    <definedName name="耕地占用税合计2003年">[11]一般预算收入!$U$4</definedName>
    <definedName name="工商税收2004年">[12]工商税收!$S$4:$S$184</definedName>
    <definedName name="工商税收合计2004年">[12]工商税收!$S$4</definedName>
    <definedName name="公检法司部门编制数">[13]公检法司编制!$E$4:$E$184</definedName>
    <definedName name="公用标准支出">[14]合计!$E$4:$E$184</definedName>
    <definedName name="行政管理部门编制数">[13]行政编制!$E$4:$E$184</definedName>
    <definedName name="合___计" localSheetId="66">#REF!</definedName>
    <definedName name="合___计">#REF!</definedName>
    <definedName name="汇率" localSheetId="66">#REF!</definedName>
    <definedName name="汇率">#REF!</definedName>
    <definedName name="科目编码">[15]编码!$A$2:$A$145</definedName>
    <definedName name="农业人口2003年">[16]农业人口!$E$4:$E$184</definedName>
    <definedName name="农业税分县2003年">[11]一般预算收入!$S$4:$S$184</definedName>
    <definedName name="农业税合计2003年">[11]一般预算收入!$S$4</definedName>
    <definedName name="农业特产税分县2003年">[11]一般预算收入!$T$4:$T$184</definedName>
    <definedName name="农业特产税合计2003年">[11]一般预算收入!$T$4</definedName>
    <definedName name="农业用地面积">[17]农业用地!$E$4:$E$184</definedName>
    <definedName name="契税分县2003年">[11]一般预算收入!$V$4:$V$184</definedName>
    <definedName name="契税合计2003年">[11]一般预算收入!$V$4</definedName>
    <definedName name="全额差额比例" localSheetId="66">'[18]C01-1'!#REF!</definedName>
    <definedName name="全额差额比例">'[18]C01-1'!#REF!</definedName>
    <definedName name="人员标准支出">[19]人员支出!$E$4:$E$184</definedName>
    <definedName name="生产列1" localSheetId="66">#REF!</definedName>
    <definedName name="生产列1">#REF!</definedName>
    <definedName name="生产列11" localSheetId="66">#REF!</definedName>
    <definedName name="生产列11">#REF!</definedName>
    <definedName name="生产列15" localSheetId="66">#REF!</definedName>
    <definedName name="生产列15">#REF!</definedName>
    <definedName name="生产列16" localSheetId="66">#REF!</definedName>
    <definedName name="生产列16">#REF!</definedName>
    <definedName name="生产列17" localSheetId="66">#REF!</definedName>
    <definedName name="生产列17">#REF!</definedName>
    <definedName name="生产列19" localSheetId="66">#REF!</definedName>
    <definedName name="生产列19">#REF!</definedName>
    <definedName name="生产列2" localSheetId="66">#REF!</definedName>
    <definedName name="生产列2">#REF!</definedName>
    <definedName name="生产列20" localSheetId="66">#REF!</definedName>
    <definedName name="生产列20">#REF!</definedName>
    <definedName name="生产列3" localSheetId="66">#REF!</definedName>
    <definedName name="生产列3">#REF!</definedName>
    <definedName name="生产列4" localSheetId="66">#REF!</definedName>
    <definedName name="生产列4">#REF!</definedName>
    <definedName name="生产列5" localSheetId="66">#REF!</definedName>
    <definedName name="生产列5">#REF!</definedName>
    <definedName name="生产列6" localSheetId="66">#REF!</definedName>
    <definedName name="生产列6">#REF!</definedName>
    <definedName name="生产列7" localSheetId="66">#REF!</definedName>
    <definedName name="生产列7">#REF!</definedName>
    <definedName name="生产列8" localSheetId="66">#REF!</definedName>
    <definedName name="生产列8">#REF!</definedName>
    <definedName name="生产列9" localSheetId="66">#REF!</definedName>
    <definedName name="生产列9">#REF!</definedName>
    <definedName name="生产期" localSheetId="66">#REF!</definedName>
    <definedName name="生产期">#REF!</definedName>
    <definedName name="生产期1" localSheetId="66">#REF!</definedName>
    <definedName name="生产期1">#REF!</definedName>
    <definedName name="生产期11" localSheetId="66">#REF!</definedName>
    <definedName name="生产期11">#REF!</definedName>
    <definedName name="生产期123" localSheetId="66">#REF!</definedName>
    <definedName name="生产期123">#REF!</definedName>
    <definedName name="生产期15" localSheetId="66">#REF!</definedName>
    <definedName name="生产期15">#REF!</definedName>
    <definedName name="生产期16" localSheetId="66">#REF!</definedName>
    <definedName name="生产期16">#REF!</definedName>
    <definedName name="生产期17" localSheetId="66">#REF!</definedName>
    <definedName name="生产期17">#REF!</definedName>
    <definedName name="生产期19" localSheetId="66">#REF!</definedName>
    <definedName name="生产期19">#REF!</definedName>
    <definedName name="生产期2" localSheetId="66">#REF!</definedName>
    <definedName name="生产期2">#REF!</definedName>
    <definedName name="生产期20" localSheetId="66">#REF!</definedName>
    <definedName name="生产期20">#REF!</definedName>
    <definedName name="生产期3" localSheetId="66">#REF!</definedName>
    <definedName name="生产期3">#REF!</definedName>
    <definedName name="生产期4" localSheetId="66">#REF!</definedName>
    <definedName name="生产期4">#REF!</definedName>
    <definedName name="生产期5" localSheetId="66">#REF!</definedName>
    <definedName name="生产期5">#REF!</definedName>
    <definedName name="生产期6" localSheetId="66">#REF!</definedName>
    <definedName name="生产期6">#REF!</definedName>
    <definedName name="生产期7" localSheetId="66">#REF!</definedName>
    <definedName name="生产期7">#REF!</definedName>
    <definedName name="生产期8" localSheetId="66">#REF!</definedName>
    <definedName name="生产期8">#REF!</definedName>
    <definedName name="生产期9" localSheetId="66">#REF!</definedName>
    <definedName name="生产期9">#REF!</definedName>
    <definedName name="事业发展支出">[20]事业发展!$E$4:$E$184</definedName>
    <definedName name="是" localSheetId="66">#REF!</definedName>
    <definedName name="是">#REF!</definedName>
    <definedName name="手机">OR([3]Sheet!$AL1="未填手机号码",[3]Sheet!$AL1="请检查手机号码")</definedName>
    <definedName name="索引号" localSheetId="66">#REF!</definedName>
    <definedName name="索引号">#REF!</definedName>
    <definedName name="未审合计" localSheetId="66">#REF!</definedName>
    <definedName name="未审合计">#REF!</definedName>
    <definedName name="未审数" localSheetId="66">#REF!</definedName>
    <definedName name="未审数">#REF!</definedName>
    <definedName name="位次d" localSheetId="66">[21]四月份月报!#REF!</definedName>
    <definedName name="位次d">[21]四月份月报!#REF!</definedName>
    <definedName name="乡镇个数">[22]行政区划!$D$6:$D$184</definedName>
    <definedName name="性别">[3]Sheet!$D1="性别填写有误"</definedName>
    <definedName name="学历">[23]基础编码!$S$2:$S$9</definedName>
    <definedName name="一般预算收入2002年">'[24]2002年一般预算收入'!$AC$4:$AC$184</definedName>
    <definedName name="一般预算收入2003年">[11]一般预算收入!$AD$4:$AD$184</definedName>
    <definedName name="一般预算收入合计2003年">[11]一般预算收入!$AC$4</definedName>
    <definedName name="支出">[25]P1012001!$A$6:$E$117</definedName>
    <definedName name="中国" localSheetId="66">#REF!</definedName>
    <definedName name="中国">#REF!</definedName>
    <definedName name="中小学生人数2003年">[26]中小学生!$E$4:$E$184</definedName>
    <definedName name="总人口2003年">[27]总人口!$E$4:$E$184</definedName>
    <definedName name="전" localSheetId="66">#REF!</definedName>
    <definedName name="전">#REF!</definedName>
    <definedName name="주택사업본부" localSheetId="66">#REF!</definedName>
    <definedName name="주택사업본부">#REF!</definedName>
    <definedName name="철구사업본부" localSheetId="66">#REF!</definedName>
    <definedName name="철구사업본부">#REF!</definedName>
  </definedNames>
  <calcPr calcId="124519"/>
</workbook>
</file>

<file path=xl/calcChain.xml><?xml version="1.0" encoding="utf-8"?>
<calcChain xmlns="http://schemas.openxmlformats.org/spreadsheetml/2006/main">
  <c r="F10" i="145"/>
  <c r="D6" i="100"/>
  <c r="D7"/>
  <c r="D8"/>
  <c r="D9"/>
  <c r="D10"/>
  <c r="D11"/>
  <c r="D12"/>
  <c r="D13"/>
  <c r="D14"/>
  <c r="D15"/>
  <c r="D18"/>
  <c r="D19"/>
  <c r="D20"/>
  <c r="D21"/>
  <c r="D22"/>
  <c r="D23"/>
  <c r="D24"/>
  <c r="D25"/>
  <c r="D26"/>
  <c r="D27"/>
  <c r="D6" i="149"/>
  <c r="D7"/>
  <c r="D8"/>
  <c r="D9"/>
  <c r="D10"/>
  <c r="D11"/>
  <c r="D12"/>
  <c r="D13"/>
  <c r="D14"/>
  <c r="D15"/>
  <c r="D18"/>
  <c r="D19"/>
  <c r="D20"/>
  <c r="D21"/>
  <c r="D22"/>
  <c r="D23"/>
  <c r="D24"/>
  <c r="D25"/>
  <c r="D26"/>
  <c r="D27"/>
  <c r="D6" i="181"/>
  <c r="D7"/>
  <c r="D8"/>
  <c r="D9"/>
  <c r="D10"/>
  <c r="D11"/>
  <c r="D12"/>
  <c r="D13"/>
  <c r="D14"/>
  <c r="D15"/>
  <c r="B17"/>
  <c r="B18"/>
  <c r="B19"/>
  <c r="B20"/>
  <c r="B21"/>
  <c r="B22"/>
  <c r="B23"/>
  <c r="B24"/>
  <c r="B25"/>
  <c r="B26"/>
  <c r="B27"/>
  <c r="B28"/>
  <c r="B6" i="194"/>
  <c r="C6"/>
  <c r="E6"/>
  <c r="F6"/>
  <c r="B7"/>
  <c r="C7"/>
  <c r="D7"/>
  <c r="E7"/>
  <c r="F7"/>
  <c r="G7"/>
  <c r="B8"/>
  <c r="C8"/>
  <c r="D8"/>
  <c r="E8"/>
  <c r="F8"/>
  <c r="G8"/>
  <c r="B9"/>
  <c r="C9"/>
  <c r="D9"/>
  <c r="E9"/>
  <c r="F9"/>
  <c r="G9"/>
  <c r="B10"/>
  <c r="C10"/>
  <c r="D10"/>
  <c r="E10"/>
  <c r="F10"/>
  <c r="G10"/>
  <c r="B11"/>
  <c r="C11"/>
  <c r="D11"/>
  <c r="E11"/>
  <c r="F11"/>
  <c r="G11"/>
  <c r="B12"/>
  <c r="C12"/>
  <c r="D12"/>
  <c r="E12"/>
  <c r="F12"/>
  <c r="G12"/>
  <c r="B13"/>
  <c r="C13"/>
  <c r="D13"/>
  <c r="E13"/>
  <c r="F13"/>
  <c r="G13"/>
  <c r="B14"/>
  <c r="C14"/>
  <c r="D14"/>
  <c r="E14"/>
  <c r="F14"/>
  <c r="G14"/>
  <c r="B15"/>
  <c r="C15"/>
  <c r="D15"/>
  <c r="E15"/>
  <c r="F15"/>
  <c r="G15"/>
  <c r="B16"/>
  <c r="C16"/>
  <c r="D16"/>
  <c r="E16"/>
  <c r="F16"/>
  <c r="G16"/>
  <c r="B17"/>
  <c r="C17"/>
  <c r="D17"/>
  <c r="E17"/>
  <c r="F17"/>
  <c r="G17"/>
  <c r="B18"/>
  <c r="C18"/>
  <c r="D18"/>
  <c r="E18"/>
  <c r="F18"/>
  <c r="G18"/>
  <c r="B19"/>
  <c r="C19"/>
  <c r="D19"/>
  <c r="E19"/>
  <c r="F19"/>
  <c r="G19"/>
  <c r="B20"/>
  <c r="C20"/>
  <c r="D20"/>
  <c r="E20"/>
  <c r="F20"/>
  <c r="G20"/>
  <c r="B21"/>
  <c r="C21"/>
  <c r="D21"/>
  <c r="E21"/>
  <c r="F21"/>
  <c r="G21"/>
  <c r="B22"/>
  <c r="C22"/>
  <c r="D22"/>
  <c r="E22"/>
  <c r="F22"/>
  <c r="G22"/>
  <c r="B23"/>
  <c r="C23"/>
  <c r="D23"/>
  <c r="E23"/>
  <c r="F23"/>
  <c r="G23"/>
  <c r="B24"/>
  <c r="C24"/>
  <c r="D24"/>
  <c r="E24"/>
  <c r="F24"/>
  <c r="G24"/>
  <c r="B25"/>
  <c r="C25"/>
  <c r="D25"/>
  <c r="E25"/>
  <c r="F25"/>
  <c r="G25"/>
  <c r="B26"/>
  <c r="C26"/>
  <c r="D26"/>
  <c r="E26"/>
  <c r="F26"/>
  <c r="G26"/>
  <c r="B27"/>
  <c r="C27"/>
  <c r="D27"/>
  <c r="E27"/>
  <c r="F27"/>
  <c r="G27"/>
  <c r="B6" i="158"/>
  <c r="C6"/>
  <c r="B7"/>
  <c r="C7"/>
  <c r="B8"/>
  <c r="C8"/>
  <c r="B9"/>
  <c r="C9"/>
  <c r="B10"/>
  <c r="C10"/>
  <c r="B11"/>
  <c r="C11"/>
  <c r="B12"/>
  <c r="C12"/>
  <c r="B14"/>
  <c r="C14"/>
  <c r="B15"/>
  <c r="C15"/>
  <c r="B16"/>
  <c r="C16"/>
  <c r="B17"/>
  <c r="C17"/>
  <c r="B18"/>
  <c r="C18"/>
  <c r="B19"/>
  <c r="C19"/>
  <c r="B20"/>
  <c r="C20"/>
  <c r="B21"/>
  <c r="C21"/>
  <c r="B22"/>
  <c r="C22"/>
  <c r="B23"/>
  <c r="C23"/>
  <c r="B24"/>
  <c r="C24"/>
  <c r="B26"/>
  <c r="C26"/>
  <c r="B27"/>
  <c r="C27"/>
  <c r="B28"/>
  <c r="C28"/>
  <c r="D7" i="199"/>
  <c r="E7"/>
  <c r="D8"/>
  <c r="E8"/>
  <c r="D9"/>
  <c r="E9"/>
  <c r="D10"/>
  <c r="E10"/>
  <c r="D11"/>
  <c r="E11"/>
  <c r="D12"/>
  <c r="E12"/>
  <c r="D13"/>
  <c r="E13"/>
  <c r="D14"/>
  <c r="E14"/>
  <c r="D15"/>
  <c r="E15"/>
  <c r="D16"/>
  <c r="E16"/>
  <c r="D17"/>
  <c r="E17"/>
  <c r="B21"/>
  <c r="C21"/>
  <c r="B22"/>
  <c r="C22"/>
  <c r="B23"/>
  <c r="C23"/>
  <c r="D7" i="200"/>
  <c r="E7"/>
  <c r="D8"/>
  <c r="E8"/>
  <c r="D9"/>
  <c r="E9"/>
  <c r="D10"/>
  <c r="E10"/>
  <c r="D11"/>
  <c r="E11"/>
  <c r="D12"/>
  <c r="E12"/>
  <c r="D13"/>
  <c r="E13"/>
  <c r="D14"/>
  <c r="E14"/>
  <c r="D15"/>
  <c r="E15"/>
  <c r="D16"/>
  <c r="E16"/>
  <c r="D17"/>
  <c r="E17"/>
  <c r="B6" i="157"/>
  <c r="C6"/>
  <c r="B7"/>
  <c r="C7"/>
  <c r="B8"/>
  <c r="C8"/>
  <c r="B9"/>
  <c r="C9"/>
  <c r="B10"/>
  <c r="C10"/>
  <c r="B11"/>
  <c r="C11"/>
  <c r="B12"/>
  <c r="C12"/>
  <c r="B13"/>
  <c r="C13"/>
  <c r="B15"/>
  <c r="C15"/>
  <c r="B16"/>
  <c r="C16"/>
  <c r="B17"/>
  <c r="C17"/>
  <c r="B18"/>
  <c r="C18"/>
  <c r="B19"/>
  <c r="C19"/>
  <c r="B20"/>
  <c r="C20"/>
  <c r="B21"/>
  <c r="C21"/>
  <c r="B22"/>
  <c r="C22"/>
  <c r="B23"/>
  <c r="C23"/>
  <c r="B24"/>
  <c r="C24"/>
  <c r="B25"/>
  <c r="C25"/>
  <c r="B27"/>
  <c r="C27"/>
  <c r="B28"/>
  <c r="C28"/>
  <c r="B29"/>
  <c r="C29"/>
  <c r="B6" i="156"/>
  <c r="C6"/>
  <c r="B7"/>
  <c r="C7"/>
  <c r="B8"/>
  <c r="C8"/>
  <c r="B9"/>
  <c r="C9"/>
  <c r="B10"/>
  <c r="C10"/>
  <c r="B11"/>
  <c r="C11"/>
  <c r="B12"/>
  <c r="C12"/>
  <c r="B14"/>
  <c r="C14"/>
  <c r="B15"/>
  <c r="C15"/>
  <c r="B16"/>
  <c r="C16"/>
  <c r="B17"/>
  <c r="C17"/>
  <c r="B18"/>
  <c r="C18"/>
  <c r="B19"/>
  <c r="C19"/>
  <c r="B20"/>
  <c r="C20"/>
  <c r="B21"/>
  <c r="C21"/>
  <c r="B22"/>
  <c r="C22"/>
  <c r="B23"/>
  <c r="C23"/>
  <c r="B24"/>
  <c r="C24"/>
  <c r="B26"/>
  <c r="C26"/>
  <c r="B27"/>
  <c r="C27"/>
  <c r="B28"/>
  <c r="C28"/>
  <c r="B6" i="155"/>
  <c r="C6"/>
  <c r="B7"/>
  <c r="C7"/>
  <c r="B8"/>
  <c r="C8"/>
  <c r="B9"/>
  <c r="C9"/>
  <c r="B10"/>
  <c r="C10"/>
  <c r="B11"/>
  <c r="C11"/>
  <c r="B12"/>
  <c r="C12"/>
  <c r="B13"/>
  <c r="C13"/>
  <c r="B15"/>
  <c r="C15"/>
  <c r="B16"/>
  <c r="C16"/>
  <c r="B17"/>
  <c r="C17"/>
  <c r="B18"/>
  <c r="C18"/>
  <c r="B19"/>
  <c r="C19"/>
  <c r="B20"/>
  <c r="C20"/>
  <c r="B21"/>
  <c r="C21"/>
  <c r="B23"/>
  <c r="C23"/>
  <c r="B24"/>
  <c r="C24"/>
  <c r="B25"/>
  <c r="C25"/>
  <c r="B26"/>
  <c r="C26"/>
  <c r="B28"/>
  <c r="C28"/>
  <c r="B29"/>
  <c r="C29"/>
  <c r="B30"/>
  <c r="C30"/>
  <c r="B6" i="154"/>
  <c r="C6"/>
  <c r="B7"/>
  <c r="C7"/>
  <c r="B8"/>
  <c r="C8"/>
  <c r="B9"/>
  <c r="C9"/>
  <c r="B10"/>
  <c r="C10"/>
  <c r="B11"/>
  <c r="C11"/>
  <c r="B12"/>
  <c r="C12"/>
  <c r="B14"/>
  <c r="C14"/>
  <c r="B15"/>
  <c r="C15"/>
  <c r="B16"/>
  <c r="B17"/>
  <c r="C17"/>
  <c r="B18"/>
  <c r="C18"/>
  <c r="B19"/>
  <c r="C19"/>
  <c r="B20"/>
  <c r="C20"/>
  <c r="B21"/>
  <c r="C21"/>
  <c r="B22"/>
  <c r="C22"/>
  <c r="B23"/>
  <c r="C23"/>
  <c r="B24"/>
  <c r="C24"/>
  <c r="B26"/>
  <c r="C26"/>
  <c r="B27"/>
  <c r="C27"/>
  <c r="B28"/>
  <c r="C28"/>
  <c r="B29"/>
  <c r="C29"/>
  <c r="B6" i="198"/>
  <c r="C6"/>
  <c r="B7"/>
  <c r="C7"/>
  <c r="B8"/>
  <c r="C8"/>
  <c r="B9"/>
  <c r="C9"/>
  <c r="B10"/>
  <c r="C10"/>
  <c r="B11"/>
  <c r="C11"/>
  <c r="B12"/>
  <c r="C12"/>
  <c r="B14"/>
  <c r="C14"/>
  <c r="B15"/>
  <c r="C15"/>
  <c r="B16"/>
  <c r="C16"/>
  <c r="B17"/>
  <c r="C17"/>
  <c r="B18"/>
  <c r="C18"/>
  <c r="B19"/>
  <c r="C19"/>
  <c r="B20"/>
  <c r="C20"/>
  <c r="B21"/>
  <c r="C21"/>
  <c r="B22"/>
  <c r="C22"/>
  <c r="B23"/>
  <c r="C23"/>
  <c r="B24"/>
  <c r="C24"/>
  <c r="B26"/>
  <c r="C26"/>
  <c r="B27"/>
  <c r="C27"/>
  <c r="B28"/>
  <c r="C28"/>
  <c r="B6" i="153"/>
  <c r="C6"/>
  <c r="B7"/>
  <c r="C7"/>
  <c r="B8"/>
  <c r="C8"/>
  <c r="B9"/>
  <c r="C9"/>
  <c r="B10"/>
  <c r="C10"/>
  <c r="B11"/>
  <c r="C11"/>
  <c r="B12"/>
  <c r="C12"/>
  <c r="B14"/>
  <c r="C14"/>
  <c r="B15"/>
  <c r="C15"/>
  <c r="B16"/>
  <c r="C16"/>
  <c r="B17"/>
  <c r="C17"/>
  <c r="B18"/>
  <c r="C18"/>
  <c r="B19"/>
  <c r="C19"/>
  <c r="B20"/>
  <c r="C20"/>
  <c r="B21"/>
  <c r="C21"/>
  <c r="B22"/>
  <c r="C22"/>
  <c r="B23"/>
  <c r="C23"/>
  <c r="B24"/>
  <c r="C24"/>
  <c r="B26"/>
  <c r="C26"/>
  <c r="B27"/>
  <c r="C27"/>
  <c r="B28"/>
  <c r="C28"/>
  <c r="B29"/>
  <c r="C29"/>
</calcChain>
</file>

<file path=xl/sharedStrings.xml><?xml version="1.0" encoding="utf-8"?>
<sst xmlns="http://schemas.openxmlformats.org/spreadsheetml/2006/main" count="2289" uniqueCount="623">
  <si>
    <t>主要经济指标完成情况（一）</t>
  </si>
  <si>
    <t>指   标</t>
  </si>
  <si>
    <t>单位</t>
  </si>
  <si>
    <t>2019年1-9月</t>
  </si>
  <si>
    <t>2019年1-8月</t>
  </si>
  <si>
    <t>绝对值</t>
  </si>
  <si>
    <t>增长%</t>
  </si>
  <si>
    <t>生产总值(GDP)</t>
  </si>
  <si>
    <t>亿元</t>
  </si>
  <si>
    <t>-</t>
  </si>
  <si>
    <t>规模以上工业总产值</t>
  </si>
  <si>
    <t>规模以上工业增加值</t>
  </si>
  <si>
    <t>固定资产投资</t>
  </si>
  <si>
    <t xml:space="preserve">    房地产开发投资</t>
  </si>
  <si>
    <t xml:space="preserve">    商品房销售面积</t>
  </si>
  <si>
    <t>万平方米</t>
  </si>
  <si>
    <t>社会消费品零售总额</t>
  </si>
  <si>
    <t>地方一般公共预算收入</t>
  </si>
  <si>
    <t>地方一般公共预算支出</t>
  </si>
  <si>
    <t>税收收入</t>
  </si>
  <si>
    <t>进出口总额</t>
  </si>
  <si>
    <t xml:space="preserve">    出口总额</t>
  </si>
  <si>
    <t xml:space="preserve">    进口总额</t>
  </si>
  <si>
    <t>实际使用外资</t>
  </si>
  <si>
    <t>万美元</t>
  </si>
  <si>
    <t>金融机构本外币存款余额</t>
  </si>
  <si>
    <t xml:space="preserve">    #住户存款余额</t>
  </si>
  <si>
    <t>金融机构本外币贷款余额</t>
  </si>
  <si>
    <t>居民消费价格指数</t>
  </si>
  <si>
    <t>%</t>
  </si>
  <si>
    <t>工业生产者出厂价格指数</t>
  </si>
  <si>
    <t>全社会用电量</t>
  </si>
  <si>
    <t>亿千瓦时</t>
  </si>
  <si>
    <t xml:space="preserve">    工业用电量</t>
  </si>
  <si>
    <t>注：生产总值按季度统计，税收收入按自然口径计算。</t>
  </si>
  <si>
    <t>主要经济指标完成情况（二）</t>
  </si>
  <si>
    <t>2019年1-7月</t>
  </si>
  <si>
    <t>2019年1-6月</t>
  </si>
  <si>
    <t>主要经济指标完成情况（三）</t>
  </si>
  <si>
    <t>2019年1-5月</t>
  </si>
  <si>
    <t>2019年1-4月</t>
  </si>
  <si>
    <t>主要经济指标完成情况（四）</t>
  </si>
  <si>
    <t>2019年1-3月</t>
  </si>
  <si>
    <t>2019年1-2月</t>
  </si>
  <si>
    <t>主要经济指标完成情况（五）</t>
  </si>
  <si>
    <t>2018年</t>
  </si>
  <si>
    <t>全市生产总值（GDP）</t>
  </si>
  <si>
    <t>单位：亿元</t>
  </si>
  <si>
    <t>指  标</t>
  </si>
  <si>
    <t>1-9月</t>
  </si>
  <si>
    <t>生产总值</t>
  </si>
  <si>
    <t xml:space="preserve">    第一产业</t>
  </si>
  <si>
    <t xml:space="preserve">    第二产业</t>
  </si>
  <si>
    <t xml:space="preserve">        建筑业</t>
  </si>
  <si>
    <t xml:space="preserve">    第三产业</t>
  </si>
  <si>
    <t xml:space="preserve">        交运仓储邮电通信业</t>
  </si>
  <si>
    <t xml:space="preserve">        批发和零售业</t>
  </si>
  <si>
    <t xml:space="preserve">        住宿和餐饮业</t>
  </si>
  <si>
    <t xml:space="preserve">        金融业</t>
  </si>
  <si>
    <t xml:space="preserve">        房地产业</t>
  </si>
  <si>
    <t xml:space="preserve">        营利性服务业</t>
  </si>
  <si>
    <t xml:space="preserve">        非营利性服务业</t>
  </si>
  <si>
    <t xml:space="preserve">        农业</t>
  </si>
  <si>
    <t xml:space="preserve"> </t>
  </si>
  <si>
    <t xml:space="preserve">        工业</t>
  </si>
  <si>
    <t xml:space="preserve">  三次产业结构（%）</t>
  </si>
  <si>
    <t>16.7:32.4:50.9</t>
  </si>
  <si>
    <t>注：生产总值按季度核算。</t>
  </si>
  <si>
    <t>农业生产情况</t>
  </si>
  <si>
    <t>审核</t>
  </si>
  <si>
    <t>一、农林牧渔业总产值</t>
  </si>
  <si>
    <t xml:space="preserve">        农  业</t>
  </si>
  <si>
    <t xml:space="preserve">        林  业</t>
  </si>
  <si>
    <t xml:space="preserve">        畜牧业</t>
  </si>
  <si>
    <t xml:space="preserve">        渔  业</t>
  </si>
  <si>
    <t xml:space="preserve">        农林牧渔服务业</t>
  </si>
  <si>
    <t>二、农林牧渔业增加值</t>
  </si>
  <si>
    <t>三、主要农产品产量</t>
  </si>
  <si>
    <t xml:space="preserve">        粮  食 </t>
  </si>
  <si>
    <t>万吨</t>
  </si>
  <si>
    <t xml:space="preserve">            #稻  谷</t>
  </si>
  <si>
    <t xml:space="preserve">        蔬  菜 </t>
  </si>
  <si>
    <t xml:space="preserve">        园林水果 </t>
  </si>
  <si>
    <t xml:space="preserve">        生  猪（出栏量） </t>
  </si>
  <si>
    <t>万头</t>
  </si>
  <si>
    <t xml:space="preserve">        家  禽（出栏量）      </t>
  </si>
  <si>
    <t>万只</t>
  </si>
  <si>
    <t xml:space="preserve">        水产品 </t>
  </si>
  <si>
    <t>注：农业总产值和增加值按季度核算，增长速度按可比价格计算，以2017年农普修订的季度数据为基数。</t>
  </si>
  <si>
    <t>规模以上工业生产情况（一）</t>
  </si>
  <si>
    <t>9月</t>
  </si>
  <si>
    <t>增速（%）</t>
  </si>
  <si>
    <t>一、工业总产值</t>
  </si>
  <si>
    <t xml:space="preserve">  # 轻工业</t>
  </si>
  <si>
    <t xml:space="preserve">    重工业</t>
  </si>
  <si>
    <t xml:space="preserve">  # 国有企业</t>
  </si>
  <si>
    <t xml:space="preserve">    集体企业</t>
  </si>
  <si>
    <t xml:space="preserve">    股份合作制企业</t>
  </si>
  <si>
    <t xml:space="preserve">    股份制企业</t>
  </si>
  <si>
    <t xml:space="preserve">    外商及港澳台企业</t>
  </si>
  <si>
    <t xml:space="preserve">    其他经济类型企业</t>
  </si>
  <si>
    <t xml:space="preserve">  # 国有及国有控股企业</t>
  </si>
  <si>
    <t xml:space="preserve">    民营企业</t>
  </si>
  <si>
    <t xml:space="preserve">  # 大型企业</t>
  </si>
  <si>
    <t xml:space="preserve">    中型企业</t>
  </si>
  <si>
    <t xml:space="preserve">    小型企业</t>
  </si>
  <si>
    <t xml:space="preserve">    微型企业</t>
  </si>
  <si>
    <t>二、出口交货值</t>
  </si>
  <si>
    <t>现价销售产值         （亿元）</t>
  </si>
  <si>
    <t>产品销售率（%）</t>
  </si>
  <si>
    <t>产品销售率增速（%）</t>
  </si>
  <si>
    <t>三、销售产值及产销率</t>
  </si>
  <si>
    <t>注：2011年起，规模以上工业统计范围为主营业务收入2000万元及以上的工业法人企业。</t>
  </si>
  <si>
    <t>规模以上工业生产情况（二）</t>
  </si>
  <si>
    <t>一、工业增加值</t>
  </si>
  <si>
    <t>规模以上工业企业经济效益</t>
  </si>
  <si>
    <t>计量单位</t>
  </si>
  <si>
    <t>1-8月</t>
  </si>
  <si>
    <t>企业单位数</t>
  </si>
  <si>
    <t>个</t>
  </si>
  <si>
    <t xml:space="preserve">    #亏损企业</t>
  </si>
  <si>
    <t>亏损企业亏损额</t>
  </si>
  <si>
    <t>营业收入</t>
  </si>
  <si>
    <t>实现利税总额</t>
  </si>
  <si>
    <t xml:space="preserve">    #利润总额</t>
  </si>
  <si>
    <t>资产合计</t>
  </si>
  <si>
    <t>负债合计</t>
  </si>
  <si>
    <t>流动资产合计</t>
  </si>
  <si>
    <t>产成品</t>
  </si>
  <si>
    <t>财务费用</t>
  </si>
  <si>
    <t>全部从业人员平均人数</t>
  </si>
  <si>
    <t>万人</t>
  </si>
  <si>
    <t>经济效益综合指数</t>
  </si>
  <si>
    <t>资产贡献率</t>
  </si>
  <si>
    <t>资产增值率</t>
  </si>
  <si>
    <t>资产负债率</t>
  </si>
  <si>
    <t>流动资产周转率</t>
  </si>
  <si>
    <t>次</t>
  </si>
  <si>
    <t>成本利润率</t>
  </si>
  <si>
    <t>劳动生产率</t>
  </si>
  <si>
    <t>万元/人</t>
  </si>
  <si>
    <t>产品销售率</t>
  </si>
  <si>
    <t>分行业规模以上工业企业总产值(一）</t>
  </si>
  <si>
    <t>全市总计</t>
  </si>
  <si>
    <t xml:space="preserve">黑色金属矿采矿业   </t>
  </si>
  <si>
    <t>有色金属矿采选业</t>
  </si>
  <si>
    <t xml:space="preserve">非金属矿采选业     </t>
  </si>
  <si>
    <t xml:space="preserve">开采辅助活动     </t>
  </si>
  <si>
    <t>其他采矿业</t>
  </si>
  <si>
    <t xml:space="preserve">农副食品加工业     </t>
  </si>
  <si>
    <t xml:space="preserve">    其中：植物油加工    </t>
  </si>
  <si>
    <t xml:space="preserve">          制糖</t>
  </si>
  <si>
    <t xml:space="preserve">          水产品加工</t>
  </si>
  <si>
    <t xml:space="preserve">食品制造业         </t>
  </si>
  <si>
    <t xml:space="preserve">酒.饮料和精制茶制造业 </t>
  </si>
  <si>
    <t xml:space="preserve">烟草制品业         </t>
  </si>
  <si>
    <t xml:space="preserve">纺织业             </t>
  </si>
  <si>
    <t>纺织服装、服饰业</t>
  </si>
  <si>
    <t xml:space="preserve">皮革毛皮羽毛制品业 </t>
  </si>
  <si>
    <t xml:space="preserve">木材.竹.藤.棕.草制品业 </t>
  </si>
  <si>
    <t xml:space="preserve">家具制造业         </t>
  </si>
  <si>
    <t xml:space="preserve">造纸及纸制品业     </t>
  </si>
  <si>
    <t xml:space="preserve">印刷、记录媒介复制 </t>
  </si>
  <si>
    <t>分行业规模以上工业企业总产值(二）</t>
  </si>
  <si>
    <t>文教体育娱乐用品制造业</t>
  </si>
  <si>
    <t>石油加工.炼焦业</t>
  </si>
  <si>
    <t>化学原料及化学制造业</t>
  </si>
  <si>
    <t>医药制造业</t>
  </si>
  <si>
    <t>橡胶和塑料制品业</t>
  </si>
  <si>
    <t>非金属矿制品业</t>
  </si>
  <si>
    <t>黑色金属冶炼压延加工业</t>
  </si>
  <si>
    <t>有色金属冶炼压延加工业</t>
  </si>
  <si>
    <t>金属制品业</t>
  </si>
  <si>
    <t>通用机械制造业</t>
  </si>
  <si>
    <t>专用设备制造业</t>
  </si>
  <si>
    <t>汽车制造业</t>
  </si>
  <si>
    <t>铁路船舶和其他运输设备制造</t>
  </si>
  <si>
    <t>电气机械及器材制造业</t>
  </si>
  <si>
    <t>通信设备.计算机制造业</t>
  </si>
  <si>
    <t>其他制造业</t>
  </si>
  <si>
    <t>废弃资源废旧材料回收业</t>
  </si>
  <si>
    <t>金属制品.机械和设备修理业</t>
  </si>
  <si>
    <t>电力.热力生产和供应业</t>
  </si>
  <si>
    <t>燃气生产和供应业</t>
  </si>
  <si>
    <t>自来水的生产和供应业</t>
  </si>
  <si>
    <t>规模以上工业企业主要产品产量(一）</t>
  </si>
  <si>
    <t xml:space="preserve">原  盐        </t>
  </si>
  <si>
    <t xml:space="preserve">饲  料    </t>
  </si>
  <si>
    <t xml:space="preserve">食用植物油    </t>
  </si>
  <si>
    <t xml:space="preserve">小麦粉        </t>
  </si>
  <si>
    <t xml:space="preserve">鲜冷藏冻肉    </t>
  </si>
  <si>
    <t xml:space="preserve">成品糖        </t>
  </si>
  <si>
    <t xml:space="preserve">罐头          </t>
  </si>
  <si>
    <t xml:space="preserve">发酵酒精      </t>
  </si>
  <si>
    <t xml:space="preserve">千升  </t>
  </si>
  <si>
    <t xml:space="preserve">饮料酒         </t>
  </si>
  <si>
    <t xml:space="preserve">  其中:白酒   </t>
  </si>
  <si>
    <t xml:space="preserve">       啤酒   </t>
  </si>
  <si>
    <t>乳制品</t>
  </si>
  <si>
    <t>饮料</t>
  </si>
  <si>
    <t xml:space="preserve">冷冻水产品    </t>
  </si>
  <si>
    <t xml:space="preserve">卷  烟        </t>
  </si>
  <si>
    <t>亿支</t>
  </si>
  <si>
    <t xml:space="preserve">纱            </t>
  </si>
  <si>
    <t>鞋</t>
  </si>
  <si>
    <t>万双</t>
  </si>
  <si>
    <t>服装</t>
  </si>
  <si>
    <t>万件</t>
  </si>
  <si>
    <t>规模以上工业企业主要产品产量(二）</t>
  </si>
  <si>
    <t>纸浆</t>
  </si>
  <si>
    <t xml:space="preserve">人造板        </t>
  </si>
  <si>
    <t xml:space="preserve">万立方米 </t>
  </si>
  <si>
    <t xml:space="preserve">家具          </t>
  </si>
  <si>
    <t xml:space="preserve">机制纸及纸板  </t>
  </si>
  <si>
    <t xml:space="preserve">纸制品        </t>
  </si>
  <si>
    <t xml:space="preserve">原油加工量    </t>
  </si>
  <si>
    <t>汽油</t>
  </si>
  <si>
    <t>柴油</t>
  </si>
  <si>
    <t>燃料油</t>
  </si>
  <si>
    <t>石脑油</t>
  </si>
  <si>
    <t>石油沥青</t>
  </si>
  <si>
    <t>液化石油气</t>
  </si>
  <si>
    <t xml:space="preserve">硫酸(折100%)  </t>
  </si>
  <si>
    <t>纯苯</t>
  </si>
  <si>
    <t xml:space="preserve">农用化学肥料  </t>
  </si>
  <si>
    <t>磷酸二铵（实物量）</t>
  </si>
  <si>
    <t xml:space="preserve">初级形态的塑料          </t>
  </si>
  <si>
    <t>化学药品原药</t>
  </si>
  <si>
    <t>涂料</t>
  </si>
  <si>
    <t>中成药</t>
  </si>
  <si>
    <t>规模以上工业企业主要产品产量(三）</t>
  </si>
  <si>
    <t xml:space="preserve">塑料制品     </t>
  </si>
  <si>
    <t>塑料薄膜</t>
  </si>
  <si>
    <t xml:space="preserve">橡胶轮胎外胎     </t>
  </si>
  <si>
    <t>万条</t>
  </si>
  <si>
    <t xml:space="preserve">水泥         </t>
  </si>
  <si>
    <t xml:space="preserve">商品混凝土   </t>
  </si>
  <si>
    <t>万立方米</t>
  </si>
  <si>
    <t xml:space="preserve">砖(折标准砖) </t>
  </si>
  <si>
    <t>亿块</t>
  </si>
  <si>
    <t xml:space="preserve">玻璃包装容器 </t>
  </si>
  <si>
    <t>瓷砖</t>
  </si>
  <si>
    <t xml:space="preserve">万平方米 </t>
  </si>
  <si>
    <t>生铁</t>
  </si>
  <si>
    <t>粗钢</t>
  </si>
  <si>
    <t>钢材</t>
  </si>
  <si>
    <t>金属门窗及类似制品</t>
  </si>
  <si>
    <t xml:space="preserve">铝  材       </t>
  </si>
  <si>
    <t>金属紧固件</t>
  </si>
  <si>
    <t>农产品初加工机械</t>
  </si>
  <si>
    <t>台</t>
  </si>
  <si>
    <t xml:space="preserve">变压器       </t>
  </si>
  <si>
    <t>万千伏安</t>
  </si>
  <si>
    <t xml:space="preserve">电饭锅       </t>
  </si>
  <si>
    <t>万个</t>
  </si>
  <si>
    <t xml:space="preserve">灯具照明装置 </t>
  </si>
  <si>
    <t>万台（套）</t>
  </si>
  <si>
    <t xml:space="preserve">发电量       </t>
  </si>
  <si>
    <t xml:space="preserve">供电量       </t>
  </si>
  <si>
    <t>工业综合能源消费量</t>
  </si>
  <si>
    <t>单位：万吨标准煤</t>
  </si>
  <si>
    <t>规模以上工业企业</t>
  </si>
  <si>
    <t xml:space="preserve">    采矿业</t>
  </si>
  <si>
    <t xml:space="preserve">    制造业</t>
  </si>
  <si>
    <t xml:space="preserve">    电力、热力、燃气及水生产和供应业</t>
  </si>
  <si>
    <t xml:space="preserve"> 高耗能行业</t>
  </si>
  <si>
    <t xml:space="preserve">  25.石油、煤炭及其他燃料加工业 </t>
  </si>
  <si>
    <t xml:space="preserve">  26.化学原料和化学制品制造业</t>
  </si>
  <si>
    <t xml:space="preserve">  30.非金属矿物制品业</t>
  </si>
  <si>
    <t xml:space="preserve">  31.黑色金属冶炼和压延加工业</t>
  </si>
  <si>
    <t xml:space="preserve">  32.有色金属冶炼和压延加工业 </t>
  </si>
  <si>
    <t xml:space="preserve">  44.电力、热力生产和供应业</t>
  </si>
  <si>
    <t>注：工业综合能源消费量(按当量值计算)为企业在工业生产活动中实际消费的各种能源的总和净值。</t>
  </si>
  <si>
    <t>交通运输完成情况</t>
  </si>
  <si>
    <t xml:space="preserve"> 计量单位</t>
  </si>
  <si>
    <r>
      <t>增长</t>
    </r>
    <r>
      <rPr>
        <sz val="12"/>
        <rFont val="Times New Roman"/>
        <family val="1"/>
      </rPr>
      <t>%</t>
    </r>
  </si>
  <si>
    <t>一、港口货物吞吐量</t>
  </si>
  <si>
    <t>全市港口货物吞吐量</t>
  </si>
  <si>
    <t xml:space="preserve">   # 湛江港集团有限公司</t>
  </si>
  <si>
    <t>全市港口集装箱吞吐量</t>
  </si>
  <si>
    <t>万TEU</t>
  </si>
  <si>
    <t>二、交通运输</t>
  </si>
  <si>
    <t>（一）公 路</t>
  </si>
  <si>
    <t xml:space="preserve">        货运量</t>
  </si>
  <si>
    <t>亿吨</t>
  </si>
  <si>
    <t xml:space="preserve">        货物周转量</t>
  </si>
  <si>
    <t>亿吨公里</t>
  </si>
  <si>
    <t xml:space="preserve">        客运量</t>
  </si>
  <si>
    <t xml:space="preserve">        旅客周转量</t>
  </si>
  <si>
    <t>亿人公里</t>
  </si>
  <si>
    <t>（二）水 路</t>
  </si>
  <si>
    <t>固定资产投资完成情况</t>
  </si>
  <si>
    <t>一、固定资产投资</t>
  </si>
  <si>
    <t xml:space="preserve">       基础设施 </t>
  </si>
  <si>
    <t xml:space="preserve">          #城市建设</t>
  </si>
  <si>
    <t xml:space="preserve">           交通运输基础设施投资</t>
  </si>
  <si>
    <t xml:space="preserve">       房地产开发</t>
  </si>
  <si>
    <t xml:space="preserve">       工业</t>
  </si>
  <si>
    <t xml:space="preserve">          #技术改造</t>
  </si>
  <si>
    <t xml:space="preserve">    按注册类型分：国有经济投资</t>
  </si>
  <si>
    <t xml:space="preserve">                  民间投资</t>
  </si>
  <si>
    <t xml:space="preserve">                  港澳台及外商投资</t>
  </si>
  <si>
    <t xml:space="preserve">    按产业分：第一产业</t>
  </si>
  <si>
    <t xml:space="preserve">              第二产业</t>
  </si>
  <si>
    <t xml:space="preserve">              第三产业</t>
  </si>
  <si>
    <t>二、施工项目个数</t>
  </si>
  <si>
    <t xml:space="preserve">      #亿元以上项目</t>
  </si>
  <si>
    <t xml:space="preserve">      #工业新增项目</t>
  </si>
  <si>
    <t>三、本年施工房屋面积</t>
  </si>
  <si>
    <t xml:space="preserve">       #住宅</t>
  </si>
  <si>
    <t>四、竣工面积</t>
  </si>
  <si>
    <t>五、商品房销售面积</t>
  </si>
  <si>
    <t>六、商品房销售额</t>
  </si>
  <si>
    <t>一、社会消费品零售总额</t>
  </si>
  <si>
    <t>（一）按销售单位所在地分</t>
  </si>
  <si>
    <t xml:space="preserve">       1.城镇</t>
  </si>
  <si>
    <t xml:space="preserve">       2.乡村</t>
  </si>
  <si>
    <t>（二）按行业分</t>
  </si>
  <si>
    <t xml:space="preserve">       1.批发零售贸易业</t>
  </si>
  <si>
    <t xml:space="preserve">       2.住宿和餐饮业</t>
  </si>
  <si>
    <t>（三）限额以上批发和零售业消费品零售额</t>
  </si>
  <si>
    <t xml:space="preserve">      粮油、食品、饮料、烟酒类</t>
  </si>
  <si>
    <t xml:space="preserve">      服装鞋帽针纺织品类</t>
  </si>
  <si>
    <t xml:space="preserve">      化妆品类</t>
  </si>
  <si>
    <t xml:space="preserve">      金银珠宝类</t>
  </si>
  <si>
    <t xml:space="preserve">      日用品类</t>
  </si>
  <si>
    <t xml:space="preserve">      五金电料类</t>
  </si>
  <si>
    <t xml:space="preserve">      体育娱乐用品类</t>
  </si>
  <si>
    <t xml:space="preserve">      书报杂志类</t>
  </si>
  <si>
    <t xml:space="preserve">      电子出版物及音像制品类</t>
  </si>
  <si>
    <t xml:space="preserve">      家用电器和音像器材类</t>
  </si>
  <si>
    <t xml:space="preserve">      中西药品类</t>
  </si>
  <si>
    <t xml:space="preserve">      文化办公用品类</t>
  </si>
  <si>
    <t xml:space="preserve">      家具类</t>
  </si>
  <si>
    <t xml:space="preserve">      通讯器材类</t>
  </si>
  <si>
    <t xml:space="preserve">      石油及制品类</t>
  </si>
  <si>
    <t xml:space="preserve">      建筑及装潢材料类</t>
  </si>
  <si>
    <t xml:space="preserve">      机电产品及设备类</t>
  </si>
  <si>
    <t xml:space="preserve">      汽车类</t>
  </si>
  <si>
    <t xml:space="preserve">      其他类</t>
  </si>
  <si>
    <t>财政收支情况</t>
  </si>
  <si>
    <t>单位:亿元</t>
  </si>
  <si>
    <t>增长％</t>
  </si>
  <si>
    <t xml:space="preserve">     地方一般公共预算收入</t>
  </si>
  <si>
    <t xml:space="preserve">       ＃税收收入</t>
  </si>
  <si>
    <t xml:space="preserve">            ＃增值税</t>
  </si>
  <si>
    <t xml:space="preserve">              企业所得税</t>
  </si>
  <si>
    <t xml:space="preserve">              个人所得税</t>
  </si>
  <si>
    <t xml:space="preserve">         非税收入</t>
  </si>
  <si>
    <t xml:space="preserve">    地方一般公共预算支出</t>
  </si>
  <si>
    <t xml:space="preserve">        ＃一般公共服务</t>
  </si>
  <si>
    <t xml:space="preserve">          科学技术</t>
  </si>
  <si>
    <t xml:space="preserve">          民生支出合计</t>
  </si>
  <si>
    <t xml:space="preserve">             ＃教育</t>
  </si>
  <si>
    <t xml:space="preserve">              文化体育与传媒</t>
  </si>
  <si>
    <t xml:space="preserve">              社会保障和就业</t>
  </si>
  <si>
    <t xml:space="preserve">              医疗卫生和计划生育</t>
  </si>
  <si>
    <t xml:space="preserve">              节能环保</t>
  </si>
  <si>
    <t xml:space="preserve">              城乡社区事务</t>
  </si>
  <si>
    <t xml:space="preserve">              农林水事务</t>
  </si>
  <si>
    <t xml:space="preserve">              交通运输</t>
  </si>
  <si>
    <t xml:space="preserve">              住房保障支出</t>
  </si>
  <si>
    <t xml:space="preserve">              粮油物资储备事务</t>
  </si>
  <si>
    <t>注：财政数据由湛江市财政局提供。</t>
  </si>
  <si>
    <t>金  融</t>
  </si>
  <si>
    <t>9月末余额</t>
  </si>
  <si>
    <t>金融机构本外币各项存款余额</t>
  </si>
  <si>
    <t>　　（一）境内存款</t>
  </si>
  <si>
    <t>　　　　1.住户存款</t>
  </si>
  <si>
    <t xml:space="preserve">        2.非金融企业存款</t>
  </si>
  <si>
    <t xml:space="preserve">        3.广义政府存款</t>
  </si>
  <si>
    <t xml:space="preserve">        4.非银行业金融机构存款</t>
  </si>
  <si>
    <t>　　（二）境外存款</t>
  </si>
  <si>
    <t>金融机构本外币各项贷款余额</t>
  </si>
  <si>
    <t>　　（一）境内贷款</t>
  </si>
  <si>
    <t>　　　　1.住户贷款</t>
  </si>
  <si>
    <t xml:space="preserve">        2.非金融企业及机关团体贷款</t>
  </si>
  <si>
    <t xml:space="preserve">        3.非银行业金融机构贷款</t>
  </si>
  <si>
    <t>　　（二）境外贷款</t>
  </si>
  <si>
    <t>金融机构人民币各项存款余额</t>
  </si>
  <si>
    <t>　　　　　　其中：活期存款</t>
  </si>
  <si>
    <t>　　　　　　其中：机关团体存款</t>
  </si>
  <si>
    <t>金融机构人民币各项贷款余额</t>
  </si>
  <si>
    <t>　　　　　　其中：中长期贷款</t>
  </si>
  <si>
    <t>　　　　　　其中：短期贷款</t>
  </si>
  <si>
    <t>　　　　　　      中长期贷款</t>
  </si>
  <si>
    <t>注：金融数据由中国人民银行湛江市中心支行提供。</t>
  </si>
  <si>
    <t xml:space="preserve"> 对  外  经  济</t>
  </si>
  <si>
    <t>一、外贸进出口总额</t>
  </si>
  <si>
    <t xml:space="preserve">   (一)出口总额</t>
  </si>
  <si>
    <t xml:space="preserve">   1.按主要贸易方式分</t>
  </si>
  <si>
    <t xml:space="preserve">       一般贸易</t>
  </si>
  <si>
    <t xml:space="preserve">       来料加工</t>
  </si>
  <si>
    <t xml:space="preserve">       进料加工</t>
  </si>
  <si>
    <t xml:space="preserve">         保税仓进出境货物</t>
  </si>
  <si>
    <t xml:space="preserve">   2.按主要经济类型分</t>
  </si>
  <si>
    <t xml:space="preserve">       国有企业</t>
  </si>
  <si>
    <t xml:space="preserve">      “三”资企业</t>
  </si>
  <si>
    <t xml:space="preserve">       集体企业</t>
  </si>
  <si>
    <t xml:space="preserve">       私营企业</t>
  </si>
  <si>
    <t xml:space="preserve">   4.按主要国家（地区）分</t>
  </si>
  <si>
    <t>东     盟</t>
  </si>
  <si>
    <t>欧     盟</t>
  </si>
  <si>
    <t>美     国</t>
  </si>
  <si>
    <t>尼 日 利 亚</t>
  </si>
  <si>
    <t>印     度</t>
  </si>
  <si>
    <t xml:space="preserve">  (二)进口总额</t>
  </si>
  <si>
    <t xml:space="preserve">  按主要贸易方式分</t>
  </si>
  <si>
    <t xml:space="preserve">    一般贸易</t>
  </si>
  <si>
    <t xml:space="preserve">    来料加工</t>
  </si>
  <si>
    <t xml:space="preserve">    进料加工</t>
  </si>
  <si>
    <t xml:space="preserve">      保税仓进出境货物</t>
  </si>
  <si>
    <t>二、使用外资金额 （1-9月）</t>
  </si>
  <si>
    <t xml:space="preserve">      外商直接投资项目个数 </t>
  </si>
  <si>
    <t xml:space="preserve">      合同利用外商直接投资</t>
  </si>
  <si>
    <t xml:space="preserve">      实际利用外商直接投资</t>
  </si>
  <si>
    <t>注:对外经济数据由湛江市商务局提供</t>
  </si>
  <si>
    <t xml:space="preserve">              </t>
  </si>
  <si>
    <t>人 民 生 活</t>
  </si>
  <si>
    <r>
      <t xml:space="preserve">     </t>
    </r>
    <r>
      <rPr>
        <sz val="12"/>
        <rFont val="宋体"/>
        <family val="3"/>
        <charset val="134"/>
      </rPr>
      <t xml:space="preserve">   </t>
    </r>
    <r>
      <rPr>
        <sz val="12"/>
        <rFont val="宋体"/>
        <family val="3"/>
        <charset val="134"/>
      </rPr>
      <t>单位：元</t>
    </r>
  </si>
  <si>
    <r>
      <t xml:space="preserve">指 </t>
    </r>
    <r>
      <rPr>
        <sz val="12"/>
        <rFont val="宋体"/>
        <family val="3"/>
        <charset val="134"/>
      </rPr>
      <t xml:space="preserve"> </t>
    </r>
    <r>
      <rPr>
        <sz val="12"/>
        <rFont val="宋体"/>
        <family val="3"/>
        <charset val="134"/>
      </rPr>
      <t>标</t>
    </r>
  </si>
  <si>
    <t>一、居民人均可支配收入</t>
  </si>
  <si>
    <t xml:space="preserve">    1、工资性收入</t>
  </si>
  <si>
    <t xml:space="preserve">    2、经营净收入</t>
  </si>
  <si>
    <t xml:space="preserve">    3、财产净收入</t>
  </si>
  <si>
    <t xml:space="preserve">    4、转移净收入</t>
  </si>
  <si>
    <t>其中：城镇常住居民人均可支配收入</t>
  </si>
  <si>
    <r>
      <t xml:space="preserve"> </t>
    </r>
    <r>
      <rPr>
        <sz val="12"/>
        <rFont val="宋体"/>
        <family val="3"/>
        <charset val="134"/>
      </rPr>
      <t xml:space="preserve">     农村常住居民人均可支配收入</t>
    </r>
  </si>
  <si>
    <t>二、居民人均消费支出</t>
  </si>
  <si>
    <t xml:space="preserve">    1、食品烟酒</t>
  </si>
  <si>
    <t xml:space="preserve">    2、衣着</t>
  </si>
  <si>
    <t xml:space="preserve">    3、居住</t>
  </si>
  <si>
    <t xml:space="preserve">    4、生活用品及服务</t>
  </si>
  <si>
    <t xml:space="preserve">    5、交通通信</t>
  </si>
  <si>
    <t xml:space="preserve">    6、教育文化娱乐</t>
  </si>
  <si>
    <t xml:space="preserve">    7、医疗保健</t>
  </si>
  <si>
    <t xml:space="preserve">    8、其他用品和服务</t>
  </si>
  <si>
    <t>其中：城镇常住居民人均消费支出</t>
  </si>
  <si>
    <r>
      <t xml:space="preserve"> </t>
    </r>
    <r>
      <rPr>
        <sz val="12"/>
        <rFont val="宋体"/>
        <family val="3"/>
        <charset val="134"/>
      </rPr>
      <t xml:space="preserve">     农村常住居民人均消费支出</t>
    </r>
  </si>
  <si>
    <t>注:居民收支数据由国家统计局湛江调查队提供。</t>
  </si>
  <si>
    <t xml:space="preserve">  居民消费价格指数</t>
  </si>
  <si>
    <t xml:space="preserve">     单位：%</t>
  </si>
  <si>
    <t>上年同月=100</t>
  </si>
  <si>
    <t>上年同期=100</t>
  </si>
  <si>
    <t>一、居民消费价格总指数</t>
  </si>
  <si>
    <t>（一）食品烟酒</t>
  </si>
  <si>
    <t xml:space="preserve">       #粮食</t>
  </si>
  <si>
    <t xml:space="preserve">        鲜菜</t>
  </si>
  <si>
    <t xml:space="preserve">        畜肉类</t>
  </si>
  <si>
    <t xml:space="preserve">        水产品</t>
  </si>
  <si>
    <t xml:space="preserve">        蛋类</t>
  </si>
  <si>
    <t xml:space="preserve">        在外餐饮</t>
  </si>
  <si>
    <t>（二）衣着</t>
  </si>
  <si>
    <t>（三）居住</t>
  </si>
  <si>
    <t xml:space="preserve">（四）生活用品及服务 </t>
  </si>
  <si>
    <t>（五）交通和通信</t>
  </si>
  <si>
    <t>（六）教育文化和娱乐</t>
  </si>
  <si>
    <t xml:space="preserve">      #教育</t>
  </si>
  <si>
    <t>（七）医疗保健</t>
  </si>
  <si>
    <t>（八）其他用品和服务</t>
  </si>
  <si>
    <t>服务项目价格指数</t>
  </si>
  <si>
    <t>二、商品零售价格指数（%）</t>
  </si>
  <si>
    <t>注:价格指数数据由国家统计局湛江调查队提供。</t>
  </si>
  <si>
    <t>各县（市、 区）主要经济指标完成情况（一）</t>
  </si>
  <si>
    <t xml:space="preserve">  单位：亿元</t>
  </si>
  <si>
    <r>
      <t xml:space="preserve">市 </t>
    </r>
    <r>
      <rPr>
        <sz val="12"/>
        <rFont val="宋体"/>
        <family val="3"/>
        <charset val="134"/>
      </rPr>
      <t xml:space="preserve"> </t>
    </r>
    <r>
      <rPr>
        <sz val="12"/>
        <rFont val="宋体"/>
        <family val="3"/>
        <charset val="134"/>
      </rPr>
      <t>别</t>
    </r>
  </si>
  <si>
    <t>增速排位</t>
  </si>
  <si>
    <t>一、生产总值</t>
  </si>
  <si>
    <t xml:space="preserve">     全  市</t>
  </si>
  <si>
    <t>_</t>
  </si>
  <si>
    <t xml:space="preserve">     赤坎区</t>
  </si>
  <si>
    <t xml:space="preserve">     霞山区</t>
  </si>
  <si>
    <t xml:space="preserve">     坡头区</t>
  </si>
  <si>
    <t xml:space="preserve">     麻章区</t>
  </si>
  <si>
    <t xml:space="preserve">     开发区</t>
  </si>
  <si>
    <t xml:space="preserve">     吴川市</t>
  </si>
  <si>
    <t xml:space="preserve">     徐闻县</t>
  </si>
  <si>
    <t xml:space="preserve">     雷州市</t>
  </si>
  <si>
    <t xml:space="preserve">     遂溪县</t>
  </si>
  <si>
    <t xml:space="preserve">     廉江市</t>
  </si>
  <si>
    <t>二、第一产业增加值</t>
  </si>
  <si>
    <t>注：地区生产总值（GDP）按季度核算。</t>
  </si>
  <si>
    <t>各县（市、 区）主要经济指标完成情况（二）</t>
  </si>
  <si>
    <t xml:space="preserve"> 单位：亿元</t>
  </si>
  <si>
    <t>三、第二产业增加值</t>
  </si>
  <si>
    <t>四、第三产业增加值</t>
  </si>
  <si>
    <t>各县（市、 区）主要经济指标完成情况（三）</t>
  </si>
  <si>
    <t>五：工业增加值</t>
  </si>
  <si>
    <t>六、规模以上工业产品销售产值</t>
  </si>
  <si>
    <t xml:space="preserve">       其中：奋勇新区</t>
  </si>
  <si>
    <t xml:space="preserve">  总计中：开发区</t>
  </si>
  <si>
    <t>各县（市、 区）主要经济指标完成情况（四）</t>
  </si>
  <si>
    <t>市  别</t>
  </si>
  <si>
    <t>七、规模以上工业增加值</t>
  </si>
  <si>
    <t>八、规模以上工业总产值</t>
  </si>
  <si>
    <t>各县（市、 区）主要经济指标完成情况（五）</t>
  </si>
  <si>
    <t>九、规模以上产品销售率(%)</t>
  </si>
  <si>
    <t>十、规模以上工业产品出口交货值（亿元）</t>
  </si>
  <si>
    <t>各县（市、 区）主要经济指标完成情况（六）</t>
  </si>
  <si>
    <t>十一、规模以上工业企业经济效益综合指数(%)</t>
  </si>
  <si>
    <t>十二、规模以上工业企业单位数（个）</t>
  </si>
  <si>
    <t>各县（市、 区）主要经济指标完成情况（七）</t>
  </si>
  <si>
    <t>十三、规模以上工业亏损企业数（个）</t>
  </si>
  <si>
    <t>十四、规模以上工业企业营业收入(亿元)</t>
  </si>
  <si>
    <t>各县（市、 区）主要经济指标完成情况（八）</t>
  </si>
  <si>
    <t>十五、规模以上工业企业利润总额</t>
  </si>
  <si>
    <t>十六、规模以上工业企业亏损额</t>
  </si>
  <si>
    <t>各县（市、 区）主要经济指标完成情况（九）</t>
  </si>
  <si>
    <t>十七、规模以上工业企业利税总额</t>
  </si>
  <si>
    <t>十八、规模以上工业企业资产合计</t>
  </si>
  <si>
    <t>各县（市、 区）主要经济指标完成情况（十）</t>
  </si>
  <si>
    <t>十九、规模以上工业企业负债合计</t>
  </si>
  <si>
    <t>二十、规模以上工业企业流动资产合计</t>
  </si>
  <si>
    <t>各县（市、 区）主要经济指标完成情况（十一）</t>
  </si>
  <si>
    <t>二十一、规模以上工业企业产成品</t>
  </si>
  <si>
    <t>二十二、规模以上工业企业财务费用</t>
  </si>
  <si>
    <t>各县（市、 区）主要经济指标完成情况（十二）</t>
  </si>
  <si>
    <t>二十三、规模以上工业企业全部平均人数(人）</t>
  </si>
  <si>
    <t>二十四、规模以上工业企业资产贡献率（%）</t>
  </si>
  <si>
    <t>各县（市、 区）主要经济指标完成情况（十三）</t>
  </si>
  <si>
    <t xml:space="preserve"> 单位：%</t>
  </si>
  <si>
    <t>二十五、规模以上工业企业资产增值率</t>
  </si>
  <si>
    <t>二十六、规模以上工业企业资产负债率</t>
  </si>
  <si>
    <t>各县（市、 区）主要经济指标完成情况（十四）</t>
  </si>
  <si>
    <t>二十七、规模以上工业企业流动资产周转率</t>
  </si>
  <si>
    <t>二十八、规模以上工业企业成本利润率</t>
  </si>
  <si>
    <t>各县（市、 区）主要经济指标完成情况（十五）</t>
  </si>
  <si>
    <t>二十九、社会消费品零售总额</t>
  </si>
  <si>
    <t>三十、固定资产投资</t>
  </si>
  <si>
    <t>各县（市、 区）主要经济指标完成情况（十六）</t>
  </si>
  <si>
    <t>其中：工业投资</t>
  </si>
  <si>
    <t xml:space="preserve">  其中：工业技改投资</t>
  </si>
  <si>
    <t>各县（市、 区）主要经济指标完成情况（十七）</t>
  </si>
  <si>
    <t>三十一、房地产开发投资（亿元）</t>
  </si>
  <si>
    <t>三十二、商品房销售面积（万平方米）</t>
  </si>
  <si>
    <t>各县（市、 区）主要经济指标完成情况（十八）</t>
  </si>
  <si>
    <t>三十三、地方一般公共预算收入</t>
  </si>
  <si>
    <t>三十四、地方一般公共预算支出</t>
  </si>
  <si>
    <t>各县（市、 区）主要经济指标完成情况（十九）</t>
  </si>
  <si>
    <t>三十五、进出口总额（亿元）1-8月</t>
  </si>
  <si>
    <t>三十六、实际使用外资（万美元）</t>
  </si>
  <si>
    <t>注：实际使用外资按原口径统计。</t>
  </si>
  <si>
    <t>各县（市、区）生产总值</t>
  </si>
  <si>
    <t>市别</t>
  </si>
  <si>
    <t>各县（市、区）规上工业增加值及固定资产投资（一）</t>
  </si>
  <si>
    <t>各县（市、区）规上工业增加值及固定资产投资（二）</t>
  </si>
  <si>
    <t>各县（市、区）规上工业增加值及固定资产投资（三）</t>
  </si>
  <si>
    <t>各县（市、区）规上工业增加值及固定资产投资（四）</t>
  </si>
  <si>
    <t>各县（市、区）社会消费品零售总额及地方一般公共预算收入（一）</t>
  </si>
  <si>
    <t>各县（市、区）社会消费品零售总额及地方一般公共预算收入（二）</t>
  </si>
  <si>
    <t>各县（市、区）社会消费品零售总额及地方一般公共预算收入（三）</t>
  </si>
  <si>
    <t>各县（市、区）社会消费品零售总额及地方一般公共预算收入（四）</t>
  </si>
  <si>
    <t xml:space="preserve"> 市    别 </t>
  </si>
  <si>
    <t>增长（%）</t>
  </si>
  <si>
    <t>湛江市</t>
  </si>
  <si>
    <t>茂名市</t>
  </si>
  <si>
    <t>阳江市</t>
  </si>
  <si>
    <t>全  国</t>
  </si>
  <si>
    <t>全  省</t>
  </si>
  <si>
    <t>广州市</t>
  </si>
  <si>
    <t>深圳市</t>
  </si>
  <si>
    <t>珠海市</t>
  </si>
  <si>
    <t>汕头市</t>
  </si>
  <si>
    <t>佛山市</t>
  </si>
  <si>
    <t>韶关市</t>
  </si>
  <si>
    <t>河源市</t>
  </si>
  <si>
    <t>梅州市</t>
  </si>
  <si>
    <t>惠州市</t>
  </si>
  <si>
    <t>汕尾市</t>
  </si>
  <si>
    <t>东莞市</t>
  </si>
  <si>
    <t>中山市</t>
  </si>
  <si>
    <t>江门市</t>
  </si>
  <si>
    <t>肇庆市</t>
  </si>
  <si>
    <t>清远市</t>
  </si>
  <si>
    <t>潮州市</t>
  </si>
  <si>
    <t>揭阳市</t>
  </si>
  <si>
    <t>云浮市</t>
  </si>
  <si>
    <t>全国及全省各市主要经济指标完成情况（五）</t>
  </si>
  <si>
    <t>地税收入</t>
  </si>
  <si>
    <t>国税收入</t>
  </si>
  <si>
    <t>1-5月</t>
  </si>
  <si>
    <t>规模以上工业增加值序列</t>
  </si>
  <si>
    <t xml:space="preserve">  单位：万元</t>
  </si>
  <si>
    <t>时间</t>
  </si>
  <si>
    <t xml:space="preserve">  累计</t>
  </si>
  <si>
    <t>累计增长%</t>
  </si>
  <si>
    <t>月份</t>
  </si>
  <si>
    <t>2016年</t>
  </si>
  <si>
    <t>2017年</t>
  </si>
  <si>
    <t>累计数</t>
  </si>
  <si>
    <t>增速%</t>
  </si>
  <si>
    <t>1月</t>
  </si>
  <si>
    <t>2月</t>
  </si>
  <si>
    <t>3月</t>
  </si>
  <si>
    <t>4月</t>
  </si>
  <si>
    <t>5月</t>
  </si>
  <si>
    <t>6月</t>
  </si>
  <si>
    <t>7月</t>
  </si>
  <si>
    <t>8月</t>
  </si>
  <si>
    <t>10月</t>
  </si>
  <si>
    <t>11月</t>
  </si>
  <si>
    <t>12月</t>
  </si>
  <si>
    <t>2019年</t>
  </si>
  <si>
    <t>单位：亿元、亿美元</t>
  </si>
  <si>
    <t>注：2016年起，进出口总额数据以人民币计价。</t>
  </si>
  <si>
    <t>一般公共预算收入</t>
  </si>
  <si>
    <t>备注：地方一般公共预算收入增速为可比口径增长</t>
  </si>
  <si>
    <t>同比增减
百分点</t>
  </si>
  <si>
    <t>累计指数</t>
  </si>
  <si>
    <t>工业用电量</t>
  </si>
  <si>
    <t>单位：亿千瓦时</t>
  </si>
  <si>
    <t>固定资产投资序列</t>
  </si>
  <si>
    <r>
      <t xml:space="preserve"> </t>
    </r>
    <r>
      <rPr>
        <sz val="12"/>
        <rFont val="宋体"/>
        <family val="3"/>
        <charset val="134"/>
      </rPr>
      <t xml:space="preserve"> </t>
    </r>
    <r>
      <rPr>
        <sz val="12"/>
        <rFont val="宋体"/>
        <family val="3"/>
        <charset val="134"/>
      </rPr>
      <t>单位：万元</t>
    </r>
  </si>
  <si>
    <t>社会消费品零售总额序列</t>
  </si>
  <si>
    <t>出口序列</t>
  </si>
  <si>
    <t xml:space="preserve">    单位：万元</t>
  </si>
  <si>
    <t>外贸出口总额</t>
  </si>
  <si>
    <t>地方一般公共预算收入序列</t>
  </si>
  <si>
    <t>工业用电量序列</t>
  </si>
  <si>
    <t xml:space="preserve">  单位：亿千瓦时</t>
  </si>
  <si>
    <t>（上年同期＝100）单位：%</t>
  </si>
  <si>
    <t>当月</t>
  </si>
  <si>
    <t>累计</t>
  </si>
</sst>
</file>

<file path=xl/styles.xml><?xml version="1.0" encoding="utf-8"?>
<styleSheet xmlns="http://schemas.openxmlformats.org/spreadsheetml/2006/main">
  <numFmts count="36">
    <numFmt numFmtId="41" formatCode="_ * #,##0_ ;_ * \-#,##0_ ;_ * &quot;-&quot;_ ;_ @_ "/>
    <numFmt numFmtId="43" formatCode="_ * #,##0.00_ ;_ * \-#,##0.00_ ;_ * &quot;-&quot;??_ ;_ @_ "/>
    <numFmt numFmtId="176" formatCode="0.0"/>
    <numFmt numFmtId="177" formatCode="#,##0.0_);\(#,##0.0\)"/>
    <numFmt numFmtId="178" formatCode="0.00_)"/>
    <numFmt numFmtId="179" formatCode="_(&quot;$&quot;* #,##0.00_);_(&quot;$&quot;* \(#,##0.00\);_(&quot;$&quot;* &quot;-&quot;??_);_(@_)"/>
    <numFmt numFmtId="180" formatCode="&quot;$&quot;\ #,##0_-;[Red]&quot;$&quot;\ #,##0\-"/>
    <numFmt numFmtId="181" formatCode="&quot;$&quot;\ #,##0.00_-;[Red]&quot;$&quot;\ #,##0.00\-"/>
    <numFmt numFmtId="182" formatCode="yy\.mm\.dd"/>
    <numFmt numFmtId="183" formatCode="#,##0;\-#,##0;&quot;-&quot;"/>
    <numFmt numFmtId="184" formatCode="#,##0;\(#,##0\)"/>
    <numFmt numFmtId="185" formatCode="_-* #,##0.00_-;\-* #,##0.00_-;_-* &quot;-&quot;??_-;_-@_-"/>
    <numFmt numFmtId="186" formatCode="_-&quot;$&quot;* #,##0_-;\-&quot;$&quot;* #,##0_-;_-&quot;$&quot;* &quot;-&quot;_-;_-@_-"/>
    <numFmt numFmtId="187" formatCode="_-&quot;$&quot;\ * #,##0.00_-;_-&quot;$&quot;\ * #,##0.00\-;_-&quot;$&quot;\ * &quot;-&quot;??_-;_-@_-"/>
    <numFmt numFmtId="188" formatCode="\$#,##0.00;\(\$#,##0.00\)"/>
    <numFmt numFmtId="189" formatCode="\$#,##0;\(\$#,##0\)"/>
    <numFmt numFmtId="190" formatCode="_-&quot;$&quot;\ * #,##0_-;_-&quot;$&quot;\ * #,##0\-;_-&quot;$&quot;\ * &quot;-&quot;_-;_-@_-"/>
    <numFmt numFmtId="191" formatCode="&quot;$&quot;#,##0_);[Red]\(&quot;$&quot;#,##0\)"/>
    <numFmt numFmtId="192" formatCode="&quot;$&quot;#,##0.00_);[Red]\(&quot;$&quot;#,##0.00\)"/>
    <numFmt numFmtId="193" formatCode="_(&quot;$&quot;* #,##0_);_(&quot;$&quot;* \(#,##0\);_(&quot;$&quot;* &quot;-&quot;_);_(@_)"/>
    <numFmt numFmtId="194" formatCode="0_);\(0\)"/>
    <numFmt numFmtId="195" formatCode="_-* #,##0_$_-;\-* #,##0_$_-;_-* &quot;-&quot;_$_-;_-@_-"/>
    <numFmt numFmtId="196" formatCode="_-* #,##0.00_$_-;\-* #,##0.00_$_-;_-* &quot;-&quot;??_$_-;_-@_-"/>
    <numFmt numFmtId="197" formatCode="_-* #,##0&quot;$&quot;_-;\-* #,##0&quot;$&quot;_-;_-* &quot;-&quot;&quot;$&quot;_-;_-@_-"/>
    <numFmt numFmtId="198" formatCode="_-* #,##0.00&quot;$&quot;_-;\-* #,##0.00&quot;$&quot;_-;_-* &quot;-&quot;??&quot;$&quot;_-;_-@_-"/>
    <numFmt numFmtId="199" formatCode="0.0_);[Red]\(0.0\)"/>
    <numFmt numFmtId="200" formatCode="0.0_ "/>
    <numFmt numFmtId="201" formatCode="0_);[Red]\(0\)"/>
    <numFmt numFmtId="202" formatCode="0.00_ "/>
    <numFmt numFmtId="203" formatCode="0;_؄"/>
    <numFmt numFmtId="204" formatCode="0_ "/>
    <numFmt numFmtId="205" formatCode="_ * #,##0.0_ ;_ * \-#,##0.0_ ;_ * &quot;-&quot;??_ ;_ @_ "/>
    <numFmt numFmtId="206" formatCode="0.00_);[Red]\(0.00\)"/>
    <numFmt numFmtId="207" formatCode="0.0_ ;[Red]\-0.0\ "/>
    <numFmt numFmtId="208" formatCode="0.0%"/>
    <numFmt numFmtId="209" formatCode="0.0000_ "/>
  </numFmts>
  <fonts count="100">
    <font>
      <sz val="12"/>
      <name val="宋体"/>
      <charset val="134"/>
    </font>
    <font>
      <sz val="8"/>
      <name val="宋体"/>
      <family val="3"/>
      <charset val="134"/>
    </font>
    <font>
      <sz val="10"/>
      <name val="Arial"/>
      <family val="2"/>
    </font>
    <font>
      <b/>
      <sz val="18"/>
      <name val="方正小标宋简体"/>
      <charset val="134"/>
    </font>
    <font>
      <sz val="10"/>
      <name val="宋体"/>
      <family val="3"/>
      <charset val="134"/>
    </font>
    <font>
      <sz val="12"/>
      <color indexed="10"/>
      <name val="宋体"/>
      <family val="3"/>
      <charset val="134"/>
    </font>
    <font>
      <b/>
      <sz val="14"/>
      <name val="宋体"/>
      <family val="3"/>
      <charset val="134"/>
    </font>
    <font>
      <sz val="14"/>
      <name val="宋体"/>
      <family val="3"/>
      <charset val="134"/>
    </font>
    <font>
      <sz val="12"/>
      <color indexed="10"/>
      <name val="黑体"/>
      <family val="3"/>
      <charset val="134"/>
    </font>
    <font>
      <b/>
      <sz val="14"/>
      <name val="方正小标宋简体"/>
      <charset val="134"/>
    </font>
    <font>
      <sz val="9"/>
      <name val="宋体"/>
      <family val="3"/>
      <charset val="134"/>
    </font>
    <font>
      <b/>
      <sz val="12"/>
      <name val="宋体"/>
      <family val="3"/>
      <charset val="134"/>
    </font>
    <font>
      <b/>
      <sz val="9"/>
      <name val="Times New Roman"/>
      <family val="1"/>
    </font>
    <font>
      <sz val="9"/>
      <name val="Times New Roman"/>
      <family val="1"/>
    </font>
    <font>
      <sz val="10.5"/>
      <name val="Times New Roman"/>
      <family val="1"/>
    </font>
    <font>
      <sz val="14"/>
      <name val="仿宋_GB2312"/>
      <family val="3"/>
      <charset val="134"/>
    </font>
    <font>
      <sz val="12"/>
      <name val="Arial"/>
      <family val="2"/>
    </font>
    <font>
      <b/>
      <sz val="12"/>
      <name val="黑体"/>
      <family val="3"/>
      <charset val="134"/>
    </font>
    <font>
      <sz val="12"/>
      <name val="黑体"/>
      <family val="3"/>
      <charset val="134"/>
    </font>
    <font>
      <b/>
      <sz val="12"/>
      <color indexed="10"/>
      <name val="宋体"/>
      <family val="3"/>
      <charset val="134"/>
    </font>
    <font>
      <sz val="11"/>
      <name val="Arial Unicode MS"/>
      <family val="2"/>
      <charset val="134"/>
    </font>
    <font>
      <sz val="12"/>
      <color indexed="8"/>
      <name val="宋体"/>
      <family val="3"/>
      <charset val="134"/>
    </font>
    <font>
      <sz val="16"/>
      <name val="宋体"/>
      <family val="3"/>
      <charset val="134"/>
    </font>
    <font>
      <sz val="10"/>
      <name val="仿宋_GB2312"/>
      <family val="3"/>
      <charset val="134"/>
    </font>
    <font>
      <sz val="12"/>
      <name val="Times New Roman"/>
      <family val="1"/>
    </font>
    <font>
      <b/>
      <sz val="10"/>
      <name val="宋体"/>
      <family val="3"/>
      <charset val="134"/>
    </font>
    <font>
      <b/>
      <sz val="10"/>
      <name val="仿宋_GB2312"/>
      <family val="3"/>
      <charset val="134"/>
    </font>
    <font>
      <sz val="7.5"/>
      <name val="宋体"/>
      <family val="3"/>
      <charset val="134"/>
    </font>
    <font>
      <b/>
      <sz val="12"/>
      <color indexed="8"/>
      <name val="宋体"/>
      <family val="3"/>
      <charset val="134"/>
    </font>
    <font>
      <sz val="8"/>
      <name val="Arial"/>
      <family val="2"/>
    </font>
    <font>
      <sz val="11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6"/>
      <name val="宋体"/>
      <family val="3"/>
      <charset val="134"/>
    </font>
    <font>
      <sz val="11"/>
      <color indexed="10"/>
      <name val="宋体"/>
      <family val="3"/>
      <charset val="134"/>
    </font>
    <font>
      <b/>
      <sz val="18"/>
      <name val="黑体"/>
      <family val="3"/>
      <charset val="134"/>
    </font>
    <font>
      <sz val="11"/>
      <color indexed="60"/>
      <name val="宋体"/>
      <family val="3"/>
      <charset val="134"/>
    </font>
    <font>
      <sz val="11"/>
      <color indexed="9"/>
      <name val="宋体"/>
      <family val="3"/>
      <charset val="134"/>
    </font>
    <font>
      <sz val="10.5"/>
      <color indexed="20"/>
      <name val="宋体"/>
      <family val="3"/>
      <charset val="134"/>
    </font>
    <font>
      <sz val="11"/>
      <color indexed="62"/>
      <name val="宋体"/>
      <family val="3"/>
      <charset val="134"/>
    </font>
    <font>
      <sz val="12"/>
      <color indexed="8"/>
      <name val="楷体_GB2312"/>
      <family val="3"/>
      <charset val="134"/>
    </font>
    <font>
      <b/>
      <sz val="13"/>
      <color indexed="56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17"/>
      <name val="宋体"/>
      <family val="3"/>
      <charset val="134"/>
    </font>
    <font>
      <sz val="11"/>
      <color indexed="20"/>
      <name val="宋体"/>
      <family val="3"/>
      <charset val="134"/>
    </font>
    <font>
      <sz val="12"/>
      <color indexed="9"/>
      <name val="宋体"/>
      <family val="3"/>
      <charset val="134"/>
    </font>
    <font>
      <sz val="10"/>
      <name val="楷体"/>
      <family val="3"/>
      <charset val="134"/>
    </font>
    <font>
      <sz val="12"/>
      <color indexed="20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2"/>
      <color indexed="17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2"/>
      <color indexed="16"/>
      <name val="宋体"/>
      <family val="3"/>
      <charset val="134"/>
    </font>
    <font>
      <i/>
      <sz val="11"/>
      <color indexed="23"/>
      <name val="宋体"/>
      <family val="3"/>
      <charset val="134"/>
    </font>
    <font>
      <b/>
      <sz val="15"/>
      <color indexed="56"/>
      <name val="宋体"/>
      <family val="3"/>
      <charset val="134"/>
    </font>
    <font>
      <u/>
      <sz val="12"/>
      <color indexed="36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0.5"/>
      <color indexed="17"/>
      <name val="宋体"/>
      <family val="3"/>
      <charset val="134"/>
    </font>
    <font>
      <sz val="12"/>
      <color indexed="9"/>
      <name val="楷体_GB2312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9"/>
      <name val="宋体"/>
      <family val="3"/>
      <charset val="134"/>
    </font>
    <font>
      <sz val="11"/>
      <color indexed="52"/>
      <name val="宋体"/>
      <family val="3"/>
      <charset val="134"/>
    </font>
    <font>
      <b/>
      <sz val="12"/>
      <color indexed="63"/>
      <name val="楷体_GB2312"/>
      <family val="3"/>
      <charset val="134"/>
    </font>
    <font>
      <sz val="10"/>
      <name val="Helv"/>
      <family val="2"/>
    </font>
    <font>
      <sz val="12"/>
      <color indexed="9"/>
      <name val="Helv"/>
      <family val="2"/>
    </font>
    <font>
      <sz val="10"/>
      <name val="Geneva"/>
      <family val="2"/>
    </font>
    <font>
      <sz val="10"/>
      <name val="Courier"/>
      <family val="2"/>
    </font>
    <font>
      <sz val="12"/>
      <name val="????"/>
      <family val="2"/>
    </font>
    <font>
      <sz val="12"/>
      <color indexed="17"/>
      <name val="楷体_GB2312"/>
      <family val="3"/>
      <charset val="134"/>
    </font>
    <font>
      <sz val="10"/>
      <color indexed="20"/>
      <name val="宋体"/>
      <family val="3"/>
      <charset val="134"/>
    </font>
    <font>
      <sz val="7"/>
      <name val="Small Fonts"/>
      <family val="2"/>
    </font>
    <font>
      <sz val="12"/>
      <name val="Courier"/>
      <family val="2"/>
    </font>
    <font>
      <sz val="12"/>
      <color indexed="20"/>
      <name val="楷体_GB2312"/>
      <family val="3"/>
      <charset val="134"/>
    </font>
    <font>
      <sz val="12"/>
      <color indexed="10"/>
      <name val="楷体_GB2312"/>
      <family val="3"/>
      <charset val="134"/>
    </font>
    <font>
      <sz val="12"/>
      <name val="바탕체"/>
      <family val="3"/>
      <charset val="134"/>
    </font>
    <font>
      <sz val="12"/>
      <name val="官帕眉"/>
      <charset val="134"/>
    </font>
    <font>
      <sz val="8"/>
      <name val="Times New Roman"/>
      <family val="1"/>
    </font>
    <font>
      <b/>
      <sz val="10"/>
      <name val="MS Sans Serif"/>
      <family val="2"/>
    </font>
    <font>
      <b/>
      <sz val="10"/>
      <name val="Arial"/>
      <family val="2"/>
    </font>
    <font>
      <b/>
      <sz val="10"/>
      <name val="Tms Rmn"/>
      <family val="2"/>
    </font>
    <font>
      <sz val="10"/>
      <color indexed="8"/>
      <name val="MS Sans Serif"/>
      <family val="2"/>
    </font>
    <font>
      <sz val="10"/>
      <name val="MS Sans Serif"/>
      <family val="2"/>
    </font>
    <font>
      <i/>
      <sz val="12"/>
      <color indexed="23"/>
      <name val="楷体_GB2312"/>
      <family val="3"/>
      <charset val="134"/>
    </font>
    <font>
      <b/>
      <sz val="12"/>
      <color indexed="8"/>
      <name val="楷体_GB2312"/>
      <family val="3"/>
      <charset val="134"/>
    </font>
    <font>
      <sz val="10"/>
      <color indexed="8"/>
      <name val="Arial"/>
      <family val="2"/>
    </font>
    <font>
      <sz val="10"/>
      <name val="Times New Roman"/>
      <family val="1"/>
    </font>
    <font>
      <b/>
      <sz val="12"/>
      <name val="Arial"/>
      <family val="2"/>
    </font>
    <font>
      <b/>
      <sz val="18"/>
      <name val="Arial"/>
      <family val="2"/>
    </font>
    <font>
      <sz val="12"/>
      <name val="Helv"/>
      <family val="2"/>
    </font>
    <font>
      <b/>
      <sz val="15"/>
      <color indexed="56"/>
      <name val="楷体_GB2312"/>
      <family val="3"/>
      <charset val="134"/>
    </font>
    <font>
      <b/>
      <sz val="13"/>
      <color indexed="56"/>
      <name val="楷体_GB2312"/>
      <family val="3"/>
      <charset val="134"/>
    </font>
    <font>
      <sz val="10"/>
      <color indexed="17"/>
      <name val="宋体"/>
      <family val="3"/>
      <charset val="134"/>
    </font>
    <font>
      <b/>
      <sz val="11"/>
      <color indexed="56"/>
      <name val="楷体_GB2312"/>
      <family val="3"/>
      <charset val="134"/>
    </font>
    <font>
      <b/>
      <sz val="9"/>
      <name val="Arial"/>
      <family val="2"/>
    </font>
    <font>
      <b/>
      <sz val="14"/>
      <name val="楷体"/>
      <family val="3"/>
      <charset val="134"/>
    </font>
    <font>
      <b/>
      <sz val="18"/>
      <color indexed="62"/>
      <name val="宋体"/>
      <family val="3"/>
      <charset val="134"/>
    </font>
    <font>
      <sz val="12"/>
      <color indexed="62"/>
      <name val="楷体_GB2312"/>
      <family val="3"/>
      <charset val="134"/>
    </font>
    <font>
      <b/>
      <sz val="12"/>
      <color indexed="52"/>
      <name val="楷体_GB2312"/>
      <family val="3"/>
      <charset val="134"/>
    </font>
    <font>
      <b/>
      <sz val="12"/>
      <color indexed="9"/>
      <name val="楷体_GB2312"/>
      <family val="3"/>
      <charset val="134"/>
    </font>
    <font>
      <sz val="12"/>
      <color indexed="52"/>
      <name val="楷体_GB2312"/>
      <family val="3"/>
      <charset val="134"/>
    </font>
    <font>
      <sz val="12"/>
      <color indexed="60"/>
      <name val="楷体_GB2312"/>
      <family val="3"/>
      <charset val="134"/>
    </font>
    <font>
      <sz val="12"/>
      <name val="宋体"/>
      <family val="3"/>
      <charset val="134"/>
    </font>
  </fonts>
  <fills count="3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54"/>
        <bgColor indexed="64"/>
      </patternFill>
    </fill>
    <fill>
      <patternFill patternType="solid">
        <fgColor indexed="25"/>
        <bgColor indexed="64"/>
      </patternFill>
    </fill>
    <fill>
      <patternFill patternType="mediumGray">
        <fgColor indexed="22"/>
      </patternFill>
    </fill>
    <fill>
      <patternFill patternType="solid">
        <fgColor indexed="15"/>
        <bgColor indexed="64"/>
      </patternFill>
    </fill>
    <fill>
      <patternFill patternType="solid">
        <fgColor indexed="12"/>
        <bgColor indexed="64"/>
      </patternFill>
    </fill>
    <fill>
      <patternFill patternType="gray06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8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112">
    <xf numFmtId="0" fontId="0" fillId="0" borderId="0"/>
    <xf numFmtId="0" fontId="42" fillId="2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99" fillId="0" borderId="0"/>
    <xf numFmtId="0" fontId="99" fillId="0" borderId="0"/>
    <xf numFmtId="0" fontId="31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24" fillId="0" borderId="0"/>
    <xf numFmtId="0" fontId="21" fillId="9" borderId="0" applyNumberFormat="0" applyBorder="0" applyAlignment="0" applyProtection="0"/>
    <xf numFmtId="0" fontId="48" fillId="2" borderId="0" applyNumberFormat="0" applyBorder="0" applyAlignment="0" applyProtection="0"/>
    <xf numFmtId="0" fontId="36" fillId="10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43" fontId="99" fillId="0" borderId="0" applyFont="0" applyFill="0" applyBorder="0" applyAlignment="0" applyProtection="0"/>
    <xf numFmtId="0" fontId="46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9" fontId="99" fillId="0" borderId="0" applyFont="0" applyFill="0" applyBorder="0" applyAlignment="0" applyProtection="0"/>
    <xf numFmtId="0" fontId="42" fillId="2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99" fillId="0" borderId="0"/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50" fillId="4" borderId="0" applyNumberFormat="0" applyBorder="0" applyAlignment="0" applyProtection="0"/>
    <xf numFmtId="0" fontId="24" fillId="0" borderId="0"/>
    <xf numFmtId="0" fontId="31" fillId="11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99" fillId="13" borderId="2" applyNumberFormat="0" applyFont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99" fillId="0" borderId="0">
      <alignment vertical="center"/>
    </xf>
    <xf numFmtId="0" fontId="31" fillId="11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52" fillId="0" borderId="3" applyNumberFormat="0" applyFill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99" fillId="0" borderId="0"/>
    <xf numFmtId="0" fontId="99" fillId="0" borderId="0"/>
    <xf numFmtId="0" fontId="31" fillId="11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99" fillId="0" borderId="0">
      <alignment vertical="center"/>
    </xf>
    <xf numFmtId="0" fontId="99" fillId="13" borderId="2" applyNumberFormat="0" applyFont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50" fillId="4" borderId="0" applyNumberFormat="0" applyBorder="0" applyAlignment="0" applyProtection="0"/>
    <xf numFmtId="0" fontId="31" fillId="5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99" fillId="0" borderId="0"/>
    <xf numFmtId="0" fontId="31" fillId="2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99" fillId="0" borderId="0">
      <alignment vertical="center"/>
    </xf>
    <xf numFmtId="0" fontId="43" fillId="4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47" fillId="0" borderId="9" applyNumberFormat="0" applyFill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99" fillId="0" borderId="0"/>
    <xf numFmtId="0" fontId="42" fillId="2" borderId="0" applyNumberFormat="0" applyBorder="0" applyAlignment="0" applyProtection="0">
      <alignment vertical="center"/>
    </xf>
    <xf numFmtId="0" fontId="47" fillId="0" borderId="9" applyNumberFormat="0" applyFill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99" fillId="0" borderId="0"/>
    <xf numFmtId="0" fontId="99" fillId="0" borderId="0">
      <alignment vertical="center"/>
    </xf>
    <xf numFmtId="0" fontId="99" fillId="0" borderId="0">
      <alignment vertical="center"/>
    </xf>
    <xf numFmtId="0" fontId="31" fillId="7" borderId="0" applyNumberFormat="0" applyBorder="0" applyAlignment="0" applyProtection="0">
      <alignment vertical="center"/>
    </xf>
    <xf numFmtId="0" fontId="99" fillId="0" borderId="0">
      <alignment vertical="center"/>
    </xf>
    <xf numFmtId="0" fontId="36" fillId="21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99" fillId="0" borderId="0">
      <alignment vertical="center"/>
    </xf>
    <xf numFmtId="0" fontId="31" fillId="2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49" fillId="0" borderId="5" applyNumberFormat="0" applyFill="0" applyAlignment="0" applyProtection="0">
      <alignment vertical="center"/>
    </xf>
    <xf numFmtId="0" fontId="24" fillId="0" borderId="0"/>
    <xf numFmtId="0" fontId="61" fillId="0" borderId="0"/>
    <xf numFmtId="0" fontId="43" fillId="4" borderId="0" applyNumberFormat="0" applyBorder="0" applyAlignment="0" applyProtection="0">
      <alignment vertical="center"/>
    </xf>
    <xf numFmtId="0" fontId="24" fillId="0" borderId="0"/>
    <xf numFmtId="0" fontId="61" fillId="0" borderId="0"/>
    <xf numFmtId="0" fontId="48" fillId="2" borderId="0" applyNumberFormat="0" applyBorder="0" applyAlignment="0" applyProtection="0"/>
    <xf numFmtId="178" fontId="64" fillId="0" borderId="0"/>
    <xf numFmtId="0" fontId="38" fillId="5" borderId="1" applyNumberFormat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61" fillId="0" borderId="0"/>
    <xf numFmtId="0" fontId="31" fillId="2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24" fillId="0" borderId="0"/>
    <xf numFmtId="4" fontId="99" fillId="0" borderId="0" applyFont="0" applyFill="0" applyBorder="0" applyAlignment="0" applyProtection="0"/>
    <xf numFmtId="0" fontId="24" fillId="0" borderId="0">
      <protection locked="0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" fillId="0" borderId="0"/>
    <xf numFmtId="0" fontId="31" fillId="6" borderId="0" applyNumberFormat="0" applyBorder="0" applyAlignment="0" applyProtection="0">
      <alignment vertical="center"/>
    </xf>
    <xf numFmtId="0" fontId="65" fillId="0" borderId="0"/>
    <xf numFmtId="0" fontId="36" fillId="10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99" fillId="0" borderId="0"/>
    <xf numFmtId="0" fontId="24" fillId="0" borderId="0"/>
    <xf numFmtId="0" fontId="63" fillId="0" borderId="0"/>
    <xf numFmtId="0" fontId="31" fillId="2" borderId="0" applyNumberFormat="0" applyBorder="0" applyAlignment="0" applyProtection="0">
      <alignment vertical="center"/>
    </xf>
    <xf numFmtId="49" fontId="99" fillId="0" borderId="0" applyFont="0" applyFill="0" applyBorder="0" applyAlignment="0" applyProtection="0"/>
    <xf numFmtId="0" fontId="31" fillId="2" borderId="0" applyNumberFormat="0" applyBorder="0" applyAlignment="0" applyProtection="0">
      <alignment vertical="center"/>
    </xf>
    <xf numFmtId="0" fontId="44" fillId="8" borderId="0" applyNumberFormat="0" applyBorder="0" applyAlignment="0" applyProtection="0"/>
    <xf numFmtId="0" fontId="31" fillId="6" borderId="0" applyNumberFormat="0" applyBorder="0" applyAlignment="0" applyProtection="0">
      <alignment vertical="center"/>
    </xf>
    <xf numFmtId="0" fontId="63" fillId="0" borderId="0"/>
    <xf numFmtId="0" fontId="42" fillId="2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0" fillId="0" borderId="4" applyNumberFormat="0" applyFill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24" fillId="0" borderId="0"/>
    <xf numFmtId="0" fontId="55" fillId="14" borderId="0" applyNumberFormat="0" applyBorder="0" applyAlignment="0" applyProtection="0">
      <alignment vertical="center"/>
    </xf>
    <xf numFmtId="0" fontId="21" fillId="20" borderId="0" applyNumberFormat="0" applyBorder="0" applyAlignment="0" applyProtection="0"/>
    <xf numFmtId="0" fontId="31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/>
    <xf numFmtId="0" fontId="31" fillId="20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21" fillId="20" borderId="0" applyNumberFormat="0" applyBorder="0" applyAlignment="0" applyProtection="0"/>
    <xf numFmtId="0" fontId="31" fillId="20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/>
    <xf numFmtId="0" fontId="31" fillId="20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/>
    <xf numFmtId="0" fontId="31" fillId="20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21" fillId="20" borderId="0" applyNumberFormat="0" applyBorder="0" applyAlignment="0" applyProtection="0"/>
    <xf numFmtId="0" fontId="31" fillId="20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21" fillId="20" borderId="0" applyNumberFormat="0" applyBorder="0" applyAlignment="0" applyProtection="0"/>
    <xf numFmtId="0" fontId="31" fillId="20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21" fillId="20" borderId="0" applyNumberFormat="0" applyBorder="0" applyAlignment="0" applyProtection="0"/>
    <xf numFmtId="0" fontId="31" fillId="20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21" fillId="20" borderId="0" applyNumberFormat="0" applyBorder="0" applyAlignment="0" applyProtection="0"/>
    <xf numFmtId="0" fontId="31" fillId="20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55" fillId="1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55" fillId="1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55" fillId="1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2" fillId="0" borderId="0"/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55" fillId="14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56" fillId="10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99" fillId="0" borderId="0"/>
    <xf numFmtId="0" fontId="31" fillId="2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99" fillId="0" borderId="0"/>
    <xf numFmtId="0" fontId="37" fillId="7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99" fillId="0" borderId="0"/>
    <xf numFmtId="0" fontId="31" fillId="2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99" fillId="0" borderId="0"/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56" fillId="6" borderId="0" applyNumberFormat="0" applyBorder="0" applyAlignment="0" applyProtection="0">
      <alignment vertical="center"/>
    </xf>
    <xf numFmtId="0" fontId="50" fillId="4" borderId="0" applyNumberFormat="0" applyBorder="0" applyAlignment="0" applyProtection="0"/>
    <xf numFmtId="0" fontId="31" fillId="11" borderId="0" applyNumberFormat="0" applyBorder="0" applyAlignment="0" applyProtection="0">
      <alignment vertical="center"/>
    </xf>
    <xf numFmtId="0" fontId="99" fillId="0" borderId="0"/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99" fillId="0" borderId="0"/>
    <xf numFmtId="0" fontId="43" fillId="4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99" fillId="0" borderId="0">
      <alignment vertical="center"/>
    </xf>
    <xf numFmtId="0" fontId="31" fillId="12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48" fillId="2" borderId="0" applyNumberFormat="0" applyBorder="0" applyAlignment="0" applyProtection="0"/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28" fillId="24" borderId="0" applyNumberFormat="0" applyBorder="0" applyAlignment="0" applyProtection="0"/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21" fillId="20" borderId="0" applyNumberFormat="0" applyBorder="0" applyAlignment="0" applyProtection="0"/>
    <xf numFmtId="0" fontId="36" fillId="10" borderId="0" applyNumberFormat="0" applyBorder="0" applyAlignment="0" applyProtection="0">
      <alignment vertical="center"/>
    </xf>
    <xf numFmtId="0" fontId="28" fillId="25" borderId="0" applyNumberFormat="0" applyBorder="0" applyAlignment="0" applyProtection="0"/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21" fillId="20" borderId="0" applyNumberFormat="0" applyBorder="0" applyAlignment="0" applyProtection="0"/>
    <xf numFmtId="0" fontId="36" fillId="6" borderId="0" applyNumberFormat="0" applyBorder="0" applyAlignment="0" applyProtection="0">
      <alignment vertical="center"/>
    </xf>
    <xf numFmtId="0" fontId="28" fillId="26" borderId="0" applyNumberFormat="0" applyBorder="0" applyAlignment="0" applyProtection="0"/>
    <xf numFmtId="0" fontId="31" fillId="14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44" fillId="8" borderId="0" applyNumberFormat="0" applyBorder="0" applyAlignment="0" applyProtection="0"/>
    <xf numFmtId="0" fontId="31" fillId="20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44" fillId="8" borderId="0" applyNumberFormat="0" applyBorder="0" applyAlignment="0" applyProtection="0"/>
    <xf numFmtId="0" fontId="31" fillId="2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44" fillId="8" borderId="0" applyNumberFormat="0" applyBorder="0" applyAlignment="0" applyProtection="0"/>
    <xf numFmtId="0" fontId="31" fillId="2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44" fillId="8" borderId="0" applyNumberFormat="0" applyBorder="0" applyAlignment="0" applyProtection="0"/>
    <xf numFmtId="0" fontId="31" fillId="2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44" fillId="8" borderId="0" applyNumberFormat="0" applyBorder="0" applyAlignment="0" applyProtection="0"/>
    <xf numFmtId="0" fontId="31" fillId="2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44" fillId="8" borderId="0" applyNumberFormat="0" applyBorder="0" applyAlignment="0" applyProtection="0"/>
    <xf numFmtId="0" fontId="31" fillId="20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52" fillId="0" borderId="3" applyNumberFormat="0" applyFill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55" fillId="14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99" fillId="0" borderId="0"/>
    <xf numFmtId="0" fontId="99" fillId="0" borderId="0"/>
    <xf numFmtId="0" fontId="31" fillId="4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99" fillId="0" borderId="0"/>
    <xf numFmtId="0" fontId="99" fillId="0" borderId="0"/>
    <xf numFmtId="0" fontId="31" fillId="4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99" fillId="0" borderId="0"/>
    <xf numFmtId="0" fontId="99" fillId="0" borderId="0"/>
    <xf numFmtId="0" fontId="31" fillId="4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99" fillId="0" borderId="0"/>
    <xf numFmtId="0" fontId="99" fillId="0" borderId="0"/>
    <xf numFmtId="0" fontId="31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99" fillId="0" borderId="0"/>
    <xf numFmtId="0" fontId="31" fillId="4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99" fillId="0" borderId="0"/>
    <xf numFmtId="0" fontId="39" fillId="2" borderId="0" applyNumberFormat="0" applyBorder="0" applyAlignment="0" applyProtection="0">
      <alignment vertical="center"/>
    </xf>
    <xf numFmtId="0" fontId="38" fillId="5" borderId="1" applyNumberFormat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99" fillId="0" borderId="0"/>
    <xf numFmtId="0" fontId="39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99" fillId="13" borderId="2" applyNumberFormat="0" applyFont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24" fillId="0" borderId="0"/>
    <xf numFmtId="0" fontId="31" fillId="7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99" fillId="0" borderId="0"/>
    <xf numFmtId="0" fontId="31" fillId="8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59" fillId="0" borderId="8" applyNumberFormat="0" applyFill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48" fillId="2" borderId="0" applyNumberFormat="0" applyBorder="0" applyAlignment="0" applyProtection="0"/>
    <xf numFmtId="0" fontId="39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48" fillId="2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50" fillId="4" borderId="0" applyNumberFormat="0" applyBorder="0" applyAlignment="0" applyProtection="0"/>
    <xf numFmtId="37" fontId="68" fillId="0" borderId="0"/>
    <xf numFmtId="0" fontId="31" fillId="5" borderId="0" applyNumberFormat="0" applyBorder="0" applyAlignment="0" applyProtection="0">
      <alignment vertical="center"/>
    </xf>
    <xf numFmtId="0" fontId="99" fillId="13" borderId="2" applyNumberFormat="0" applyFont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50" fillId="4" borderId="0" applyNumberFormat="0" applyBorder="0" applyAlignment="0" applyProtection="0"/>
    <xf numFmtId="0" fontId="31" fillId="5" borderId="0" applyNumberFormat="0" applyBorder="0" applyAlignment="0" applyProtection="0">
      <alignment vertical="center"/>
    </xf>
    <xf numFmtId="0" fontId="99" fillId="13" borderId="2" applyNumberFormat="0" applyFont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45" fillId="0" borderId="10" applyNumberFormat="0" applyFill="0" applyProtection="0">
      <alignment horizontal="left"/>
    </xf>
    <xf numFmtId="0" fontId="43" fillId="4" borderId="0" applyNumberFormat="0" applyBorder="0" applyAlignment="0" applyProtection="0">
      <alignment vertical="center"/>
    </xf>
    <xf numFmtId="0" fontId="50" fillId="4" borderId="0" applyNumberFormat="0" applyBorder="0" applyAlignment="0" applyProtection="0"/>
    <xf numFmtId="0" fontId="31" fillId="5" borderId="0" applyNumberFormat="0" applyBorder="0" applyAlignment="0" applyProtection="0">
      <alignment vertical="center"/>
    </xf>
    <xf numFmtId="0" fontId="99" fillId="13" borderId="2" applyNumberFormat="0" applyFont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70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50" fillId="4" borderId="0" applyNumberFormat="0" applyBorder="0" applyAlignment="0" applyProtection="0"/>
    <xf numFmtId="0" fontId="31" fillId="5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48" fillId="2" borderId="0" applyNumberFormat="0" applyBorder="0" applyAlignment="0" applyProtection="0"/>
    <xf numFmtId="0" fontId="31" fillId="11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48" fillId="2" borderId="0" applyNumberFormat="0" applyBorder="0" applyAlignment="0" applyProtection="0"/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48" fillId="2" borderId="0" applyNumberFormat="0" applyBorder="0" applyAlignment="0" applyProtection="0"/>
    <xf numFmtId="0" fontId="31" fillId="6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50" fillId="4" borderId="0" applyNumberFormat="0" applyBorder="0" applyAlignment="0" applyProtection="0"/>
    <xf numFmtId="0" fontId="31" fillId="6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48" fillId="2" borderId="0" applyNumberFormat="0" applyBorder="0" applyAlignment="0" applyProtection="0"/>
    <xf numFmtId="180" fontId="2" fillId="0" borderId="0"/>
    <xf numFmtId="0" fontId="31" fillId="7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48" fillId="2" borderId="0" applyNumberFormat="0" applyBorder="0" applyAlignment="0" applyProtection="0"/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48" fillId="2" borderId="0" applyNumberFormat="0" applyBorder="0" applyAlignment="0" applyProtection="0"/>
    <xf numFmtId="0" fontId="31" fillId="12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1" fillId="13" borderId="0" applyNumberFormat="0" applyBorder="0" applyAlignment="0" applyProtection="0"/>
    <xf numFmtId="0" fontId="31" fillId="12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99" fillId="13" borderId="2" applyNumberFormat="0" applyFont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99" fillId="13" borderId="2" applyNumberFormat="0" applyFont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99" fillId="13" borderId="2" applyNumberFormat="0" applyFont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181" fontId="99" fillId="0" borderId="0" applyFont="0" applyFill="0" applyBorder="0" applyAlignment="0" applyProtection="0"/>
    <xf numFmtId="0" fontId="31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44" fillId="8" borderId="0" applyNumberFormat="0" applyBorder="0" applyAlignment="0" applyProtection="0"/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70" fillId="4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21" fillId="20" borderId="0" applyNumberFormat="0" applyBorder="0" applyAlignment="0" applyProtection="0"/>
    <xf numFmtId="0" fontId="31" fillId="6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52" fillId="0" borderId="3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40" fillId="0" borderId="4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99" fillId="0" borderId="0"/>
    <xf numFmtId="0" fontId="99" fillId="0" borderId="0"/>
    <xf numFmtId="0" fontId="36" fillId="16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99" fillId="0" borderId="0"/>
    <xf numFmtId="0" fontId="99" fillId="0" borderId="0"/>
    <xf numFmtId="0" fontId="31" fillId="11" borderId="0" applyNumberFormat="0" applyBorder="0" applyAlignment="0" applyProtection="0">
      <alignment vertical="center"/>
    </xf>
    <xf numFmtId="0" fontId="99" fillId="0" borderId="0"/>
    <xf numFmtId="0" fontId="99" fillId="0" borderId="0"/>
    <xf numFmtId="0" fontId="31" fillId="11" borderId="0" applyNumberFormat="0" applyBorder="0" applyAlignment="0" applyProtection="0">
      <alignment vertical="center"/>
    </xf>
    <xf numFmtId="0" fontId="99" fillId="0" borderId="0"/>
    <xf numFmtId="0" fontId="99" fillId="0" borderId="0"/>
    <xf numFmtId="0" fontId="31" fillId="11" borderId="0" applyNumberFormat="0" applyBorder="0" applyAlignment="0" applyProtection="0">
      <alignment vertical="center"/>
    </xf>
    <xf numFmtId="0" fontId="99" fillId="0" borderId="0"/>
    <xf numFmtId="0" fontId="31" fillId="11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21" fillId="9" borderId="0" applyNumberFormat="0" applyBorder="0" applyAlignment="0" applyProtection="0"/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66" fillId="2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66" fillId="2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99" fillId="13" borderId="2" applyNumberFormat="0" applyFont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99" fillId="13" borderId="2" applyNumberFormat="0" applyFont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44" fillId="9" borderId="0" applyNumberFormat="0" applyBorder="0" applyAlignment="0" applyProtection="0"/>
    <xf numFmtId="0" fontId="31" fillId="12" borderId="0" applyNumberFormat="0" applyBorder="0" applyAlignment="0" applyProtection="0">
      <alignment vertical="center"/>
    </xf>
    <xf numFmtId="0" fontId="99" fillId="13" borderId="2" applyNumberFormat="0" applyFont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57" fillId="9" borderId="1" applyNumberFormat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99" fillId="13" borderId="2" applyNumberFormat="0" applyFont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21" fillId="20" borderId="0" applyNumberFormat="0" applyBorder="0" applyAlignment="0" applyProtection="0"/>
    <xf numFmtId="0" fontId="36" fillId="11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14" fontId="74" fillId="0" borderId="0">
      <alignment horizontal="center" wrapText="1"/>
      <protection locked="0"/>
    </xf>
    <xf numFmtId="0" fontId="21" fillId="20" borderId="0" applyNumberFormat="0" applyBorder="0" applyAlignment="0" applyProtection="0"/>
    <xf numFmtId="0" fontId="36" fillId="16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56" fillId="16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47" fillId="0" borderId="9" applyNumberFormat="0" applyFill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99" fillId="13" borderId="2" applyNumberFormat="0" applyFont="0" applyAlignment="0" applyProtection="0">
      <alignment vertical="center"/>
    </xf>
    <xf numFmtId="0" fontId="38" fillId="5" borderId="1" applyNumberFormat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99" fillId="13" borderId="2" applyNumberFormat="0" applyFont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99" fillId="13" borderId="2" applyNumberFormat="0" applyFont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56" fillId="11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21" fillId="20" borderId="0" applyNumberFormat="0" applyBorder="0" applyAlignment="0" applyProtection="0"/>
    <xf numFmtId="0" fontId="36" fillId="11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79" fillId="0" borderId="0"/>
    <xf numFmtId="0" fontId="36" fillId="11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56" fillId="16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99" fillId="0" borderId="0"/>
    <xf numFmtId="0" fontId="99" fillId="0" borderId="0">
      <alignment vertical="center"/>
    </xf>
    <xf numFmtId="0" fontId="36" fillId="16" borderId="0" applyNumberFormat="0" applyBorder="0" applyAlignment="0" applyProtection="0">
      <alignment vertical="center"/>
    </xf>
    <xf numFmtId="0" fontId="99" fillId="0" borderId="0"/>
    <xf numFmtId="0" fontId="99" fillId="0" borderId="0">
      <alignment vertical="center"/>
    </xf>
    <xf numFmtId="0" fontId="36" fillId="16" borderId="0" applyNumberFormat="0" applyBorder="0" applyAlignment="0" applyProtection="0">
      <alignment vertical="center"/>
    </xf>
    <xf numFmtId="0" fontId="99" fillId="13" borderId="2" applyNumberFormat="0" applyFont="0" applyAlignment="0" applyProtection="0">
      <alignment vertical="center"/>
    </xf>
    <xf numFmtId="0" fontId="99" fillId="0" borderId="0"/>
    <xf numFmtId="0" fontId="99" fillId="0" borderId="0"/>
    <xf numFmtId="0" fontId="36" fillId="16" borderId="0" applyNumberFormat="0" applyBorder="0" applyAlignment="0" applyProtection="0">
      <alignment vertical="center"/>
    </xf>
    <xf numFmtId="0" fontId="99" fillId="0" borderId="0"/>
    <xf numFmtId="0" fontId="36" fillId="16" borderId="0" applyNumberFormat="0" applyBorder="0" applyAlignment="0" applyProtection="0">
      <alignment vertical="center"/>
    </xf>
    <xf numFmtId="0" fontId="99" fillId="0" borderId="0"/>
    <xf numFmtId="0" fontId="99" fillId="0" borderId="0"/>
    <xf numFmtId="0" fontId="36" fillId="16" borderId="0" applyNumberFormat="0" applyBorder="0" applyAlignment="0" applyProtection="0">
      <alignment vertical="center"/>
    </xf>
    <xf numFmtId="0" fontId="99" fillId="0" borderId="0"/>
    <xf numFmtId="0" fontId="42" fillId="2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99" fillId="0" borderId="0"/>
    <xf numFmtId="0" fontId="36" fillId="16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55" fillId="14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57" fillId="9" borderId="1" applyNumberFormat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21" fillId="9" borderId="0" applyNumberFormat="0" applyBorder="0" applyAlignment="0" applyProtection="0"/>
    <xf numFmtId="0" fontId="36" fillId="16" borderId="0" applyNumberFormat="0" applyBorder="0" applyAlignment="0" applyProtection="0">
      <alignment vertical="center"/>
    </xf>
    <xf numFmtId="0" fontId="50" fillId="4" borderId="0" applyNumberFormat="0" applyBorder="0" applyAlignment="0" applyProtection="0"/>
    <xf numFmtId="0" fontId="36" fillId="16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56" fillId="15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21" fillId="9" borderId="0" applyNumberFormat="0" applyBorder="0" applyAlignment="0" applyProtection="0"/>
    <xf numFmtId="0" fontId="36" fillId="15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56" fillId="21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182" fontId="2" fillId="0" borderId="10" applyFill="0" applyProtection="0">
      <alignment horizontal="right"/>
    </xf>
    <xf numFmtId="0" fontId="43" fillId="4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67" fillId="7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61" fillId="0" borderId="0">
      <protection locked="0"/>
    </xf>
    <xf numFmtId="0" fontId="42" fillId="2" borderId="0" applyNumberFormat="0" applyBorder="0" applyAlignment="0" applyProtection="0">
      <alignment vertical="center"/>
    </xf>
    <xf numFmtId="0" fontId="44" fillId="27" borderId="0" applyNumberFormat="0" applyBorder="0" applyAlignment="0" applyProtection="0"/>
    <xf numFmtId="0" fontId="36" fillId="3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21" fillId="20" borderId="0" applyNumberFormat="0" applyBorder="0" applyAlignment="0" applyProtection="0"/>
    <xf numFmtId="0" fontId="37" fillId="7" borderId="0" applyNumberFormat="0" applyBorder="0" applyAlignment="0" applyProtection="0">
      <alignment vertical="center"/>
    </xf>
    <xf numFmtId="0" fontId="21" fillId="20" borderId="0" applyNumberFormat="0" applyBorder="0" applyAlignment="0" applyProtection="0"/>
    <xf numFmtId="0" fontId="37" fillId="7" borderId="0" applyNumberFormat="0" applyBorder="0" applyAlignment="0" applyProtection="0">
      <alignment vertical="center"/>
    </xf>
    <xf numFmtId="0" fontId="21" fillId="20" borderId="0" applyNumberFormat="0" applyBorder="0" applyAlignment="0" applyProtection="0"/>
    <xf numFmtId="0" fontId="37" fillId="7" borderId="0" applyNumberFormat="0" applyBorder="0" applyAlignment="0" applyProtection="0">
      <alignment vertical="center"/>
    </xf>
    <xf numFmtId="0" fontId="21" fillId="20" borderId="0" applyNumberFormat="0" applyBorder="0" applyAlignment="0" applyProtection="0"/>
    <xf numFmtId="0" fontId="33" fillId="0" borderId="0" applyNumberFormat="0" applyFill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21" fillId="20" borderId="0" applyNumberFormat="0" applyBorder="0" applyAlignment="0" applyProtection="0"/>
    <xf numFmtId="0" fontId="48" fillId="14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21" fillId="20" borderId="0" applyNumberFormat="0" applyBorder="0" applyAlignment="0" applyProtection="0"/>
    <xf numFmtId="0" fontId="48" fillId="14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21" fillId="20" borderId="0" applyNumberFormat="0" applyBorder="0" applyAlignment="0" applyProtection="0"/>
    <xf numFmtId="0" fontId="48" fillId="14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21" fillId="20" borderId="0" applyNumberFormat="0" applyBorder="0" applyAlignment="0" applyProtection="0"/>
    <xf numFmtId="0" fontId="48" fillId="14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21" fillId="20" borderId="0" applyNumberFormat="0" applyBorder="0" applyAlignment="0" applyProtection="0"/>
    <xf numFmtId="0" fontId="36" fillId="3" borderId="0" applyNumberFormat="0" applyBorder="0" applyAlignment="0" applyProtection="0">
      <alignment vertical="center"/>
    </xf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57" fillId="9" borderId="1" applyNumberFormat="0" applyAlignment="0" applyProtection="0">
      <alignment vertical="center"/>
    </xf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27" borderId="0" applyNumberFormat="0" applyBorder="0" applyAlignment="0" applyProtection="0"/>
    <xf numFmtId="0" fontId="44" fillId="27" borderId="0" applyNumberFormat="0" applyBorder="0" applyAlignment="0" applyProtection="0"/>
    <xf numFmtId="0" fontId="44" fillId="27" borderId="0" applyNumberFormat="0" applyBorder="0" applyAlignment="0" applyProtection="0"/>
    <xf numFmtId="0" fontId="44" fillId="27" borderId="0" applyNumberFormat="0" applyBorder="0" applyAlignment="0" applyProtection="0"/>
    <xf numFmtId="0" fontId="44" fillId="27" borderId="0" applyNumberFormat="0" applyBorder="0" applyAlignment="0" applyProtection="0"/>
    <xf numFmtId="0" fontId="44" fillId="27" borderId="0" applyNumberFormat="0" applyBorder="0" applyAlignment="0" applyProtection="0"/>
    <xf numFmtId="0" fontId="44" fillId="27" borderId="0" applyNumberFormat="0" applyBorder="0" applyAlignment="0" applyProtection="0"/>
    <xf numFmtId="0" fontId="44" fillId="27" borderId="0" applyNumberFormat="0" applyBorder="0" applyAlignment="0" applyProtection="0"/>
    <xf numFmtId="0" fontId="36" fillId="19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44" fillId="28" borderId="0" applyNumberFormat="0" applyBorder="0" applyAlignment="0" applyProtection="0"/>
    <xf numFmtId="0" fontId="99" fillId="0" borderId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36" fillId="22" borderId="0" applyNumberFormat="0" applyBorder="0" applyAlignment="0" applyProtection="0">
      <alignment vertical="center"/>
    </xf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41" fontId="99" fillId="0" borderId="0" applyFont="0" applyFill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21" fillId="9" borderId="0" applyNumberFormat="0" applyBorder="0" applyAlignment="0" applyProtection="0"/>
    <xf numFmtId="0" fontId="36" fillId="15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21" fillId="9" borderId="0" applyNumberFormat="0" applyBorder="0" applyAlignment="0" applyProtection="0"/>
    <xf numFmtId="0" fontId="43" fillId="4" borderId="0" applyNumberFormat="0" applyBorder="0" applyAlignment="0" applyProtection="0">
      <alignment vertical="center"/>
    </xf>
    <xf numFmtId="0" fontId="21" fillId="9" borderId="0" applyNumberFormat="0" applyBorder="0" applyAlignment="0" applyProtection="0"/>
    <xf numFmtId="0" fontId="43" fillId="4" borderId="0" applyNumberFormat="0" applyBorder="0" applyAlignment="0" applyProtection="0">
      <alignment vertical="center"/>
    </xf>
    <xf numFmtId="0" fontId="21" fillId="9" borderId="0" applyNumberFormat="0" applyBorder="0" applyAlignment="0" applyProtection="0"/>
    <xf numFmtId="0" fontId="54" fillId="9" borderId="6" applyNumberFormat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44" fillId="17" borderId="0" applyNumberFormat="0" applyBorder="0" applyAlignment="0" applyProtection="0"/>
    <xf numFmtId="0" fontId="44" fillId="17" borderId="0" applyNumberFormat="0" applyBorder="0" applyAlignment="0" applyProtection="0"/>
    <xf numFmtId="0" fontId="44" fillId="17" borderId="0" applyNumberFormat="0" applyBorder="0" applyAlignment="0" applyProtection="0"/>
    <xf numFmtId="0" fontId="44" fillId="17" borderId="0" applyNumberFormat="0" applyBorder="0" applyAlignment="0" applyProtection="0"/>
    <xf numFmtId="0" fontId="44" fillId="17" borderId="0" applyNumberFormat="0" applyBorder="0" applyAlignment="0" applyProtection="0"/>
    <xf numFmtId="0" fontId="44" fillId="17" borderId="0" applyNumberFormat="0" applyBorder="0" applyAlignment="0" applyProtection="0"/>
    <xf numFmtId="0" fontId="44" fillId="17" borderId="0" applyNumberFormat="0" applyBorder="0" applyAlignment="0" applyProtection="0"/>
    <xf numFmtId="0" fontId="44" fillId="17" borderId="0" applyNumberFormat="0" applyBorder="0" applyAlignment="0" applyProtection="0"/>
    <xf numFmtId="0" fontId="44" fillId="17" borderId="0" applyNumberFormat="0" applyBorder="0" applyAlignment="0" applyProtection="0"/>
    <xf numFmtId="0" fontId="44" fillId="28" borderId="0" applyNumberFormat="0" applyBorder="0" applyAlignment="0" applyProtection="0"/>
    <xf numFmtId="0" fontId="44" fillId="28" borderId="0" applyNumberFormat="0" applyBorder="0" applyAlignment="0" applyProtection="0"/>
    <xf numFmtId="0" fontId="46" fillId="7" borderId="0" applyNumberFormat="0" applyBorder="0" applyAlignment="0" applyProtection="0">
      <alignment vertical="center"/>
    </xf>
    <xf numFmtId="0" fontId="44" fillId="28" borderId="0" applyNumberFormat="0" applyBorder="0" applyAlignment="0" applyProtection="0"/>
    <xf numFmtId="0" fontId="37" fillId="7" borderId="0" applyNumberFormat="0" applyBorder="0" applyAlignment="0" applyProtection="0">
      <alignment vertical="center"/>
    </xf>
    <xf numFmtId="0" fontId="44" fillId="28" borderId="0" applyNumberFormat="0" applyBorder="0" applyAlignment="0" applyProtection="0"/>
    <xf numFmtId="0" fontId="37" fillId="7" borderId="0" applyNumberFormat="0" applyBorder="0" applyAlignment="0" applyProtection="0">
      <alignment vertical="center"/>
    </xf>
    <xf numFmtId="0" fontId="44" fillId="28" borderId="0" applyNumberFormat="0" applyBorder="0" applyAlignment="0" applyProtection="0"/>
    <xf numFmtId="0" fontId="37" fillId="7" borderId="0" applyNumberFormat="0" applyBorder="0" applyAlignment="0" applyProtection="0">
      <alignment vertical="center"/>
    </xf>
    <xf numFmtId="0" fontId="44" fillId="28" borderId="0" applyNumberFormat="0" applyBorder="0" applyAlignment="0" applyProtection="0"/>
    <xf numFmtId="0" fontId="37" fillId="7" borderId="0" applyNumberFormat="0" applyBorder="0" applyAlignment="0" applyProtection="0">
      <alignment vertical="center"/>
    </xf>
    <xf numFmtId="0" fontId="44" fillId="28" borderId="0" applyNumberFormat="0" applyBorder="0" applyAlignment="0" applyProtection="0"/>
    <xf numFmtId="0" fontId="37" fillId="7" borderId="0" applyNumberFormat="0" applyBorder="0" applyAlignment="0" applyProtection="0">
      <alignment vertical="center"/>
    </xf>
    <xf numFmtId="0" fontId="44" fillId="28" borderId="0" applyNumberFormat="0" applyBorder="0" applyAlignment="0" applyProtection="0"/>
    <xf numFmtId="0" fontId="36" fillId="3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44" fillId="17" borderId="0" applyNumberFormat="0" applyBorder="0" applyAlignment="0" applyProtection="0"/>
    <xf numFmtId="0" fontId="43" fillId="4" borderId="0" applyNumberFormat="0" applyBorder="0" applyAlignment="0" applyProtection="0">
      <alignment vertical="center"/>
    </xf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2" borderId="0" applyNumberFormat="0" applyBorder="0" applyAlignment="0" applyProtection="0"/>
    <xf numFmtId="0" fontId="46" fillId="7" borderId="0" applyNumberFormat="0" applyBorder="0" applyAlignment="0" applyProtection="0">
      <alignment vertical="center"/>
    </xf>
    <xf numFmtId="0" fontId="21" fillId="2" borderId="0" applyNumberFormat="0" applyBorder="0" applyAlignment="0" applyProtection="0"/>
    <xf numFmtId="0" fontId="46" fillId="7" borderId="0" applyNumberFormat="0" applyBorder="0" applyAlignment="0" applyProtection="0">
      <alignment vertical="center"/>
    </xf>
    <xf numFmtId="0" fontId="21" fillId="2" borderId="0" applyNumberFormat="0" applyBorder="0" applyAlignment="0" applyProtection="0"/>
    <xf numFmtId="0" fontId="46" fillId="7" borderId="0" applyNumberFormat="0" applyBorder="0" applyAlignment="0" applyProtection="0">
      <alignment vertical="center"/>
    </xf>
    <xf numFmtId="0" fontId="21" fillId="2" borderId="0" applyNumberFormat="0" applyBorder="0" applyAlignment="0" applyProtection="0"/>
    <xf numFmtId="0" fontId="46" fillId="7" borderId="0" applyNumberFormat="0" applyBorder="0" applyAlignment="0" applyProtection="0">
      <alignment vertical="center"/>
    </xf>
    <xf numFmtId="0" fontId="21" fillId="2" borderId="0" applyNumberFormat="0" applyBorder="0" applyAlignment="0" applyProtection="0"/>
    <xf numFmtId="0" fontId="46" fillId="7" borderId="0" applyNumberFormat="0" applyBorder="0" applyAlignment="0" applyProtection="0">
      <alignment vertical="center"/>
    </xf>
    <xf numFmtId="0" fontId="21" fillId="2" borderId="0" applyNumberFormat="0" applyBorder="0" applyAlignment="0" applyProtection="0"/>
    <xf numFmtId="0" fontId="21" fillId="2" borderId="0" applyNumberFormat="0" applyBorder="0" applyAlignment="0" applyProtection="0"/>
    <xf numFmtId="0" fontId="43" fillId="4" borderId="0" applyNumberFormat="0" applyBorder="0" applyAlignment="0" applyProtection="0">
      <alignment vertical="center"/>
    </xf>
    <xf numFmtId="0" fontId="21" fillId="2" borderId="0" applyNumberFormat="0" applyBorder="0" applyAlignment="0" applyProtection="0"/>
    <xf numFmtId="0" fontId="21" fillId="2" borderId="0" applyNumberFormat="0" applyBorder="0" applyAlignment="0" applyProtection="0"/>
    <xf numFmtId="0" fontId="42" fillId="2" borderId="0" applyNumberFormat="0" applyBorder="0" applyAlignment="0" applyProtection="0">
      <alignment vertical="center"/>
    </xf>
    <xf numFmtId="0" fontId="44" fillId="9" borderId="0" applyNumberFormat="0" applyBorder="0" applyAlignment="0" applyProtection="0"/>
    <xf numFmtId="0" fontId="42" fillId="2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44" fillId="9" borderId="0" applyNumberFormat="0" applyBorder="0" applyAlignment="0" applyProtection="0"/>
    <xf numFmtId="0" fontId="42" fillId="2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44" fillId="9" borderId="0" applyNumberFormat="0" applyBorder="0" applyAlignment="0" applyProtection="0"/>
    <xf numFmtId="0" fontId="42" fillId="2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44" fillId="9" borderId="0" applyNumberFormat="0" applyBorder="0" applyAlignment="0" applyProtection="0"/>
    <xf numFmtId="0" fontId="42" fillId="2" borderId="0" applyNumberFormat="0" applyBorder="0" applyAlignment="0" applyProtection="0">
      <alignment vertical="center"/>
    </xf>
    <xf numFmtId="0" fontId="44" fillId="9" borderId="0" applyNumberFormat="0" applyBorder="0" applyAlignment="0" applyProtection="0"/>
    <xf numFmtId="0" fontId="42" fillId="2" borderId="0" applyNumberFormat="0" applyBorder="0" applyAlignment="0" applyProtection="0">
      <alignment vertical="center"/>
    </xf>
    <xf numFmtId="0" fontId="44" fillId="9" borderId="0" applyNumberFormat="0" applyBorder="0" applyAlignment="0" applyProtection="0"/>
    <xf numFmtId="0" fontId="42" fillId="2" borderId="0" applyNumberFormat="0" applyBorder="0" applyAlignment="0" applyProtection="0">
      <alignment vertical="center"/>
    </xf>
    <xf numFmtId="0" fontId="44" fillId="9" borderId="0" applyNumberFormat="0" applyBorder="0" applyAlignment="0" applyProtection="0"/>
    <xf numFmtId="0" fontId="42" fillId="2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44" fillId="9" borderId="0" applyNumberFormat="0" applyBorder="0" applyAlignment="0" applyProtection="0"/>
    <xf numFmtId="0" fontId="42" fillId="2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44" fillId="9" borderId="0" applyNumberFormat="0" applyBorder="0" applyAlignment="0" applyProtection="0"/>
    <xf numFmtId="0" fontId="43" fillId="4" borderId="0" applyNumberFormat="0" applyBorder="0" applyAlignment="0" applyProtection="0">
      <alignment vertical="center"/>
    </xf>
    <xf numFmtId="0" fontId="44" fillId="17" borderId="0" applyNumberFormat="0" applyBorder="0" applyAlignment="0" applyProtection="0"/>
    <xf numFmtId="0" fontId="43" fillId="4" borderId="0" applyNumberFormat="0" applyBorder="0" applyAlignment="0" applyProtection="0">
      <alignment vertical="center"/>
    </xf>
    <xf numFmtId="0" fontId="44" fillId="17" borderId="0" applyNumberFormat="0" applyBorder="0" applyAlignment="0" applyProtection="0"/>
    <xf numFmtId="0" fontId="43" fillId="4" borderId="0" applyNumberFormat="0" applyBorder="0" applyAlignment="0" applyProtection="0">
      <alignment vertical="center"/>
    </xf>
    <xf numFmtId="0" fontId="44" fillId="17" borderId="0" applyNumberFormat="0" applyBorder="0" applyAlignment="0" applyProtection="0"/>
    <xf numFmtId="0" fontId="43" fillId="4" borderId="0" applyNumberFormat="0" applyBorder="0" applyAlignment="0" applyProtection="0">
      <alignment vertical="center"/>
    </xf>
    <xf numFmtId="0" fontId="44" fillId="17" borderId="0" applyNumberFormat="0" applyBorder="0" applyAlignment="0" applyProtection="0"/>
    <xf numFmtId="0" fontId="43" fillId="4" borderId="0" applyNumberFormat="0" applyBorder="0" applyAlignment="0" applyProtection="0">
      <alignment vertical="center"/>
    </xf>
    <xf numFmtId="0" fontId="44" fillId="17" borderId="0" applyNumberFormat="0" applyBorder="0" applyAlignment="0" applyProtection="0"/>
    <xf numFmtId="0" fontId="43" fillId="4" borderId="0" applyNumberFormat="0" applyBorder="0" applyAlignment="0" applyProtection="0">
      <alignment vertical="center"/>
    </xf>
    <xf numFmtId="0" fontId="44" fillId="17" borderId="0" applyNumberFormat="0" applyBorder="0" applyAlignment="0" applyProtection="0"/>
    <xf numFmtId="0" fontId="43" fillId="4" borderId="0" applyNumberFormat="0" applyBorder="0" applyAlignment="0" applyProtection="0">
      <alignment vertical="center"/>
    </xf>
    <xf numFmtId="0" fontId="44" fillId="17" borderId="0" applyNumberFormat="0" applyBorder="0" applyAlignment="0" applyProtection="0"/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4" fillId="17" borderId="0" applyNumberFormat="0" applyBorder="0" applyAlignment="0" applyProtection="0"/>
    <xf numFmtId="43" fontId="99" fillId="0" borderId="0" applyFont="0" applyFill="0" applyBorder="0" applyAlignment="0" applyProtection="0"/>
    <xf numFmtId="0" fontId="49" fillId="0" borderId="0" applyNumberFormat="0" applyFill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44" fillId="27" borderId="0" applyNumberFormat="0" applyBorder="0" applyAlignment="0" applyProtection="0"/>
    <xf numFmtId="0" fontId="41" fillId="0" borderId="0" applyNumberFormat="0" applyFill="0" applyBorder="0" applyAlignment="0" applyProtection="0">
      <alignment vertical="center"/>
    </xf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41" fillId="0" borderId="0" applyNumberFormat="0" applyFill="0" applyBorder="0" applyAlignment="0" applyProtection="0">
      <alignment vertical="center"/>
    </xf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43" fillId="4" borderId="0" applyNumberFormat="0" applyBorder="0" applyAlignment="0" applyProtection="0">
      <alignment vertical="center"/>
    </xf>
    <xf numFmtId="179" fontId="99" fillId="0" borderId="0" applyFont="0" applyFill="0" applyBorder="0" applyAlignment="0" applyProtection="0"/>
    <xf numFmtId="0" fontId="44" fillId="9" borderId="0" applyNumberFormat="0" applyBorder="0" applyAlignment="0" applyProtection="0"/>
    <xf numFmtId="0" fontId="44" fillId="9" borderId="0" applyNumberFormat="0" applyBorder="0" applyAlignment="0" applyProtection="0"/>
    <xf numFmtId="0" fontId="99" fillId="29" borderId="0" applyNumberFormat="0" applyFont="0" applyBorder="0" applyAlignment="0" applyProtection="0"/>
    <xf numFmtId="0" fontId="44" fillId="9" borderId="0" applyNumberFormat="0" applyBorder="0" applyAlignment="0" applyProtection="0"/>
    <xf numFmtId="0" fontId="44" fillId="9" borderId="0" applyNumberFormat="0" applyBorder="0" applyAlignment="0" applyProtection="0"/>
    <xf numFmtId="0" fontId="48" fillId="14" borderId="0" applyNumberFormat="0" applyBorder="0" applyAlignment="0" applyProtection="0">
      <alignment vertical="center"/>
    </xf>
    <xf numFmtId="0" fontId="44" fillId="9" borderId="0" applyNumberFormat="0" applyBorder="0" applyAlignment="0" applyProtection="0"/>
    <xf numFmtId="0" fontId="44" fillId="9" borderId="0" applyNumberFormat="0" applyBorder="0" applyAlignment="0" applyProtection="0"/>
    <xf numFmtId="0" fontId="43" fillId="7" borderId="0" applyNumberFormat="0" applyBorder="0" applyAlignment="0" applyProtection="0">
      <alignment vertical="center"/>
    </xf>
    <xf numFmtId="0" fontId="44" fillId="9" borderId="0" applyNumberFormat="0" applyBorder="0" applyAlignment="0" applyProtection="0"/>
    <xf numFmtId="0" fontId="44" fillId="9" borderId="0" applyNumberFormat="0" applyBorder="0" applyAlignment="0" applyProtection="0"/>
    <xf numFmtId="0" fontId="44" fillId="27" borderId="0" applyNumberFormat="0" applyBorder="0" applyAlignment="0" applyProtection="0"/>
    <xf numFmtId="0" fontId="44" fillId="27" borderId="0" applyNumberFormat="0" applyBorder="0" applyAlignment="0" applyProtection="0"/>
    <xf numFmtId="0" fontId="44" fillId="27" borderId="0" applyNumberFormat="0" applyBorder="0" applyAlignment="0" applyProtection="0"/>
    <xf numFmtId="0" fontId="42" fillId="2" borderId="0" applyNumberFormat="0" applyBorder="0" applyAlignment="0" applyProtection="0">
      <alignment vertical="center"/>
    </xf>
    <xf numFmtId="0" fontId="67" fillId="7" borderId="0" applyNumberFormat="0" applyBorder="0" applyAlignment="0" applyProtection="0">
      <alignment vertical="center"/>
    </xf>
    <xf numFmtId="0" fontId="44" fillId="27" borderId="0" applyNumberFormat="0" applyBorder="0" applyAlignment="0" applyProtection="0"/>
    <xf numFmtId="0" fontId="42" fillId="2" borderId="0" applyNumberFormat="0" applyBorder="0" applyAlignment="0" applyProtection="0">
      <alignment vertical="center"/>
    </xf>
    <xf numFmtId="0" fontId="67" fillId="7" borderId="0" applyNumberFormat="0" applyBorder="0" applyAlignment="0" applyProtection="0">
      <alignment vertical="center"/>
    </xf>
    <xf numFmtId="0" fontId="44" fillId="27" borderId="0" applyNumberFormat="0" applyBorder="0" applyAlignment="0" applyProtection="0"/>
    <xf numFmtId="0" fontId="42" fillId="2" borderId="0" applyNumberFormat="0" applyBorder="0" applyAlignment="0" applyProtection="0">
      <alignment vertical="center"/>
    </xf>
    <xf numFmtId="0" fontId="67" fillId="7" borderId="0" applyNumberFormat="0" applyBorder="0" applyAlignment="0" applyProtection="0">
      <alignment vertical="center"/>
    </xf>
    <xf numFmtId="0" fontId="44" fillId="27" borderId="0" applyNumberFormat="0" applyBorder="0" applyAlignment="0" applyProtection="0"/>
    <xf numFmtId="0" fontId="42" fillId="2" borderId="0" applyNumberFormat="0" applyBorder="0" applyAlignment="0" applyProtection="0">
      <alignment vertical="center"/>
    </xf>
    <xf numFmtId="0" fontId="67" fillId="7" borderId="0" applyNumberFormat="0" applyBorder="0" applyAlignment="0" applyProtection="0">
      <alignment vertical="center"/>
    </xf>
    <xf numFmtId="0" fontId="44" fillId="27" borderId="0" applyNumberFormat="0" applyBorder="0" applyAlignment="0" applyProtection="0"/>
    <xf numFmtId="0" fontId="42" fillId="2" borderId="0" applyNumberFormat="0" applyBorder="0" applyAlignment="0" applyProtection="0">
      <alignment vertical="center"/>
    </xf>
    <xf numFmtId="0" fontId="67" fillId="7" borderId="0" applyNumberFormat="0" applyBorder="0" applyAlignment="0" applyProtection="0">
      <alignment vertical="center"/>
    </xf>
    <xf numFmtId="0" fontId="44" fillId="27" borderId="0" applyNumberFormat="0" applyBorder="0" applyAlignment="0" applyProtection="0"/>
    <xf numFmtId="0" fontId="36" fillId="16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44" fillId="15" borderId="0" applyNumberFormat="0" applyBorder="0" applyAlignment="0" applyProtection="0"/>
    <xf numFmtId="0" fontId="21" fillId="14" borderId="0" applyNumberFormat="0" applyBorder="0" applyAlignment="0" applyProtection="0"/>
    <xf numFmtId="0" fontId="43" fillId="4" borderId="0" applyNumberFormat="0" applyBorder="0" applyAlignment="0" applyProtection="0">
      <alignment vertical="center"/>
    </xf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20" borderId="0" applyNumberFormat="0" applyBorder="0" applyAlignment="0" applyProtection="0"/>
    <xf numFmtId="0" fontId="42" fillId="2" borderId="0" applyNumberFormat="0" applyBorder="0" applyAlignment="0" applyProtection="0">
      <alignment vertical="center"/>
    </xf>
    <xf numFmtId="0" fontId="21" fillId="20" borderId="0" applyNumberFormat="0" applyBorder="0" applyAlignment="0" applyProtection="0"/>
    <xf numFmtId="0" fontId="42" fillId="2" borderId="0" applyNumberFormat="0" applyBorder="0" applyAlignment="0" applyProtection="0">
      <alignment vertical="center"/>
    </xf>
    <xf numFmtId="0" fontId="21" fillId="20" borderId="0" applyNumberFormat="0" applyBorder="0" applyAlignment="0" applyProtection="0"/>
    <xf numFmtId="0" fontId="42" fillId="2" borderId="0" applyNumberFormat="0" applyBorder="0" applyAlignment="0" applyProtection="0">
      <alignment vertical="center"/>
    </xf>
    <xf numFmtId="0" fontId="21" fillId="20" borderId="0" applyNumberFormat="0" applyBorder="0" applyAlignment="0" applyProtection="0"/>
    <xf numFmtId="0" fontId="42" fillId="2" borderId="0" applyNumberFormat="0" applyBorder="0" applyAlignment="0" applyProtection="0">
      <alignment vertical="center"/>
    </xf>
    <xf numFmtId="0" fontId="21" fillId="20" borderId="0" applyNumberFormat="0" applyBorder="0" applyAlignment="0" applyProtection="0"/>
    <xf numFmtId="0" fontId="42" fillId="2" borderId="0" applyNumberFormat="0" applyBorder="0" applyAlignment="0" applyProtection="0">
      <alignment vertical="center"/>
    </xf>
    <xf numFmtId="0" fontId="44" fillId="8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81" fillId="0" borderId="9" applyNumberFormat="0" applyFill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44" fillId="15" borderId="0" applyNumberFormat="0" applyBorder="0" applyAlignment="0" applyProtection="0"/>
    <xf numFmtId="0" fontId="47" fillId="0" borderId="9" applyNumberFormat="0" applyFill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44" fillId="15" borderId="0" applyNumberFormat="0" applyBorder="0" applyAlignment="0" applyProtection="0"/>
    <xf numFmtId="0" fontId="47" fillId="0" borderId="9" applyNumberFormat="0" applyFill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44" fillId="15" borderId="0" applyNumberFormat="0" applyBorder="0" applyAlignment="0" applyProtection="0"/>
    <xf numFmtId="0" fontId="47" fillId="0" borderId="9" applyNumberFormat="0" applyFill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44" fillId="15" borderId="0" applyNumberFormat="0" applyBorder="0" applyAlignment="0" applyProtection="0"/>
    <xf numFmtId="0" fontId="47" fillId="0" borderId="9" applyNumberFormat="0" applyFill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44" fillId="15" borderId="0" applyNumberFormat="0" applyBorder="0" applyAlignment="0" applyProtection="0"/>
    <xf numFmtId="0" fontId="36" fillId="15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44" fillId="21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36" fillId="23" borderId="0" applyNumberFormat="0" applyBorder="0" applyAlignment="0" applyProtection="0">
      <alignment vertical="center"/>
    </xf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36" fillId="3" borderId="0" applyNumberFormat="0" applyBorder="0" applyAlignment="0" applyProtection="0">
      <alignment vertical="center"/>
    </xf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44" fillId="5" borderId="0" applyNumberFormat="0" applyBorder="0" applyAlignment="0" applyProtection="0"/>
    <xf numFmtId="0" fontId="44" fillId="5" borderId="0" applyNumberFormat="0" applyBorder="0" applyAlignment="0" applyProtection="0"/>
    <xf numFmtId="0" fontId="44" fillId="5" borderId="0" applyNumberFormat="0" applyBorder="0" applyAlignment="0" applyProtection="0"/>
    <xf numFmtId="0" fontId="44" fillId="5" borderId="0" applyNumberFormat="0" applyBorder="0" applyAlignment="0" applyProtection="0"/>
    <xf numFmtId="0" fontId="44" fillId="5" borderId="0" applyNumberFormat="0" applyBorder="0" applyAlignment="0" applyProtection="0"/>
    <xf numFmtId="0" fontId="44" fillId="5" borderId="0" applyNumberFormat="0" applyBorder="0" applyAlignment="0" applyProtection="0"/>
    <xf numFmtId="0" fontId="43" fillId="4" borderId="0" applyNumberFormat="0" applyBorder="0" applyAlignment="0" applyProtection="0">
      <alignment vertical="center"/>
    </xf>
    <xf numFmtId="0" fontId="44" fillId="5" borderId="0" applyNumberFormat="0" applyBorder="0" applyAlignment="0" applyProtection="0"/>
    <xf numFmtId="0" fontId="43" fillId="4" borderId="0" applyNumberFormat="0" applyBorder="0" applyAlignment="0" applyProtection="0">
      <alignment vertical="center"/>
    </xf>
    <xf numFmtId="0" fontId="44" fillId="5" borderId="0" applyNumberFormat="0" applyBorder="0" applyAlignment="0" applyProtection="0"/>
    <xf numFmtId="0" fontId="43" fillId="4" borderId="0" applyNumberFormat="0" applyBorder="0" applyAlignment="0" applyProtection="0">
      <alignment vertical="center"/>
    </xf>
    <xf numFmtId="0" fontId="44" fillId="5" borderId="0" applyNumberFormat="0" applyBorder="0" applyAlignment="0" applyProtection="0"/>
    <xf numFmtId="0" fontId="43" fillId="4" borderId="0" applyNumberFormat="0" applyBorder="0" applyAlignment="0" applyProtection="0">
      <alignment vertical="center"/>
    </xf>
    <xf numFmtId="0" fontId="44" fillId="21" borderId="0" applyNumberFormat="0" applyBorder="0" applyAlignment="0" applyProtection="0"/>
    <xf numFmtId="0" fontId="43" fillId="4" borderId="0" applyNumberFormat="0" applyBorder="0" applyAlignment="0" applyProtection="0">
      <alignment vertical="center"/>
    </xf>
    <xf numFmtId="0" fontId="44" fillId="21" borderId="0" applyNumberFormat="0" applyBorder="0" applyAlignment="0" applyProtection="0"/>
    <xf numFmtId="0" fontId="43" fillId="4" borderId="0" applyNumberFormat="0" applyBorder="0" applyAlignment="0" applyProtection="0">
      <alignment vertical="center"/>
    </xf>
    <xf numFmtId="0" fontId="44" fillId="21" borderId="0" applyNumberFormat="0" applyBorder="0" applyAlignment="0" applyProtection="0"/>
    <xf numFmtId="0" fontId="44" fillId="21" borderId="0" applyNumberFormat="0" applyBorder="0" applyAlignment="0" applyProtection="0"/>
    <xf numFmtId="0" fontId="37" fillId="7" borderId="0" applyNumberFormat="0" applyBorder="0" applyAlignment="0" applyProtection="0">
      <alignment vertical="center"/>
    </xf>
    <xf numFmtId="0" fontId="44" fillId="21" borderId="0" applyNumberFormat="0" applyBorder="0" applyAlignment="0" applyProtection="0"/>
    <xf numFmtId="0" fontId="44" fillId="21" borderId="0" applyNumberFormat="0" applyBorder="0" applyAlignment="0" applyProtection="0"/>
    <xf numFmtId="0" fontId="44" fillId="21" borderId="0" applyNumberFormat="0" applyBorder="0" applyAlignment="0" applyProtection="0"/>
    <xf numFmtId="0" fontId="44" fillId="21" borderId="0" applyNumberFormat="0" applyBorder="0" applyAlignment="0" applyProtection="0"/>
    <xf numFmtId="0" fontId="4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74" fillId="0" borderId="0">
      <alignment horizontal="center" wrapText="1"/>
      <protection locked="0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54" fillId="9" borderId="6" applyNumberFormat="0" applyAlignment="0" applyProtection="0">
      <alignment vertical="center"/>
    </xf>
    <xf numFmtId="183" fontId="82" fillId="0" borderId="0" applyFill="0" applyBorder="0" applyAlignment="0"/>
    <xf numFmtId="0" fontId="43" fillId="4" borderId="0" applyNumberFormat="0" applyBorder="0" applyAlignment="0" applyProtection="0">
      <alignment vertical="center"/>
    </xf>
    <xf numFmtId="0" fontId="57" fillId="9" borderId="1" applyNumberFormat="0" applyAlignment="0" applyProtection="0">
      <alignment vertical="center"/>
    </xf>
    <xf numFmtId="0" fontId="57" fillId="9" borderId="1" applyNumberFormat="0" applyAlignment="0" applyProtection="0">
      <alignment vertical="center"/>
    </xf>
    <xf numFmtId="0" fontId="57" fillId="9" borderId="1" applyNumberFormat="0" applyAlignment="0" applyProtection="0">
      <alignment vertical="center"/>
    </xf>
    <xf numFmtId="0" fontId="57" fillId="9" borderId="1" applyNumberFormat="0" applyAlignment="0" applyProtection="0">
      <alignment vertical="center"/>
    </xf>
    <xf numFmtId="0" fontId="57" fillId="9" borderId="1" applyNumberFormat="0" applyAlignment="0" applyProtection="0">
      <alignment vertical="center"/>
    </xf>
    <xf numFmtId="0" fontId="57" fillId="9" borderId="1" applyNumberFormat="0" applyAlignment="0" applyProtection="0">
      <alignment vertical="center"/>
    </xf>
    <xf numFmtId="0" fontId="57" fillId="9" borderId="1" applyNumberFormat="0" applyAlignment="0" applyProtection="0">
      <alignment vertical="center"/>
    </xf>
    <xf numFmtId="0" fontId="57" fillId="9" borderId="1" applyNumberFormat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58" fillId="17" borderId="7" applyNumberFormat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58" fillId="17" borderId="7" applyNumberFormat="0" applyAlignment="0" applyProtection="0">
      <alignment vertical="center"/>
    </xf>
    <xf numFmtId="0" fontId="58" fillId="17" borderId="7" applyNumberFormat="0" applyAlignment="0" applyProtection="0">
      <alignment vertical="center"/>
    </xf>
    <xf numFmtId="0" fontId="58" fillId="17" borderId="7" applyNumberFormat="0" applyAlignment="0" applyProtection="0">
      <alignment vertical="center"/>
    </xf>
    <xf numFmtId="0" fontId="58" fillId="17" borderId="7" applyNumberFormat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58" fillId="17" borderId="7" applyNumberFormat="0" applyAlignment="0" applyProtection="0">
      <alignment vertical="center"/>
    </xf>
    <xf numFmtId="0" fontId="58" fillId="17" borderId="7" applyNumberFormat="0" applyAlignment="0" applyProtection="0">
      <alignment vertical="center"/>
    </xf>
    <xf numFmtId="0" fontId="58" fillId="17" borderId="7" applyNumberFormat="0" applyAlignment="0" applyProtection="0">
      <alignment vertical="center"/>
    </xf>
    <xf numFmtId="0" fontId="58" fillId="17" borderId="7" applyNumberFormat="0" applyAlignment="0" applyProtection="0">
      <alignment vertical="center"/>
    </xf>
    <xf numFmtId="0" fontId="82" fillId="0" borderId="0" applyNumberFormat="0" applyFill="0" applyBorder="0" applyAlignment="0" applyProtection="0">
      <alignment vertical="top"/>
    </xf>
    <xf numFmtId="0" fontId="99" fillId="0" borderId="0"/>
    <xf numFmtId="0" fontId="43" fillId="4" borderId="0" applyNumberFormat="0" applyBorder="0" applyAlignment="0" applyProtection="0">
      <alignment vertical="center"/>
    </xf>
    <xf numFmtId="41" fontId="99" fillId="0" borderId="0" applyFont="0" applyFill="0" applyBorder="0" applyAlignment="0" applyProtection="0"/>
    <xf numFmtId="0" fontId="99" fillId="0" borderId="0" applyFont="0" applyFill="0" applyBorder="0" applyAlignment="0" applyProtection="0"/>
    <xf numFmtId="184" fontId="83" fillId="0" borderId="0"/>
    <xf numFmtId="0" fontId="48" fillId="14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185" fontId="99" fillId="0" borderId="0" applyFont="0" applyFill="0" applyBorder="0" applyAlignment="0" applyProtection="0"/>
    <xf numFmtId="186" fontId="99" fillId="0" borderId="0" applyFont="0" applyFill="0" applyBorder="0" applyAlignment="0" applyProtection="0"/>
    <xf numFmtId="187" fontId="99" fillId="0" borderId="0" applyFont="0" applyFill="0" applyBorder="0" applyAlignment="0" applyProtection="0"/>
    <xf numFmtId="0" fontId="57" fillId="9" borderId="1" applyNumberFormat="0" applyAlignment="0" applyProtection="0">
      <alignment vertical="center"/>
    </xf>
    <xf numFmtId="188" fontId="83" fillId="0" borderId="0"/>
    <xf numFmtId="0" fontId="16" fillId="0" borderId="0" applyProtection="0"/>
    <xf numFmtId="189" fontId="83" fillId="0" borderId="0"/>
    <xf numFmtId="0" fontId="42" fillId="14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41" fontId="99" fillId="0" borderId="0" applyFont="0" applyFill="0" applyBorder="0" applyAlignment="0" applyProtection="0">
      <alignment vertical="center"/>
    </xf>
    <xf numFmtId="2" fontId="16" fillId="0" borderId="0" applyProtection="0"/>
    <xf numFmtId="0" fontId="99" fillId="0" borderId="0"/>
    <xf numFmtId="0" fontId="42" fillId="2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99" fillId="0" borderId="0"/>
    <xf numFmtId="0" fontId="42" fillId="2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29" fillId="9" borderId="0" applyNumberFormat="0" applyBorder="0" applyAlignment="0" applyProtection="0"/>
    <xf numFmtId="0" fontId="84" fillId="0" borderId="11" applyNumberFormat="0" applyAlignment="0" applyProtection="0">
      <alignment horizontal="left" vertical="center"/>
    </xf>
    <xf numFmtId="0" fontId="84" fillId="0" borderId="12">
      <alignment horizontal="left" vertical="center"/>
    </xf>
    <xf numFmtId="0" fontId="99" fillId="13" borderId="2" applyNumberFormat="0" applyFont="0" applyAlignment="0" applyProtection="0">
      <alignment vertical="center"/>
    </xf>
    <xf numFmtId="0" fontId="57" fillId="9" borderId="1" applyNumberFormat="0" applyAlignment="0" applyProtection="0">
      <alignment vertical="center"/>
    </xf>
    <xf numFmtId="0" fontId="52" fillId="0" borderId="3" applyNumberFormat="0" applyFill="0" applyAlignment="0" applyProtection="0">
      <alignment vertical="center"/>
    </xf>
    <xf numFmtId="0" fontId="57" fillId="9" borderId="1" applyNumberFormat="0" applyAlignment="0" applyProtection="0">
      <alignment vertical="center"/>
    </xf>
    <xf numFmtId="0" fontId="52" fillId="0" borderId="3" applyNumberFormat="0" applyFill="0" applyAlignment="0" applyProtection="0">
      <alignment vertical="center"/>
    </xf>
    <xf numFmtId="0" fontId="52" fillId="0" borderId="3" applyNumberFormat="0" applyFill="0" applyAlignment="0" applyProtection="0">
      <alignment vertical="center"/>
    </xf>
    <xf numFmtId="0" fontId="52" fillId="0" borderId="3" applyNumberFormat="0" applyFill="0" applyAlignment="0" applyProtection="0">
      <alignment vertical="center"/>
    </xf>
    <xf numFmtId="0" fontId="52" fillId="0" borderId="3" applyNumberFormat="0" applyFill="0" applyAlignment="0" applyProtection="0">
      <alignment vertical="center"/>
    </xf>
    <xf numFmtId="0" fontId="49" fillId="0" borderId="5" applyNumberFormat="0" applyFill="0" applyAlignment="0" applyProtection="0">
      <alignment vertical="center"/>
    </xf>
    <xf numFmtId="0" fontId="52" fillId="0" borderId="3" applyNumberFormat="0" applyFill="0" applyAlignment="0" applyProtection="0">
      <alignment vertical="center"/>
    </xf>
    <xf numFmtId="0" fontId="52" fillId="0" borderId="3" applyNumberFormat="0" applyFill="0" applyAlignment="0" applyProtection="0">
      <alignment vertical="center"/>
    </xf>
    <xf numFmtId="0" fontId="52" fillId="0" borderId="3" applyNumberFormat="0" applyFill="0" applyAlignment="0" applyProtection="0">
      <alignment vertical="center"/>
    </xf>
    <xf numFmtId="0" fontId="99" fillId="0" borderId="0">
      <alignment vertical="center"/>
    </xf>
    <xf numFmtId="0" fontId="52" fillId="0" borderId="3" applyNumberFormat="0" applyFill="0" applyAlignment="0" applyProtection="0">
      <alignment vertical="center"/>
    </xf>
    <xf numFmtId="0" fontId="40" fillId="0" borderId="4" applyNumberFormat="0" applyFill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0" fillId="0" borderId="4" applyNumberFormat="0" applyFill="0" applyAlignment="0" applyProtection="0">
      <alignment vertical="center"/>
    </xf>
    <xf numFmtId="0" fontId="40" fillId="0" borderId="4" applyNumberFormat="0" applyFill="0" applyAlignment="0" applyProtection="0">
      <alignment vertical="center"/>
    </xf>
    <xf numFmtId="0" fontId="40" fillId="0" borderId="4" applyNumberFormat="0" applyFill="0" applyAlignment="0" applyProtection="0">
      <alignment vertical="center"/>
    </xf>
    <xf numFmtId="0" fontId="40" fillId="0" borderId="4" applyNumberFormat="0" applyFill="0" applyAlignment="0" applyProtection="0">
      <alignment vertical="center"/>
    </xf>
    <xf numFmtId="0" fontId="40" fillId="0" borderId="4" applyNumberFormat="0" applyFill="0" applyAlignment="0" applyProtection="0">
      <alignment vertical="center"/>
    </xf>
    <xf numFmtId="0" fontId="40" fillId="0" borderId="4" applyNumberFormat="0" applyFill="0" applyAlignment="0" applyProtection="0">
      <alignment vertical="center"/>
    </xf>
    <xf numFmtId="0" fontId="40" fillId="0" borderId="4" applyNumberFormat="0" applyFill="0" applyAlignment="0" applyProtection="0">
      <alignment vertical="center"/>
    </xf>
    <xf numFmtId="0" fontId="40" fillId="0" borderId="4" applyNumberFormat="0" applyFill="0" applyAlignment="0" applyProtection="0">
      <alignment vertical="center"/>
    </xf>
    <xf numFmtId="0" fontId="49" fillId="0" borderId="5" applyNumberFormat="0" applyFill="0" applyAlignment="0" applyProtection="0">
      <alignment vertical="center"/>
    </xf>
    <xf numFmtId="0" fontId="49" fillId="0" borderId="5" applyNumberFormat="0" applyFill="0" applyAlignment="0" applyProtection="0">
      <alignment vertical="center"/>
    </xf>
    <xf numFmtId="0" fontId="49" fillId="0" borderId="5" applyNumberFormat="0" applyFill="0" applyAlignment="0" applyProtection="0">
      <alignment vertical="center"/>
    </xf>
    <xf numFmtId="0" fontId="49" fillId="0" borderId="5" applyNumberFormat="0" applyFill="0" applyAlignment="0" applyProtection="0">
      <alignment vertical="center"/>
    </xf>
    <xf numFmtId="0" fontId="49" fillId="0" borderId="5" applyNumberFormat="0" applyFill="0" applyAlignment="0" applyProtection="0">
      <alignment vertical="center"/>
    </xf>
    <xf numFmtId="0" fontId="54" fillId="9" borderId="6" applyNumberFormat="0" applyAlignment="0" applyProtection="0">
      <alignment vertical="center"/>
    </xf>
    <xf numFmtId="0" fontId="55" fillId="14" borderId="0" applyNumberFormat="0" applyBorder="0" applyAlignment="0" applyProtection="0">
      <alignment vertical="center"/>
    </xf>
    <xf numFmtId="0" fontId="49" fillId="0" borderId="5" applyNumberFormat="0" applyFill="0" applyAlignment="0" applyProtection="0">
      <alignment vertical="center"/>
    </xf>
    <xf numFmtId="0" fontId="54" fillId="9" borderId="6" applyNumberFormat="0" applyAlignment="0" applyProtection="0">
      <alignment vertical="center"/>
    </xf>
    <xf numFmtId="0" fontId="49" fillId="0" borderId="5" applyNumberFormat="0" applyFill="0" applyAlignment="0" applyProtection="0">
      <alignment vertical="center"/>
    </xf>
    <xf numFmtId="38" fontId="99" fillId="0" borderId="0" applyFont="0" applyFill="0" applyBorder="0" applyAlignment="0" applyProtection="0"/>
    <xf numFmtId="0" fontId="54" fillId="9" borderId="6" applyNumberFormat="0" applyAlignment="0" applyProtection="0">
      <alignment vertical="center"/>
    </xf>
    <xf numFmtId="0" fontId="49" fillId="0" borderId="5" applyNumberFormat="0" applyFill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31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99" fillId="13" borderId="2" applyNumberFormat="0" applyFont="0" applyAlignment="0" applyProtection="0">
      <alignment vertical="center"/>
    </xf>
    <xf numFmtId="0" fontId="54" fillId="9" borderId="6" applyNumberFormat="0" applyAlignment="0" applyProtection="0">
      <alignment vertical="center"/>
    </xf>
    <xf numFmtId="0" fontId="99" fillId="0" borderId="0"/>
    <xf numFmtId="0" fontId="49" fillId="0" borderId="0" applyNumberFormat="0" applyFill="0" applyBorder="0" applyAlignment="0" applyProtection="0">
      <alignment vertical="center"/>
    </xf>
    <xf numFmtId="0" fontId="99" fillId="0" borderId="0"/>
    <xf numFmtId="0" fontId="49" fillId="0" borderId="0" applyNumberFormat="0" applyFill="0" applyBorder="0" applyAlignment="0" applyProtection="0">
      <alignment vertical="center"/>
    </xf>
    <xf numFmtId="0" fontId="85" fillId="0" borderId="0" applyProtection="0"/>
    <xf numFmtId="0" fontId="42" fillId="2" borderId="0" applyNumberFormat="0" applyBorder="0" applyAlignment="0" applyProtection="0">
      <alignment vertical="center"/>
    </xf>
    <xf numFmtId="0" fontId="84" fillId="0" borderId="0" applyProtection="0"/>
    <xf numFmtId="0" fontId="38" fillId="5" borderId="1" applyNumberFormat="0" applyAlignment="0" applyProtection="0">
      <alignment vertical="center"/>
    </xf>
    <xf numFmtId="43" fontId="99" fillId="0" borderId="0" applyFont="0" applyFill="0" applyBorder="0" applyAlignment="0" applyProtection="0"/>
    <xf numFmtId="0" fontId="42" fillId="2" borderId="0" applyNumberFormat="0" applyBorder="0" applyAlignment="0" applyProtection="0">
      <alignment vertical="center"/>
    </xf>
    <xf numFmtId="0" fontId="29" fillId="13" borderId="13" applyNumberFormat="0" applyBorder="0" applyAlignment="0" applyProtection="0"/>
    <xf numFmtId="0" fontId="41" fillId="0" borderId="0" applyNumberFormat="0" applyFill="0" applyBorder="0" applyAlignment="0" applyProtection="0">
      <alignment vertical="center"/>
    </xf>
    <xf numFmtId="0" fontId="38" fillId="5" borderId="1" applyNumberFormat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8" fillId="5" borderId="1" applyNumberFormat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8" fillId="5" borderId="1" applyNumberFormat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8" fillId="5" borderId="1" applyNumberFormat="0" applyAlignment="0" applyProtection="0">
      <alignment vertical="center"/>
    </xf>
    <xf numFmtId="0" fontId="38" fillId="5" borderId="1" applyNumberFormat="0" applyAlignment="0" applyProtection="0">
      <alignment vertical="center"/>
    </xf>
    <xf numFmtId="0" fontId="38" fillId="5" borderId="1" applyNumberFormat="0" applyAlignment="0" applyProtection="0">
      <alignment vertical="center"/>
    </xf>
    <xf numFmtId="177" fontId="86" fillId="30" borderId="0"/>
    <xf numFmtId="9" fontId="99" fillId="0" borderId="0" applyFont="0" applyFill="0" applyBorder="0" applyAlignment="0" applyProtection="0"/>
    <xf numFmtId="0" fontId="59" fillId="0" borderId="8" applyNumberFormat="0" applyFill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59" fillId="0" borderId="8" applyNumberFormat="0" applyFill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59" fillId="0" borderId="8" applyNumberFormat="0" applyFill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59" fillId="0" borderId="8" applyNumberFormat="0" applyFill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59" fillId="0" borderId="8" applyNumberFormat="0" applyFill="0" applyAlignment="0" applyProtection="0">
      <alignment vertical="center"/>
    </xf>
    <xf numFmtId="0" fontId="59" fillId="0" borderId="8" applyNumberFormat="0" applyFill="0" applyAlignment="0" applyProtection="0">
      <alignment vertical="center"/>
    </xf>
    <xf numFmtId="0" fontId="59" fillId="0" borderId="8" applyNumberFormat="0" applyFill="0" applyAlignment="0" applyProtection="0">
      <alignment vertical="center"/>
    </xf>
    <xf numFmtId="0" fontId="59" fillId="0" borderId="8" applyNumberFormat="0" applyFill="0" applyAlignment="0" applyProtection="0">
      <alignment vertical="center"/>
    </xf>
    <xf numFmtId="0" fontId="59" fillId="0" borderId="8" applyNumberFormat="0" applyFill="0" applyAlignment="0" applyProtection="0">
      <alignment vertical="center"/>
    </xf>
    <xf numFmtId="177" fontId="62" fillId="31" borderId="0"/>
    <xf numFmtId="38" fontId="99" fillId="0" borderId="0" applyFont="0" applyFill="0" applyBorder="0" applyAlignment="0" applyProtection="0"/>
    <xf numFmtId="0" fontId="99" fillId="0" borderId="0">
      <alignment vertical="center"/>
    </xf>
    <xf numFmtId="0" fontId="43" fillId="4" borderId="0" applyNumberFormat="0" applyBorder="0" applyAlignment="0" applyProtection="0">
      <alignment vertical="center"/>
    </xf>
    <xf numFmtId="40" fontId="99" fillId="0" borderId="0" applyFont="0" applyFill="0" applyBorder="0" applyAlignment="0" applyProtection="0"/>
    <xf numFmtId="190" fontId="99" fillId="0" borderId="0" applyFont="0" applyFill="0" applyBorder="0" applyAlignment="0" applyProtection="0"/>
    <xf numFmtId="0" fontId="99" fillId="0" borderId="0" applyFont="0" applyFill="0" applyBorder="0" applyAlignment="0" applyProtection="0"/>
    <xf numFmtId="191" fontId="99" fillId="0" borderId="0" applyFont="0" applyFill="0" applyBorder="0" applyAlignment="0" applyProtection="0"/>
    <xf numFmtId="192" fontId="99" fillId="0" borderId="0" applyFont="0" applyFill="0" applyBorder="0" applyAlignment="0" applyProtection="0"/>
    <xf numFmtId="0" fontId="50" fillId="4" borderId="0" applyNumberFormat="0" applyBorder="0" applyAlignment="0" applyProtection="0"/>
    <xf numFmtId="190" fontId="99" fillId="0" borderId="0" applyFont="0" applyFill="0" applyBorder="0" applyAlignment="0" applyProtection="0"/>
    <xf numFmtId="0" fontId="35" fillId="18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83" fillId="0" borderId="0"/>
    <xf numFmtId="0" fontId="86" fillId="0" borderId="0"/>
    <xf numFmtId="0" fontId="66" fillId="2" borderId="0" applyNumberFormat="0" applyBorder="0" applyAlignment="0" applyProtection="0">
      <alignment vertical="center"/>
    </xf>
    <xf numFmtId="0" fontId="61" fillId="0" borderId="0"/>
    <xf numFmtId="0" fontId="43" fillId="4" borderId="0" applyNumberFormat="0" applyBorder="0" applyAlignment="0" applyProtection="0">
      <alignment vertical="center"/>
    </xf>
    <xf numFmtId="0" fontId="99" fillId="13" borderId="2" applyNumberFormat="0" applyFont="0" applyAlignment="0" applyProtection="0">
      <alignment vertical="center"/>
    </xf>
    <xf numFmtId="0" fontId="99" fillId="0" borderId="0"/>
    <xf numFmtId="13" fontId="99" fillId="0" borderId="0" applyFont="0" applyFill="0" applyProtection="0"/>
    <xf numFmtId="0" fontId="99" fillId="13" borderId="2" applyNumberFormat="0" applyFont="0" applyAlignment="0" applyProtection="0">
      <alignment vertical="center"/>
    </xf>
    <xf numFmtId="0" fontId="99" fillId="0" borderId="0"/>
    <xf numFmtId="0" fontId="99" fillId="13" borderId="2" applyNumberFormat="0" applyFont="0" applyAlignment="0" applyProtection="0">
      <alignment vertical="center"/>
    </xf>
    <xf numFmtId="0" fontId="99" fillId="0" borderId="0"/>
    <xf numFmtId="0" fontId="99" fillId="13" borderId="2" applyNumberFormat="0" applyFont="0" applyAlignment="0" applyProtection="0">
      <alignment vertical="center"/>
    </xf>
    <xf numFmtId="0" fontId="99" fillId="0" borderId="0"/>
    <xf numFmtId="0" fontId="99" fillId="13" borderId="2" applyNumberFormat="0" applyFont="0" applyAlignment="0" applyProtection="0">
      <alignment vertical="center"/>
    </xf>
    <xf numFmtId="0" fontId="99" fillId="0" borderId="0"/>
    <xf numFmtId="0" fontId="99" fillId="13" borderId="2" applyNumberFormat="0" applyFont="0" applyAlignment="0" applyProtection="0">
      <alignment vertical="center"/>
    </xf>
    <xf numFmtId="0" fontId="99" fillId="13" borderId="2" applyNumberFormat="0" applyFont="0" applyAlignment="0" applyProtection="0">
      <alignment vertical="center"/>
    </xf>
    <xf numFmtId="0" fontId="99" fillId="13" borderId="2" applyNumberFormat="0" applyFont="0" applyAlignment="0" applyProtection="0">
      <alignment vertical="center"/>
    </xf>
    <xf numFmtId="0" fontId="99" fillId="13" borderId="2" applyNumberFormat="0" applyFont="0" applyAlignment="0" applyProtection="0">
      <alignment vertical="center"/>
    </xf>
    <xf numFmtId="0" fontId="99" fillId="0" borderId="0">
      <alignment vertical="center"/>
    </xf>
    <xf numFmtId="0" fontId="54" fillId="9" borderId="6" applyNumberFormat="0" applyAlignment="0" applyProtection="0">
      <alignment vertical="center"/>
    </xf>
    <xf numFmtId="0" fontId="55" fillId="14" borderId="0" applyNumberFormat="0" applyBorder="0" applyAlignment="0" applyProtection="0">
      <alignment vertical="center"/>
    </xf>
    <xf numFmtId="0" fontId="54" fillId="9" borderId="6" applyNumberFormat="0" applyAlignment="0" applyProtection="0">
      <alignment vertical="center"/>
    </xf>
    <xf numFmtId="0" fontId="54" fillId="9" borderId="6" applyNumberFormat="0" applyAlignment="0" applyProtection="0">
      <alignment vertical="center"/>
    </xf>
    <xf numFmtId="0" fontId="54" fillId="9" borderId="6" applyNumberFormat="0" applyAlignment="0" applyProtection="0">
      <alignment vertical="center"/>
    </xf>
    <xf numFmtId="0" fontId="54" fillId="9" borderId="6" applyNumberFormat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54" fillId="9" borderId="6" applyNumberFormat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54" fillId="9" borderId="6" applyNumberFormat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50" fillId="4" borderId="0" applyNumberFormat="0" applyBorder="0" applyAlignment="0" applyProtection="0"/>
    <xf numFmtId="0" fontId="54" fillId="9" borderId="6" applyNumberFormat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54" fillId="9" borderId="6" applyNumberFormat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10" fontId="99" fillId="0" borderId="0" applyFont="0" applyFill="0" applyBorder="0" applyAlignment="0" applyProtection="0"/>
    <xf numFmtId="9" fontId="99" fillId="0" borderId="0" applyFont="0" applyFill="0" applyBorder="0" applyAlignment="0" applyProtection="0"/>
    <xf numFmtId="0" fontId="99" fillId="0" borderId="0" applyNumberFormat="0" applyFont="0" applyFill="0" applyBorder="0" applyAlignment="0" applyProtection="0">
      <alignment horizontal="left"/>
    </xf>
    <xf numFmtId="0" fontId="42" fillId="2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15" fontId="99" fillId="0" borderId="0" applyFont="0" applyFill="0" applyBorder="0" applyAlignment="0" applyProtection="0"/>
    <xf numFmtId="0" fontId="75" fillId="0" borderId="14">
      <alignment horizontal="center"/>
    </xf>
    <xf numFmtId="0" fontId="55" fillId="2" borderId="0" applyNumberFormat="0" applyBorder="0" applyAlignment="0" applyProtection="0">
      <alignment vertical="center"/>
    </xf>
    <xf numFmtId="3" fontId="99" fillId="0" borderId="0" applyFont="0" applyFill="0" applyBorder="0" applyAlignment="0" applyProtection="0"/>
    <xf numFmtId="0" fontId="70" fillId="4" borderId="0" applyNumberFormat="0" applyBorder="0" applyAlignment="0" applyProtection="0">
      <alignment vertical="center"/>
    </xf>
    <xf numFmtId="0" fontId="49" fillId="0" borderId="5" applyNumberFormat="0" applyFill="0" applyAlignment="0" applyProtection="0">
      <alignment vertical="center"/>
    </xf>
    <xf numFmtId="0" fontId="76" fillId="0" borderId="0" applyNumberFormat="0" applyFill="0" applyBorder="0" applyAlignment="0" applyProtection="0"/>
    <xf numFmtId="0" fontId="77" fillId="32" borderId="15">
      <protection locked="0"/>
    </xf>
    <xf numFmtId="0" fontId="78" fillId="0" borderId="0"/>
    <xf numFmtId="0" fontId="66" fillId="2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77" fillId="32" borderId="15">
      <protection locked="0"/>
    </xf>
    <xf numFmtId="0" fontId="99" fillId="0" borderId="0"/>
    <xf numFmtId="0" fontId="77" fillId="32" borderId="15">
      <protection locked="0"/>
    </xf>
    <xf numFmtId="0" fontId="99" fillId="0" borderId="0"/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7" fillId="0" borderId="9" applyNumberFormat="0" applyFill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99" fillId="0" borderId="0">
      <alignment vertical="center"/>
    </xf>
    <xf numFmtId="0" fontId="16" fillId="0" borderId="16" applyProtection="0"/>
    <xf numFmtId="0" fontId="33" fillId="0" borderId="0" applyNumberFormat="0" applyFill="0" applyBorder="0" applyAlignment="0" applyProtection="0">
      <alignment vertical="center"/>
    </xf>
    <xf numFmtId="0" fontId="54" fillId="9" borderId="6" applyNumberForma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54" fillId="9" borderId="6" applyNumberForma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70" fillId="4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9" fontId="99" fillId="0" borderId="0" applyFont="0" applyFill="0" applyBorder="0" applyAlignment="0" applyProtection="0"/>
    <xf numFmtId="9" fontId="99" fillId="0" borderId="0" applyFont="0" applyFill="0" applyBorder="0" applyAlignment="0" applyProtection="0"/>
    <xf numFmtId="9" fontId="99" fillId="0" borderId="0" applyFont="0" applyFill="0" applyBorder="0" applyAlignment="0" applyProtection="0">
      <alignment vertical="center"/>
    </xf>
    <xf numFmtId="9" fontId="99" fillId="0" borderId="0" applyFont="0" applyFill="0" applyBorder="0" applyAlignment="0" applyProtection="0">
      <alignment vertical="center"/>
    </xf>
    <xf numFmtId="9" fontId="99" fillId="0" borderId="0" applyFont="0" applyFill="0" applyBorder="0" applyAlignment="0" applyProtection="0">
      <alignment vertical="center"/>
    </xf>
    <xf numFmtId="9" fontId="99" fillId="0" borderId="0" applyFont="0" applyFill="0" applyBorder="0" applyAlignment="0" applyProtection="0">
      <alignment vertical="center"/>
    </xf>
    <xf numFmtId="9" fontId="99" fillId="0" borderId="0" applyFont="0" applyFill="0" applyBorder="0" applyAlignment="0" applyProtection="0">
      <alignment vertical="center"/>
    </xf>
    <xf numFmtId="0" fontId="99" fillId="0" borderId="0">
      <alignment vertical="center"/>
    </xf>
    <xf numFmtId="9" fontId="99" fillId="0" borderId="0" applyFont="0" applyFill="0" applyBorder="0" applyAlignment="0" applyProtection="0">
      <alignment vertical="center"/>
    </xf>
    <xf numFmtId="9" fontId="99" fillId="0" borderId="0" applyFont="0" applyFill="0" applyBorder="0" applyAlignment="0" applyProtection="0">
      <alignment vertical="center"/>
    </xf>
    <xf numFmtId="9" fontId="99" fillId="0" borderId="0" applyFont="0" applyFill="0" applyBorder="0" applyAlignment="0" applyProtection="0">
      <alignment vertical="center"/>
    </xf>
    <xf numFmtId="9" fontId="99" fillId="0" borderId="0" applyFont="0" applyFill="0" applyBorder="0" applyAlignment="0" applyProtection="0">
      <alignment vertical="center"/>
    </xf>
    <xf numFmtId="9" fontId="99" fillId="0" borderId="0" applyFont="0" applyFill="0" applyBorder="0" applyAlignment="0" applyProtection="0">
      <alignment vertical="center"/>
    </xf>
    <xf numFmtId="9" fontId="99" fillId="0" borderId="0" applyFont="0" applyFill="0" applyBorder="0" applyAlignment="0" applyProtection="0">
      <alignment vertical="center"/>
    </xf>
    <xf numFmtId="9" fontId="99" fillId="0" borderId="0" applyFont="0" applyFill="0" applyBorder="0" applyAlignment="0" applyProtection="0">
      <alignment vertical="center"/>
    </xf>
    <xf numFmtId="9" fontId="99" fillId="0" borderId="0" applyFont="0" applyFill="0" applyBorder="0" applyAlignment="0" applyProtection="0">
      <alignment vertical="center"/>
    </xf>
    <xf numFmtId="9" fontId="99" fillId="0" borderId="0" applyFont="0" applyFill="0" applyBorder="0" applyAlignment="0" applyProtection="0">
      <alignment vertical="center"/>
    </xf>
    <xf numFmtId="9" fontId="99" fillId="0" borderId="0" applyFont="0" applyFill="0" applyBorder="0" applyAlignment="0" applyProtection="0">
      <alignment vertical="center"/>
    </xf>
    <xf numFmtId="9" fontId="99" fillId="0" borderId="0" applyFont="0" applyFill="0" applyBorder="0" applyAlignment="0" applyProtection="0">
      <alignment vertical="center"/>
    </xf>
    <xf numFmtId="9" fontId="99" fillId="0" borderId="0" applyFont="0" applyFill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9" fontId="99" fillId="0" borderId="0" applyFont="0" applyFill="0" applyBorder="0" applyAlignment="0" applyProtection="0">
      <alignment vertical="center"/>
    </xf>
    <xf numFmtId="9" fontId="99" fillId="0" borderId="0" applyFont="0" applyFill="0" applyBorder="0" applyAlignment="0" applyProtection="0">
      <alignment vertical="center"/>
    </xf>
    <xf numFmtId="0" fontId="99" fillId="0" borderId="0"/>
    <xf numFmtId="9" fontId="99" fillId="0" borderId="0" applyFont="0" applyFill="0" applyBorder="0" applyAlignment="0" applyProtection="0">
      <alignment vertical="center"/>
    </xf>
    <xf numFmtId="0" fontId="99" fillId="0" borderId="0"/>
    <xf numFmtId="9" fontId="99" fillId="0" borderId="0" applyFont="0" applyFill="0" applyBorder="0" applyAlignment="0" applyProtection="0">
      <alignment vertical="center"/>
    </xf>
    <xf numFmtId="0" fontId="99" fillId="0" borderId="0"/>
    <xf numFmtId="9" fontId="99" fillId="0" borderId="0" applyFont="0" applyFill="0" applyBorder="0" applyAlignment="0" applyProtection="0">
      <alignment vertical="center"/>
    </xf>
    <xf numFmtId="0" fontId="99" fillId="0" borderId="0"/>
    <xf numFmtId="9" fontId="99" fillId="0" borderId="0" applyFont="0" applyFill="0" applyBorder="0" applyAlignment="0" applyProtection="0">
      <alignment vertical="center"/>
    </xf>
    <xf numFmtId="0" fontId="99" fillId="0" borderId="0"/>
    <xf numFmtId="9" fontId="99" fillId="0" borderId="0" applyFont="0" applyFill="0" applyBorder="0" applyAlignment="0" applyProtection="0">
      <alignment vertical="center"/>
    </xf>
    <xf numFmtId="0" fontId="99" fillId="0" borderId="0"/>
    <xf numFmtId="9" fontId="99" fillId="0" borderId="0" applyFont="0" applyFill="0" applyBorder="0" applyAlignment="0" applyProtection="0">
      <alignment vertical="center"/>
    </xf>
    <xf numFmtId="0" fontId="99" fillId="0" borderId="0"/>
    <xf numFmtId="9" fontId="99" fillId="0" borderId="0" applyFont="0" applyFill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9" fontId="99" fillId="0" borderId="0" applyFont="0" applyFill="0" applyBorder="0" applyAlignment="0" applyProtection="0">
      <alignment vertical="center"/>
    </xf>
    <xf numFmtId="9" fontId="99" fillId="0" borderId="0" applyFont="0" applyFill="0" applyBorder="0" applyAlignment="0" applyProtection="0"/>
    <xf numFmtId="0" fontId="99" fillId="0" borderId="0"/>
    <xf numFmtId="9" fontId="99" fillId="0" borderId="0" applyFont="0" applyFill="0" applyBorder="0" applyAlignment="0" applyProtection="0"/>
    <xf numFmtId="9" fontId="99" fillId="0" borderId="0" applyFont="0" applyFill="0" applyBorder="0" applyAlignment="0" applyProtection="0"/>
    <xf numFmtId="0" fontId="99" fillId="0" borderId="0"/>
    <xf numFmtId="9" fontId="99" fillId="0" borderId="0" applyFont="0" applyFill="0" applyBorder="0" applyAlignment="0" applyProtection="0"/>
    <xf numFmtId="9" fontId="99" fillId="0" borderId="0" applyFont="0" applyFill="0" applyBorder="0" applyAlignment="0" applyProtection="0"/>
    <xf numFmtId="0" fontId="99" fillId="0" borderId="0"/>
    <xf numFmtId="9" fontId="99" fillId="0" borderId="0" applyFont="0" applyFill="0" applyBorder="0" applyAlignment="0" applyProtection="0"/>
    <xf numFmtId="9" fontId="99" fillId="0" borderId="0" applyFont="0" applyFill="0" applyBorder="0" applyAlignment="0" applyProtection="0"/>
    <xf numFmtId="0" fontId="99" fillId="0" borderId="0"/>
    <xf numFmtId="9" fontId="99" fillId="0" borderId="0" applyFont="0" applyFill="0" applyBorder="0" applyAlignment="0" applyProtection="0"/>
    <xf numFmtId="9" fontId="99" fillId="0" borderId="0" applyFont="0" applyFill="0" applyBorder="0" applyAlignment="0" applyProtection="0"/>
    <xf numFmtId="0" fontId="42" fillId="2" borderId="0" applyNumberFormat="0" applyBorder="0" applyAlignment="0" applyProtection="0">
      <alignment vertical="center"/>
    </xf>
    <xf numFmtId="0" fontId="99" fillId="0" borderId="0"/>
    <xf numFmtId="9" fontId="99" fillId="0" borderId="0" applyFont="0" applyFill="0" applyBorder="0" applyAlignment="0" applyProtection="0"/>
    <xf numFmtId="193" fontId="99" fillId="0" borderId="0" applyFont="0" applyFill="0" applyBorder="0" applyAlignment="0" applyProtection="0"/>
    <xf numFmtId="0" fontId="2" fillId="0" borderId="17" applyNumberFormat="0" applyFill="0" applyProtection="0">
      <alignment horizontal="right"/>
    </xf>
    <xf numFmtId="0" fontId="52" fillId="0" borderId="3" applyNumberFormat="0" applyFill="0" applyAlignment="0" applyProtection="0">
      <alignment vertical="center"/>
    </xf>
    <xf numFmtId="0" fontId="87" fillId="0" borderId="3" applyNumberFormat="0" applyFill="0" applyAlignment="0" applyProtection="0">
      <alignment vertical="center"/>
    </xf>
    <xf numFmtId="0" fontId="52" fillId="0" borderId="3" applyNumberFormat="0" applyFill="0" applyAlignment="0" applyProtection="0">
      <alignment vertical="center"/>
    </xf>
    <xf numFmtId="0" fontId="52" fillId="0" borderId="3" applyNumberFormat="0" applyFill="0" applyAlignment="0" applyProtection="0">
      <alignment vertical="center"/>
    </xf>
    <xf numFmtId="0" fontId="52" fillId="0" borderId="3" applyNumberFormat="0" applyFill="0" applyAlignment="0" applyProtection="0">
      <alignment vertical="center"/>
    </xf>
    <xf numFmtId="0" fontId="52" fillId="0" borderId="3" applyNumberFormat="0" applyFill="0" applyAlignment="0" applyProtection="0">
      <alignment vertical="center"/>
    </xf>
    <xf numFmtId="0" fontId="52" fillId="0" borderId="3" applyNumberFormat="0" applyFill="0" applyAlignment="0" applyProtection="0">
      <alignment vertical="center"/>
    </xf>
    <xf numFmtId="0" fontId="52" fillId="0" borderId="3" applyNumberFormat="0" applyFill="0" applyAlignment="0" applyProtection="0">
      <alignment vertical="center"/>
    </xf>
    <xf numFmtId="0" fontId="52" fillId="0" borderId="3" applyNumberFormat="0" applyFill="0" applyAlignment="0" applyProtection="0">
      <alignment vertical="center"/>
    </xf>
    <xf numFmtId="0" fontId="52" fillId="0" borderId="3" applyNumberFormat="0" applyFill="0" applyAlignment="0" applyProtection="0">
      <alignment vertical="center"/>
    </xf>
    <xf numFmtId="0" fontId="52" fillId="0" borderId="3" applyNumberFormat="0" applyFill="0" applyAlignment="0" applyProtection="0">
      <alignment vertical="center"/>
    </xf>
    <xf numFmtId="0" fontId="52" fillId="0" borderId="3" applyNumberFormat="0" applyFill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50" fillId="4" borderId="0" applyNumberFormat="0" applyBorder="0" applyAlignment="0" applyProtection="0"/>
    <xf numFmtId="0" fontId="52" fillId="0" borderId="3" applyNumberFormat="0" applyFill="0" applyAlignment="0" applyProtection="0">
      <alignment vertical="center"/>
    </xf>
    <xf numFmtId="0" fontId="52" fillId="0" borderId="3" applyNumberFormat="0" applyFill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52" fillId="0" borderId="3" applyNumberFormat="0" applyFill="0" applyAlignment="0" applyProtection="0">
      <alignment vertical="center"/>
    </xf>
    <xf numFmtId="0" fontId="52" fillId="0" borderId="3" applyNumberFormat="0" applyFill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52" fillId="0" borderId="3" applyNumberFormat="0" applyFill="0" applyAlignment="0" applyProtection="0">
      <alignment vertical="center"/>
    </xf>
    <xf numFmtId="0" fontId="52" fillId="0" borderId="3" applyNumberFormat="0" applyFill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0" fillId="0" borderId="4" applyNumberFormat="0" applyFill="0" applyAlignment="0" applyProtection="0">
      <alignment vertical="center"/>
    </xf>
    <xf numFmtId="0" fontId="88" fillId="0" borderId="4" applyNumberFormat="0" applyFill="0" applyAlignment="0" applyProtection="0">
      <alignment vertical="center"/>
    </xf>
    <xf numFmtId="0" fontId="40" fillId="0" borderId="4" applyNumberFormat="0" applyFill="0" applyAlignment="0" applyProtection="0">
      <alignment vertical="center"/>
    </xf>
    <xf numFmtId="0" fontId="40" fillId="0" borderId="4" applyNumberFormat="0" applyFill="0" applyAlignment="0" applyProtection="0">
      <alignment vertical="center"/>
    </xf>
    <xf numFmtId="0" fontId="40" fillId="0" borderId="4" applyNumberFormat="0" applyFill="0" applyAlignment="0" applyProtection="0">
      <alignment vertical="center"/>
    </xf>
    <xf numFmtId="0" fontId="40" fillId="0" borderId="4" applyNumberFormat="0" applyFill="0" applyAlignment="0" applyProtection="0">
      <alignment vertical="center"/>
    </xf>
    <xf numFmtId="0" fontId="40" fillId="0" borderId="4" applyNumberFormat="0" applyFill="0" applyAlignment="0" applyProtection="0">
      <alignment vertical="center"/>
    </xf>
    <xf numFmtId="0" fontId="40" fillId="0" borderId="4" applyNumberFormat="0" applyFill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0" fillId="0" borderId="4" applyNumberFormat="0" applyFill="0" applyAlignment="0" applyProtection="0">
      <alignment vertical="center"/>
    </xf>
    <xf numFmtId="0" fontId="40" fillId="0" borderId="4" applyNumberFormat="0" applyFill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0" fillId="0" borderId="4" applyNumberFormat="0" applyFill="0" applyAlignment="0" applyProtection="0">
      <alignment vertical="center"/>
    </xf>
    <xf numFmtId="0" fontId="40" fillId="0" borderId="4" applyNumberFormat="0" applyFill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0" fillId="0" borderId="4" applyNumberFormat="0" applyFill="0" applyAlignment="0" applyProtection="0">
      <alignment vertical="center"/>
    </xf>
    <xf numFmtId="0" fontId="40" fillId="0" borderId="4" applyNumberFormat="0" applyFill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0" fillId="0" borderId="4" applyNumberFormat="0" applyFill="0" applyAlignment="0" applyProtection="0">
      <alignment vertical="center"/>
    </xf>
    <xf numFmtId="176" fontId="30" fillId="0" borderId="13">
      <alignment vertical="center"/>
      <protection locked="0"/>
    </xf>
    <xf numFmtId="0" fontId="58" fillId="17" borderId="7" applyNumberFormat="0" applyAlignment="0" applyProtection="0">
      <alignment vertical="center"/>
    </xf>
    <xf numFmtId="0" fontId="40" fillId="0" borderId="4" applyNumberFormat="0" applyFill="0" applyAlignment="0" applyProtection="0">
      <alignment vertical="center"/>
    </xf>
    <xf numFmtId="0" fontId="99" fillId="0" borderId="0"/>
    <xf numFmtId="0" fontId="40" fillId="0" borderId="4" applyNumberFormat="0" applyFill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0" fillId="0" borderId="4" applyNumberFormat="0" applyFill="0" applyAlignment="0" applyProtection="0">
      <alignment vertical="center"/>
    </xf>
    <xf numFmtId="0" fontId="40" fillId="0" borderId="4" applyNumberFormat="0" applyFill="0" applyAlignment="0" applyProtection="0">
      <alignment vertical="center"/>
    </xf>
    <xf numFmtId="0" fontId="90" fillId="0" borderId="5" applyNumberFormat="0" applyFill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49" fillId="0" borderId="5" applyNumberFormat="0" applyFill="0" applyAlignment="0" applyProtection="0">
      <alignment vertical="center"/>
    </xf>
    <xf numFmtId="0" fontId="91" fillId="0" borderId="0" applyNumberFormat="0" applyFill="0" applyBorder="0" applyAlignment="0" applyProtection="0"/>
    <xf numFmtId="0" fontId="49" fillId="0" borderId="5" applyNumberFormat="0" applyFill="0" applyAlignment="0" applyProtection="0">
      <alignment vertical="center"/>
    </xf>
    <xf numFmtId="0" fontId="49" fillId="0" borderId="5" applyNumberFormat="0" applyFill="0" applyAlignment="0" applyProtection="0">
      <alignment vertical="center"/>
    </xf>
    <xf numFmtId="0" fontId="49" fillId="0" borderId="5" applyNumberFormat="0" applyFill="0" applyAlignment="0" applyProtection="0">
      <alignment vertical="center"/>
    </xf>
    <xf numFmtId="0" fontId="49" fillId="0" borderId="5" applyNumberFormat="0" applyFill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9" fillId="0" borderId="5" applyNumberFormat="0" applyFill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49" fillId="0" borderId="5" applyNumberFormat="0" applyFill="0" applyAlignment="0" applyProtection="0">
      <alignment vertical="center"/>
    </xf>
    <xf numFmtId="0" fontId="49" fillId="0" borderId="5" applyNumberFormat="0" applyFill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49" fillId="0" borderId="5" applyNumberFormat="0" applyFill="0" applyAlignment="0" applyProtection="0">
      <alignment vertical="center"/>
    </xf>
    <xf numFmtId="0" fontId="49" fillId="0" borderId="5" applyNumberFormat="0" applyFill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49" fillId="0" borderId="5" applyNumberFormat="0" applyFill="0" applyAlignment="0" applyProtection="0">
      <alignment vertical="center"/>
    </xf>
    <xf numFmtId="0" fontId="49" fillId="0" borderId="5" applyNumberFormat="0" applyFill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49" fillId="0" borderId="5" applyNumberFormat="0" applyFill="0" applyAlignment="0" applyProtection="0">
      <alignment vertical="center"/>
    </xf>
    <xf numFmtId="0" fontId="49" fillId="0" borderId="5" applyNumberFormat="0" applyFill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49" fillId="0" borderId="5" applyNumberFormat="0" applyFill="0" applyAlignment="0" applyProtection="0">
      <alignment vertical="center"/>
    </xf>
    <xf numFmtId="0" fontId="49" fillId="0" borderId="5" applyNumberFormat="0" applyFill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49" fillId="0" borderId="5" applyNumberFormat="0" applyFill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9" fillId="0" borderId="5" applyNumberFormat="0" applyFill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194" fontId="99" fillId="0" borderId="0" applyFont="0" applyFill="0" applyBorder="0" applyAlignment="0" applyProtection="0">
      <alignment vertical="center"/>
    </xf>
    <xf numFmtId="0" fontId="90" fillId="0" borderId="0" applyNumberFormat="0" applyFill="0" applyBorder="0" applyAlignment="0" applyProtection="0">
      <alignment vertical="center"/>
    </xf>
    <xf numFmtId="43" fontId="99" fillId="0" borderId="0" applyFont="0" applyFill="0" applyBorder="0" applyAlignment="0" applyProtection="0"/>
    <xf numFmtId="0" fontId="49" fillId="0" borderId="0" applyNumberFormat="0" applyFill="0" applyBorder="0" applyAlignment="0" applyProtection="0">
      <alignment vertical="center"/>
    </xf>
    <xf numFmtId="43" fontId="99" fillId="0" borderId="0" applyFont="0" applyFill="0" applyBorder="0" applyAlignment="0" applyProtection="0"/>
    <xf numFmtId="0" fontId="49" fillId="0" borderId="0" applyNumberFormat="0" applyFill="0" applyBorder="0" applyAlignment="0" applyProtection="0">
      <alignment vertical="center"/>
    </xf>
    <xf numFmtId="43" fontId="99" fillId="0" borderId="0" applyFont="0" applyFill="0" applyBorder="0" applyAlignment="0" applyProtection="0"/>
    <xf numFmtId="0" fontId="49" fillId="0" borderId="0" applyNumberFormat="0" applyFill="0" applyBorder="0" applyAlignment="0" applyProtection="0">
      <alignment vertical="center"/>
    </xf>
    <xf numFmtId="43" fontId="99" fillId="0" borderId="0" applyFont="0" applyFill="0" applyBorder="0" applyAlignment="0" applyProtection="0"/>
    <xf numFmtId="0" fontId="49" fillId="0" borderId="0" applyNumberFormat="0" applyFill="0" applyBorder="0" applyAlignment="0" applyProtection="0">
      <alignment vertical="center"/>
    </xf>
    <xf numFmtId="43" fontId="99" fillId="0" borderId="0" applyFont="0" applyFill="0" applyBorder="0" applyAlignment="0" applyProtection="0"/>
    <xf numFmtId="0" fontId="49" fillId="0" borderId="0" applyNumberFormat="0" applyFill="0" applyBorder="0" applyAlignment="0" applyProtection="0">
      <alignment vertical="center"/>
    </xf>
    <xf numFmtId="43" fontId="99" fillId="0" borderId="0" applyFont="0" applyFill="0" applyBorder="0" applyAlignment="0" applyProtection="0"/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70" fillId="4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7" fillId="9" borderId="1" applyNumberFormat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66" fillId="2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99" fillId="0" borderId="0"/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99" fillId="0" borderId="0"/>
    <xf numFmtId="0" fontId="43" fillId="4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92" fillId="0" borderId="17" applyNumberFormat="0" applyFill="0" applyProtection="0">
      <alignment horizontal="center"/>
    </xf>
    <xf numFmtId="0" fontId="93" fillId="0" borderId="0" applyNumberFormat="0" applyFill="0" applyBorder="0" applyAlignment="0" applyProtection="0"/>
    <xf numFmtId="0" fontId="99" fillId="0" borderId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48" fillId="2" borderId="0" applyNumberFormat="0" applyBorder="0" applyAlignment="0" applyProtection="0">
      <alignment vertical="center"/>
    </xf>
    <xf numFmtId="0" fontId="93" fillId="0" borderId="0" applyNumberFormat="0" applyFill="0" applyBorder="0" applyAlignment="0" applyProtection="0"/>
    <xf numFmtId="0" fontId="48" fillId="2" borderId="0" applyNumberFormat="0" applyBorder="0" applyAlignment="0" applyProtection="0">
      <alignment vertical="center"/>
    </xf>
    <xf numFmtId="0" fontId="93" fillId="0" borderId="0" applyNumberFormat="0" applyFill="0" applyBorder="0" applyAlignment="0" applyProtection="0"/>
    <xf numFmtId="0" fontId="48" fillId="2" borderId="0" applyNumberFormat="0" applyBorder="0" applyAlignment="0" applyProtection="0">
      <alignment vertical="center"/>
    </xf>
    <xf numFmtId="0" fontId="93" fillId="0" borderId="0" applyNumberFormat="0" applyFill="0" applyBorder="0" applyAlignment="0" applyProtection="0"/>
    <xf numFmtId="0" fontId="48" fillId="2" borderId="0" applyNumberFormat="0" applyBorder="0" applyAlignment="0" applyProtection="0">
      <alignment vertical="center"/>
    </xf>
    <xf numFmtId="0" fontId="93" fillId="0" borderId="0" applyNumberFormat="0" applyFill="0" applyBorder="0" applyAlignment="0" applyProtection="0"/>
    <xf numFmtId="0" fontId="48" fillId="2" borderId="0" applyNumberFormat="0" applyBorder="0" applyAlignment="0" applyProtection="0">
      <alignment vertical="center"/>
    </xf>
    <xf numFmtId="0" fontId="93" fillId="0" borderId="0" applyNumberFormat="0" applyFill="0" applyBorder="0" applyAlignment="0" applyProtection="0"/>
    <xf numFmtId="0" fontId="45" fillId="0" borderId="10" applyNumberFormat="0" applyFill="0" applyProtection="0">
      <alignment horizontal="center"/>
    </xf>
    <xf numFmtId="0" fontId="43" fillId="4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70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7" fillId="0" borderId="9" applyNumberFormat="0" applyFill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99" fillId="0" borderId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55" fillId="14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72" fillId="0" borderId="0"/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99" fillId="0" borderId="0"/>
    <xf numFmtId="0" fontId="43" fillId="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55" fillId="1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73" fillId="0" borderId="0"/>
    <xf numFmtId="0" fontId="55" fillId="1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55" fillId="1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55" fillId="1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55" fillId="1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55" fillId="1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55" fillId="1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8" fillId="5" borderId="1" applyNumberFormat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38" fillId="5" borderId="1" applyNumberFormat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70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70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66" fillId="2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83" fillId="0" borderId="0"/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99" fillId="0" borderId="0"/>
    <xf numFmtId="0" fontId="43" fillId="4" borderId="0" applyNumberFormat="0" applyBorder="0" applyAlignment="0" applyProtection="0">
      <alignment vertical="center"/>
    </xf>
    <xf numFmtId="0" fontId="99" fillId="0" borderId="0"/>
    <xf numFmtId="0" fontId="43" fillId="4" borderId="0" applyNumberFormat="0" applyBorder="0" applyAlignment="0" applyProtection="0">
      <alignment vertical="center"/>
    </xf>
    <xf numFmtId="0" fontId="99" fillId="0" borderId="0"/>
    <xf numFmtId="0" fontId="43" fillId="4" borderId="0" applyNumberFormat="0" applyBorder="0" applyAlignment="0" applyProtection="0">
      <alignment vertical="center"/>
    </xf>
    <xf numFmtId="0" fontId="99" fillId="0" borderId="0"/>
    <xf numFmtId="0" fontId="43" fillId="4" borderId="0" applyNumberFormat="0" applyBorder="0" applyAlignment="0" applyProtection="0">
      <alignment vertical="center"/>
    </xf>
    <xf numFmtId="0" fontId="99" fillId="0" borderId="0"/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99" fillId="0" borderId="0">
      <alignment vertical="center"/>
    </xf>
    <xf numFmtId="0" fontId="43" fillId="4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99" fillId="0" borderId="0"/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99" fillId="0" borderId="0"/>
    <xf numFmtId="0" fontId="43" fillId="4" borderId="0" applyNumberFormat="0" applyBorder="0" applyAlignment="0" applyProtection="0">
      <alignment vertical="center"/>
    </xf>
    <xf numFmtId="0" fontId="99" fillId="0" borderId="0"/>
    <xf numFmtId="0" fontId="43" fillId="4" borderId="0" applyNumberFormat="0" applyBorder="0" applyAlignment="0" applyProtection="0">
      <alignment vertical="center"/>
    </xf>
    <xf numFmtId="0" fontId="99" fillId="0" borderId="0"/>
    <xf numFmtId="0" fontId="43" fillId="4" borderId="0" applyNumberFormat="0" applyBorder="0" applyAlignment="0" applyProtection="0">
      <alignment vertical="center"/>
    </xf>
    <xf numFmtId="0" fontId="99" fillId="0" borderId="0"/>
    <xf numFmtId="0" fontId="43" fillId="4" borderId="0" applyNumberFormat="0" applyBorder="0" applyAlignment="0" applyProtection="0">
      <alignment vertical="center"/>
    </xf>
    <xf numFmtId="0" fontId="99" fillId="0" borderId="0"/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176" fontId="30" fillId="0" borderId="13">
      <alignment vertical="center"/>
      <protection locked="0"/>
    </xf>
    <xf numFmtId="0" fontId="58" fillId="17" borderId="7" applyNumberFormat="0" applyAlignment="0" applyProtection="0">
      <alignment vertical="center"/>
    </xf>
    <xf numFmtId="0" fontId="55" fillId="1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58" fillId="17" borderId="7" applyNumberFormat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99" fillId="0" borderId="0"/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58" fillId="17" borderId="7" applyNumberFormat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99" fillId="0" borderId="0"/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50" fillId="4" borderId="0" applyNumberFormat="0" applyBorder="0" applyAlignment="0" applyProtection="0"/>
    <xf numFmtId="195" fontId="99" fillId="0" borderId="0" applyFont="0" applyFill="0" applyBorder="0" applyAlignment="0" applyProtection="0"/>
    <xf numFmtId="0" fontId="42" fillId="1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50" fillId="4" borderId="0" applyNumberFormat="0" applyBorder="0" applyAlignment="0" applyProtection="0"/>
    <xf numFmtId="0" fontId="42" fillId="1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50" fillId="4" borderId="0" applyNumberFormat="0" applyBorder="0" applyAlignment="0" applyProtection="0"/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38" fillId="5" borderId="1" applyNumberFormat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67" fillId="7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67" fillId="7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67" fillId="7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50" fillId="4" borderId="0" applyNumberFormat="0" applyBorder="0" applyAlignment="0" applyProtection="0"/>
    <xf numFmtId="0" fontId="50" fillId="4" borderId="0" applyNumberFormat="0" applyBorder="0" applyAlignment="0" applyProtection="0"/>
    <xf numFmtId="0" fontId="50" fillId="4" borderId="0" applyNumberFormat="0" applyBorder="0" applyAlignment="0" applyProtection="0"/>
    <xf numFmtId="0" fontId="50" fillId="4" borderId="0" applyNumberFormat="0" applyBorder="0" applyAlignment="0" applyProtection="0"/>
    <xf numFmtId="0" fontId="47" fillId="0" borderId="9" applyNumberFormat="0" applyFill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47" fillId="0" borderId="9" applyNumberFormat="0" applyFill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47" fillId="0" borderId="9" applyNumberFormat="0" applyFill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54" fillId="9" borderId="6" applyNumberFormat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70" fillId="4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1" fillId="0" borderId="0">
      <alignment vertical="center"/>
    </xf>
    <xf numFmtId="0" fontId="70" fillId="4" borderId="0" applyNumberFormat="0" applyBorder="0" applyAlignment="0" applyProtection="0">
      <alignment vertical="center"/>
    </xf>
    <xf numFmtId="0" fontId="70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56" fillId="19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58" fillId="17" borderId="7" applyNumberFormat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50" fillId="4" borderId="0" applyNumberFormat="0" applyBorder="0" applyAlignment="0" applyProtection="0"/>
    <xf numFmtId="0" fontId="50" fillId="4" borderId="0" applyNumberFormat="0" applyBorder="0" applyAlignment="0" applyProtection="0"/>
    <xf numFmtId="0" fontId="36" fillId="3" borderId="0" applyNumberFormat="0" applyBorder="0" applyAlignment="0" applyProtection="0">
      <alignment vertical="center"/>
    </xf>
    <xf numFmtId="0" fontId="50" fillId="4" borderId="0" applyNumberFormat="0" applyBorder="0" applyAlignment="0" applyProtection="0"/>
    <xf numFmtId="0" fontId="50" fillId="4" borderId="0" applyNumberFormat="0" applyBorder="0" applyAlignment="0" applyProtection="0"/>
    <xf numFmtId="0" fontId="50" fillId="4" borderId="0" applyNumberFormat="0" applyBorder="0" applyAlignment="0" applyProtection="0"/>
    <xf numFmtId="0" fontId="50" fillId="4" borderId="0" applyNumberFormat="0" applyBorder="0" applyAlignment="0" applyProtection="0"/>
    <xf numFmtId="0" fontId="50" fillId="4" borderId="0" applyNumberFormat="0" applyBorder="0" applyAlignment="0" applyProtection="0"/>
    <xf numFmtId="0" fontId="50" fillId="4" borderId="0" applyNumberFormat="0" applyBorder="0" applyAlignment="0" applyProtection="0"/>
    <xf numFmtId="0" fontId="42" fillId="2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70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59" fillId="0" borderId="8" applyNumberFormat="0" applyFill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55" fillId="14" borderId="0" applyNumberFormat="0" applyBorder="0" applyAlignment="0" applyProtection="0">
      <alignment vertical="center"/>
    </xf>
    <xf numFmtId="0" fontId="70" fillId="4" borderId="0" applyNumberFormat="0" applyBorder="0" applyAlignment="0" applyProtection="0">
      <alignment vertical="center"/>
    </xf>
    <xf numFmtId="0" fontId="70" fillId="4" borderId="0" applyNumberFormat="0" applyBorder="0" applyAlignment="0" applyProtection="0">
      <alignment vertical="center"/>
    </xf>
    <xf numFmtId="0" fontId="99" fillId="13" borderId="2" applyNumberFormat="0" applyFont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99" fillId="0" borderId="0"/>
    <xf numFmtId="0" fontId="43" fillId="4" borderId="0" applyNumberFormat="0" applyBorder="0" applyAlignment="0" applyProtection="0">
      <alignment vertical="center"/>
    </xf>
    <xf numFmtId="0" fontId="48" fillId="2" borderId="0" applyNumberFormat="0" applyBorder="0" applyAlignment="0" applyProtection="0"/>
    <xf numFmtId="0" fontId="43" fillId="4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70" fillId="4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99" fillId="0" borderId="0"/>
    <xf numFmtId="0" fontId="43" fillId="7" borderId="0" applyNumberFormat="0" applyBorder="0" applyAlignment="0" applyProtection="0">
      <alignment vertical="center"/>
    </xf>
    <xf numFmtId="0" fontId="70" fillId="4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99" fillId="0" borderId="0"/>
    <xf numFmtId="0" fontId="43" fillId="4" borderId="0" applyNumberFormat="0" applyBorder="0" applyAlignment="0" applyProtection="0">
      <alignment vertical="center"/>
    </xf>
    <xf numFmtId="0" fontId="38" fillId="5" borderId="1" applyNumberFormat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70" fillId="4" borderId="0" applyNumberFormat="0" applyBorder="0" applyAlignment="0" applyProtection="0">
      <alignment vertical="center"/>
    </xf>
    <xf numFmtId="0" fontId="99" fillId="0" borderId="0"/>
    <xf numFmtId="0" fontId="42" fillId="2" borderId="0" applyNumberFormat="0" applyBorder="0" applyAlignment="0" applyProtection="0">
      <alignment vertical="center"/>
    </xf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36" fillId="22" borderId="0" applyNumberFormat="0" applyBorder="0" applyAlignment="0" applyProtection="0">
      <alignment vertical="center"/>
    </xf>
    <xf numFmtId="0" fontId="31" fillId="0" borderId="0">
      <alignment vertical="center"/>
    </xf>
    <xf numFmtId="0" fontId="36" fillId="22" borderId="0" applyNumberFormat="0" applyBorder="0" applyAlignment="0" applyProtection="0">
      <alignment vertical="center"/>
    </xf>
    <xf numFmtId="0" fontId="31" fillId="0" borderId="0">
      <alignment vertical="center"/>
    </xf>
    <xf numFmtId="0" fontId="36" fillId="22" borderId="0" applyNumberFormat="0" applyBorder="0" applyAlignment="0" applyProtection="0">
      <alignment vertical="center"/>
    </xf>
    <xf numFmtId="0" fontId="31" fillId="0" borderId="0">
      <alignment vertical="center"/>
    </xf>
    <xf numFmtId="0" fontId="36" fillId="22" borderId="0" applyNumberFormat="0" applyBorder="0" applyAlignment="0" applyProtection="0">
      <alignment vertical="center"/>
    </xf>
    <xf numFmtId="0" fontId="31" fillId="0" borderId="0">
      <alignment vertical="center"/>
    </xf>
    <xf numFmtId="0" fontId="36" fillId="22" borderId="0" applyNumberFormat="0" applyBorder="0" applyAlignment="0" applyProtection="0">
      <alignment vertical="center"/>
    </xf>
    <xf numFmtId="0" fontId="31" fillId="0" borderId="0">
      <alignment vertical="center"/>
    </xf>
    <xf numFmtId="0" fontId="36" fillId="22" borderId="0" applyNumberFormat="0" applyBorder="0" applyAlignment="0" applyProtection="0">
      <alignment vertical="center"/>
    </xf>
    <xf numFmtId="0" fontId="31" fillId="0" borderId="0">
      <alignment vertical="center"/>
    </xf>
    <xf numFmtId="0" fontId="99" fillId="0" borderId="0"/>
    <xf numFmtId="0" fontId="99" fillId="0" borderId="0"/>
    <xf numFmtId="0" fontId="99" fillId="0" borderId="0">
      <alignment vertical="center"/>
    </xf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48" fillId="2" borderId="0" applyNumberFormat="0" applyBorder="0" applyAlignment="0" applyProtection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42" fillId="2" borderId="0" applyNumberFormat="0" applyBorder="0" applyAlignment="0" applyProtection="0">
      <alignment vertical="center"/>
    </xf>
    <xf numFmtId="0" fontId="99" fillId="0" borderId="0"/>
    <xf numFmtId="0" fontId="42" fillId="2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99" fillId="0" borderId="0"/>
    <xf numFmtId="0" fontId="42" fillId="2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99" fillId="0" borderId="0"/>
    <xf numFmtId="0" fontId="42" fillId="2" borderId="0" applyNumberFormat="0" applyBorder="0" applyAlignment="0" applyProtection="0">
      <alignment vertical="center"/>
    </xf>
    <xf numFmtId="0" fontId="99" fillId="0" borderId="0"/>
    <xf numFmtId="0" fontId="42" fillId="2" borderId="0" applyNumberFormat="0" applyBorder="0" applyAlignment="0" applyProtection="0">
      <alignment vertical="center"/>
    </xf>
    <xf numFmtId="0" fontId="99" fillId="0" borderId="0"/>
    <xf numFmtId="0" fontId="42" fillId="2" borderId="0" applyNumberFormat="0" applyBorder="0" applyAlignment="0" applyProtection="0">
      <alignment vertical="center"/>
    </xf>
    <xf numFmtId="0" fontId="99" fillId="0" borderId="0"/>
    <xf numFmtId="0" fontId="94" fillId="5" borderId="1" applyNumberFormat="0" applyAlignment="0" applyProtection="0">
      <alignment vertical="center"/>
    </xf>
    <xf numFmtId="0" fontId="31" fillId="0" borderId="0">
      <alignment vertical="center"/>
    </xf>
    <xf numFmtId="0" fontId="48" fillId="14" borderId="0" applyNumberFormat="0" applyBorder="0" applyAlignment="0" applyProtection="0">
      <alignment vertical="center"/>
    </xf>
    <xf numFmtId="0" fontId="31" fillId="0" borderId="0">
      <alignment vertical="center"/>
    </xf>
    <xf numFmtId="0" fontId="48" fillId="14" borderId="0" applyNumberFormat="0" applyBorder="0" applyAlignment="0" applyProtection="0">
      <alignment vertical="center"/>
    </xf>
    <xf numFmtId="0" fontId="31" fillId="0" borderId="0">
      <alignment vertical="center"/>
    </xf>
    <xf numFmtId="41" fontId="99" fillId="0" borderId="0" applyFont="0" applyFill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31" fillId="0" borderId="0">
      <alignment vertical="center"/>
    </xf>
    <xf numFmtId="41" fontId="99" fillId="0" borderId="0" applyFont="0" applyFill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31" fillId="0" borderId="0">
      <alignment vertical="center"/>
    </xf>
    <xf numFmtId="41" fontId="99" fillId="0" borderId="0" applyFont="0" applyFill="0" applyBorder="0" applyAlignment="0" applyProtection="0">
      <alignment vertical="center"/>
    </xf>
    <xf numFmtId="0" fontId="31" fillId="0" borderId="0">
      <alignment vertical="center"/>
    </xf>
    <xf numFmtId="41" fontId="99" fillId="0" borderId="0" applyFont="0" applyFill="0" applyBorder="0" applyAlignment="0" applyProtection="0">
      <alignment vertical="center"/>
    </xf>
    <xf numFmtId="0" fontId="31" fillId="0" borderId="0">
      <alignment vertical="center"/>
    </xf>
    <xf numFmtId="41" fontId="99" fillId="0" borderId="0" applyFont="0" applyFill="0" applyBorder="0" applyAlignment="0" applyProtection="0">
      <alignment vertical="center"/>
    </xf>
    <xf numFmtId="0" fontId="31" fillId="0" borderId="0">
      <alignment vertical="center"/>
    </xf>
    <xf numFmtId="41" fontId="99" fillId="0" borderId="0" applyFont="0" applyFill="0" applyBorder="0" applyAlignment="0" applyProtection="0">
      <alignment vertical="center"/>
    </xf>
    <xf numFmtId="0" fontId="31" fillId="0" borderId="0">
      <alignment vertical="center"/>
    </xf>
    <xf numFmtId="0" fontId="38" fillId="5" borderId="1" applyNumberFormat="0" applyAlignment="0" applyProtection="0">
      <alignment vertical="center"/>
    </xf>
    <xf numFmtId="0" fontId="31" fillId="0" borderId="0">
      <alignment vertical="center"/>
    </xf>
    <xf numFmtId="0" fontId="89" fillId="14" borderId="0" applyNumberFormat="0" applyBorder="0" applyAlignment="0" applyProtection="0">
      <alignment vertical="center"/>
    </xf>
    <xf numFmtId="0" fontId="99" fillId="0" borderId="0"/>
    <xf numFmtId="0" fontId="89" fillId="14" borderId="0" applyNumberFormat="0" applyBorder="0" applyAlignment="0" applyProtection="0">
      <alignment vertical="center"/>
    </xf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5" fillId="14" borderId="0" applyNumberFormat="0" applyBorder="0" applyAlignment="0" applyProtection="0">
      <alignment vertical="center"/>
    </xf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31" fillId="0" borderId="0">
      <alignment vertical="center"/>
    </xf>
    <xf numFmtId="0" fontId="99" fillId="0" borderId="0">
      <alignment vertical="center"/>
    </xf>
    <xf numFmtId="0" fontId="42" fillId="14" borderId="0" applyNumberFormat="0" applyBorder="0" applyAlignment="0" applyProtection="0">
      <alignment vertical="center"/>
    </xf>
    <xf numFmtId="0" fontId="99" fillId="0" borderId="0">
      <alignment vertical="center"/>
    </xf>
    <xf numFmtId="0" fontId="42" fillId="14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99" fillId="0" borderId="0">
      <alignment vertical="center"/>
    </xf>
    <xf numFmtId="0" fontId="42" fillId="14" borderId="0" applyNumberFormat="0" applyBorder="0" applyAlignment="0" applyProtection="0">
      <alignment vertical="center"/>
    </xf>
    <xf numFmtId="0" fontId="99" fillId="0" borderId="0">
      <alignment vertical="center"/>
    </xf>
    <xf numFmtId="0" fontId="42" fillId="14" borderId="0" applyNumberFormat="0" applyBorder="0" applyAlignment="0" applyProtection="0">
      <alignment vertical="center"/>
    </xf>
    <xf numFmtId="0" fontId="99" fillId="0" borderId="0">
      <alignment vertical="center"/>
    </xf>
    <xf numFmtId="0" fontId="99" fillId="0" borderId="0">
      <alignment vertical="center"/>
    </xf>
    <xf numFmtId="0" fontId="99" fillId="0" borderId="0">
      <alignment vertical="center"/>
    </xf>
    <xf numFmtId="0" fontId="99" fillId="0" borderId="0">
      <alignment vertical="center"/>
    </xf>
    <xf numFmtId="0" fontId="99" fillId="0" borderId="0">
      <alignment vertical="center"/>
    </xf>
    <xf numFmtId="0" fontId="99" fillId="0" borderId="0">
      <alignment vertical="center"/>
    </xf>
    <xf numFmtId="0" fontId="99" fillId="0" borderId="0">
      <alignment vertical="center"/>
    </xf>
    <xf numFmtId="0" fontId="99" fillId="0" borderId="0">
      <alignment vertical="center"/>
    </xf>
    <xf numFmtId="0" fontId="99" fillId="0" borderId="0">
      <alignment vertical="center"/>
    </xf>
    <xf numFmtId="0" fontId="99" fillId="0" borderId="0">
      <alignment vertical="center"/>
    </xf>
    <xf numFmtId="0" fontId="99" fillId="0" borderId="0">
      <alignment vertical="center"/>
    </xf>
    <xf numFmtId="0" fontId="55" fillId="14" borderId="0" applyNumberFormat="0" applyBorder="0" applyAlignment="0" applyProtection="0">
      <alignment vertical="center"/>
    </xf>
    <xf numFmtId="0" fontId="99" fillId="0" borderId="0">
      <alignment vertical="center"/>
    </xf>
    <xf numFmtId="0" fontId="59" fillId="0" borderId="8" applyNumberFormat="0" applyFill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99" fillId="0" borderId="0">
      <alignment vertical="center"/>
    </xf>
    <xf numFmtId="0" fontId="59" fillId="0" borderId="8" applyNumberFormat="0" applyFill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99" fillId="0" borderId="0">
      <alignment vertical="center"/>
    </xf>
    <xf numFmtId="0" fontId="59" fillId="0" borderId="8" applyNumberFormat="0" applyFill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99" fillId="0" borderId="0">
      <alignment vertical="center"/>
    </xf>
    <xf numFmtId="0" fontId="42" fillId="14" borderId="0" applyNumberFormat="0" applyBorder="0" applyAlignment="0" applyProtection="0">
      <alignment vertical="center"/>
    </xf>
    <xf numFmtId="0" fontId="99" fillId="0" borderId="0">
      <alignment vertical="center"/>
    </xf>
    <xf numFmtId="0" fontId="99" fillId="0" borderId="0">
      <alignment vertical="center"/>
    </xf>
    <xf numFmtId="0" fontId="99" fillId="0" borderId="0">
      <alignment vertical="center"/>
    </xf>
    <xf numFmtId="0" fontId="99" fillId="0" borderId="0">
      <alignment vertical="center"/>
    </xf>
    <xf numFmtId="0" fontId="55" fillId="14" borderId="0" applyNumberFormat="0" applyBorder="0" applyAlignment="0" applyProtection="0">
      <alignment vertical="center"/>
    </xf>
    <xf numFmtId="0" fontId="99" fillId="0" borderId="0"/>
    <xf numFmtId="43" fontId="99" fillId="0" borderId="0" applyFont="0" applyFill="0" applyBorder="0" applyAlignment="0" applyProtection="0"/>
    <xf numFmtId="0" fontId="89" fillId="14" borderId="0" applyNumberFormat="0" applyBorder="0" applyAlignment="0" applyProtection="0">
      <alignment vertical="center"/>
    </xf>
    <xf numFmtId="0" fontId="99" fillId="0" borderId="0">
      <alignment vertical="center"/>
    </xf>
    <xf numFmtId="0" fontId="99" fillId="0" borderId="0">
      <alignment vertical="center"/>
    </xf>
    <xf numFmtId="0" fontId="2" fillId="0" borderId="0"/>
    <xf numFmtId="0" fontId="99" fillId="0" borderId="0">
      <alignment vertical="center"/>
    </xf>
    <xf numFmtId="0" fontId="99" fillId="0" borderId="0">
      <alignment vertical="center"/>
    </xf>
    <xf numFmtId="0" fontId="99" fillId="0" borderId="0" applyNumberFormat="0" applyFill="0" applyBorder="0" applyAlignment="0" applyProtection="0"/>
    <xf numFmtId="0" fontId="66" fillId="2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55" fillId="14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57" fillId="9" borderId="1" applyNumberFormat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176" fontId="30" fillId="0" borderId="13">
      <alignment vertical="center"/>
      <protection locked="0"/>
    </xf>
    <xf numFmtId="0" fontId="58" fillId="17" borderId="7" applyNumberFormat="0" applyAlignment="0" applyProtection="0">
      <alignment vertical="center"/>
    </xf>
    <xf numFmtId="0" fontId="55" fillId="14" borderId="0" applyNumberFormat="0" applyBorder="0" applyAlignment="0" applyProtection="0">
      <alignment vertical="center"/>
    </xf>
    <xf numFmtId="176" fontId="30" fillId="0" borderId="13">
      <alignment vertical="center"/>
      <protection locked="0"/>
    </xf>
    <xf numFmtId="0" fontId="58" fillId="17" borderId="7" applyNumberFormat="0" applyAlignment="0" applyProtection="0">
      <alignment vertical="center"/>
    </xf>
    <xf numFmtId="0" fontId="55" fillId="14" borderId="0" applyNumberFormat="0" applyBorder="0" applyAlignment="0" applyProtection="0">
      <alignment vertical="center"/>
    </xf>
    <xf numFmtId="176" fontId="30" fillId="0" borderId="13">
      <alignment vertical="center"/>
      <protection locked="0"/>
    </xf>
    <xf numFmtId="0" fontId="55" fillId="14" borderId="0" applyNumberFormat="0" applyBorder="0" applyAlignment="0" applyProtection="0">
      <alignment vertical="center"/>
    </xf>
    <xf numFmtId="176" fontId="30" fillId="0" borderId="13">
      <alignment vertical="center"/>
      <protection locked="0"/>
    </xf>
    <xf numFmtId="0" fontId="55" fillId="14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66" fillId="2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55" fillId="14" borderId="0" applyNumberFormat="0" applyBorder="0" applyAlignment="0" applyProtection="0">
      <alignment vertical="center"/>
    </xf>
    <xf numFmtId="0" fontId="66" fillId="2" borderId="0" applyNumberFormat="0" applyBorder="0" applyAlignment="0" applyProtection="0">
      <alignment vertical="center"/>
    </xf>
    <xf numFmtId="0" fontId="55" fillId="14" borderId="0" applyNumberFormat="0" applyBorder="0" applyAlignment="0" applyProtection="0">
      <alignment vertical="center"/>
    </xf>
    <xf numFmtId="0" fontId="55" fillId="14" borderId="0" applyNumberFormat="0" applyBorder="0" applyAlignment="0" applyProtection="0">
      <alignment vertical="center"/>
    </xf>
    <xf numFmtId="0" fontId="55" fillId="14" borderId="0" applyNumberFormat="0" applyBorder="0" applyAlignment="0" applyProtection="0">
      <alignment vertical="center"/>
    </xf>
    <xf numFmtId="0" fontId="58" fillId="17" borderId="7" applyNumberFormat="0" applyAlignment="0" applyProtection="0">
      <alignment vertical="center"/>
    </xf>
    <xf numFmtId="0" fontId="55" fillId="14" borderId="0" applyNumberFormat="0" applyBorder="0" applyAlignment="0" applyProtection="0">
      <alignment vertical="center"/>
    </xf>
    <xf numFmtId="0" fontId="55" fillId="14" borderId="0" applyNumberFormat="0" applyBorder="0" applyAlignment="0" applyProtection="0">
      <alignment vertical="center"/>
    </xf>
    <xf numFmtId="0" fontId="55" fillId="14" borderId="0" applyNumberFormat="0" applyBorder="0" applyAlignment="0" applyProtection="0">
      <alignment vertical="center"/>
    </xf>
    <xf numFmtId="0" fontId="55" fillId="14" borderId="0" applyNumberFormat="0" applyBorder="0" applyAlignment="0" applyProtection="0">
      <alignment vertical="center"/>
    </xf>
    <xf numFmtId="0" fontId="55" fillId="14" borderId="0" applyNumberFormat="0" applyBorder="0" applyAlignment="0" applyProtection="0">
      <alignment vertical="center"/>
    </xf>
    <xf numFmtId="0" fontId="55" fillId="14" borderId="0" applyNumberFormat="0" applyBorder="0" applyAlignment="0" applyProtection="0">
      <alignment vertical="center"/>
    </xf>
    <xf numFmtId="0" fontId="55" fillId="14" borderId="0" applyNumberFormat="0" applyBorder="0" applyAlignment="0" applyProtection="0">
      <alignment vertical="center"/>
    </xf>
    <xf numFmtId="0" fontId="99" fillId="13" borderId="2" applyNumberFormat="0" applyFont="0" applyAlignment="0" applyProtection="0">
      <alignment vertical="center"/>
    </xf>
    <xf numFmtId="0" fontId="55" fillId="14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top"/>
      <protection locked="0"/>
    </xf>
    <xf numFmtId="0" fontId="42" fillId="2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top"/>
      <protection locked="0"/>
    </xf>
    <xf numFmtId="0" fontId="42" fillId="2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top"/>
      <protection locked="0"/>
    </xf>
    <xf numFmtId="0" fontId="42" fillId="2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top"/>
      <protection locked="0"/>
    </xf>
    <xf numFmtId="0" fontId="42" fillId="2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top"/>
      <protection locked="0"/>
    </xf>
    <xf numFmtId="0" fontId="42" fillId="2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top"/>
      <protection locked="0"/>
    </xf>
    <xf numFmtId="0" fontId="42" fillId="2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59" fillId="0" borderId="8" applyNumberFormat="0" applyFill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59" fillId="0" borderId="8" applyNumberFormat="0" applyFill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59" fillId="0" borderId="8" applyNumberFormat="0" applyFill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59" fillId="0" borderId="8" applyNumberFormat="0" applyFill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66" fillId="2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43" fontId="99" fillId="0" borderId="0" applyFont="0" applyFill="0" applyBorder="0" applyAlignment="0" applyProtection="0"/>
    <xf numFmtId="0" fontId="42" fillId="2" borderId="0" applyNumberFormat="0" applyBorder="0" applyAlignment="0" applyProtection="0">
      <alignment vertical="center"/>
    </xf>
    <xf numFmtId="43" fontId="99" fillId="0" borderId="0" applyFont="0" applyFill="0" applyBorder="0" applyAlignment="0" applyProtection="0"/>
    <xf numFmtId="0" fontId="42" fillId="2" borderId="0" applyNumberFormat="0" applyBorder="0" applyAlignment="0" applyProtection="0">
      <alignment vertical="center"/>
    </xf>
    <xf numFmtId="43" fontId="99" fillId="0" borderId="0" applyFont="0" applyFill="0" applyBorder="0" applyAlignment="0" applyProtection="0"/>
    <xf numFmtId="0" fontId="42" fillId="2" borderId="0" applyNumberFormat="0" applyBorder="0" applyAlignment="0" applyProtection="0">
      <alignment vertical="center"/>
    </xf>
    <xf numFmtId="43" fontId="99" fillId="0" borderId="0" applyFont="0" applyFill="0" applyBorder="0" applyAlignment="0" applyProtection="0"/>
    <xf numFmtId="0" fontId="42" fillId="2" borderId="0" applyNumberFormat="0" applyBorder="0" applyAlignment="0" applyProtection="0">
      <alignment vertical="center"/>
    </xf>
    <xf numFmtId="43" fontId="99" fillId="0" borderId="0" applyFont="0" applyFill="0" applyBorder="0" applyAlignment="0" applyProtection="0"/>
    <xf numFmtId="0" fontId="42" fillId="2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48" fillId="2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48" fillId="2" borderId="0" applyNumberFormat="0" applyBorder="0" applyAlignment="0" applyProtection="0"/>
    <xf numFmtId="0" fontId="48" fillId="2" borderId="0" applyNumberFormat="0" applyBorder="0" applyAlignment="0" applyProtection="0"/>
    <xf numFmtId="0" fontId="48" fillId="2" borderId="0" applyNumberFormat="0" applyBorder="0" applyAlignment="0" applyProtection="0"/>
    <xf numFmtId="0" fontId="48" fillId="2" borderId="0" applyNumberFormat="0" applyBorder="0" applyAlignment="0" applyProtection="0"/>
    <xf numFmtId="0" fontId="48" fillId="2" borderId="0" applyNumberFormat="0" applyBorder="0" applyAlignment="0" applyProtection="0"/>
    <xf numFmtId="0" fontId="48" fillId="2" borderId="0" applyNumberFormat="0" applyBorder="0" applyAlignment="0" applyProtection="0"/>
    <xf numFmtId="0" fontId="48" fillId="2" borderId="0" applyNumberFormat="0" applyBorder="0" applyAlignment="0" applyProtection="0"/>
    <xf numFmtId="0" fontId="48" fillId="2" borderId="0" applyNumberFormat="0" applyBorder="0" applyAlignment="0" applyProtection="0"/>
    <xf numFmtId="0" fontId="55" fillId="2" borderId="0" applyNumberFormat="0" applyBorder="0" applyAlignment="0" applyProtection="0">
      <alignment vertical="center"/>
    </xf>
    <xf numFmtId="0" fontId="55" fillId="2" borderId="0" applyNumberFormat="0" applyBorder="0" applyAlignment="0" applyProtection="0">
      <alignment vertical="center"/>
    </xf>
    <xf numFmtId="0" fontId="55" fillId="2" borderId="0" applyNumberFormat="0" applyBorder="0" applyAlignment="0" applyProtection="0">
      <alignment vertical="center"/>
    </xf>
    <xf numFmtId="0" fontId="55" fillId="2" borderId="0" applyNumberFormat="0" applyBorder="0" applyAlignment="0" applyProtection="0">
      <alignment vertical="center"/>
    </xf>
    <xf numFmtId="0" fontId="55" fillId="2" borderId="0" applyNumberFormat="0" applyBorder="0" applyAlignment="0" applyProtection="0">
      <alignment vertical="center"/>
    </xf>
    <xf numFmtId="0" fontId="55" fillId="2" borderId="0" applyNumberFormat="0" applyBorder="0" applyAlignment="0" applyProtection="0">
      <alignment vertical="center"/>
    </xf>
    <xf numFmtId="0" fontId="55" fillId="2" borderId="0" applyNumberFormat="0" applyBorder="0" applyAlignment="0" applyProtection="0">
      <alignment vertical="center"/>
    </xf>
    <xf numFmtId="0" fontId="55" fillId="2" borderId="0" applyNumberFormat="0" applyBorder="0" applyAlignment="0" applyProtection="0">
      <alignment vertical="center"/>
    </xf>
    <xf numFmtId="0" fontId="48" fillId="2" borderId="0" applyNumberFormat="0" applyBorder="0" applyAlignment="0" applyProtection="0">
      <alignment vertical="center"/>
    </xf>
    <xf numFmtId="0" fontId="48" fillId="2" borderId="0" applyNumberFormat="0" applyBorder="0" applyAlignment="0" applyProtection="0">
      <alignment vertical="center"/>
    </xf>
    <xf numFmtId="0" fontId="89" fillId="14" borderId="0" applyNumberFormat="0" applyBorder="0" applyAlignment="0" applyProtection="0">
      <alignment vertical="center"/>
    </xf>
    <xf numFmtId="0" fontId="89" fillId="14" borderId="0" applyNumberFormat="0" applyBorder="0" applyAlignment="0" applyProtection="0">
      <alignment vertical="center"/>
    </xf>
    <xf numFmtId="0" fontId="89" fillId="14" borderId="0" applyNumberFormat="0" applyBorder="0" applyAlignment="0" applyProtection="0">
      <alignment vertical="center"/>
    </xf>
    <xf numFmtId="0" fontId="89" fillId="14" borderId="0" applyNumberFormat="0" applyBorder="0" applyAlignment="0" applyProtection="0">
      <alignment vertical="center"/>
    </xf>
    <xf numFmtId="0" fontId="89" fillId="14" borderId="0" applyNumberFormat="0" applyBorder="0" applyAlignment="0" applyProtection="0">
      <alignment vertical="center"/>
    </xf>
    <xf numFmtId="0" fontId="89" fillId="14" borderId="0" applyNumberFormat="0" applyBorder="0" applyAlignment="0" applyProtection="0">
      <alignment vertical="center"/>
    </xf>
    <xf numFmtId="0" fontId="48" fillId="2" borderId="0" applyNumberFormat="0" applyBorder="0" applyAlignment="0" applyProtection="0"/>
    <xf numFmtId="0" fontId="48" fillId="2" borderId="0" applyNumberFormat="0" applyBorder="0" applyAlignment="0" applyProtection="0"/>
    <xf numFmtId="0" fontId="48" fillId="2" borderId="0" applyNumberFormat="0" applyBorder="0" applyAlignment="0" applyProtection="0"/>
    <xf numFmtId="0" fontId="48" fillId="2" borderId="0" applyNumberFormat="0" applyBorder="0" applyAlignment="0" applyProtection="0"/>
    <xf numFmtId="0" fontId="48" fillId="2" borderId="0" applyNumberFormat="0" applyBorder="0" applyAlignment="0" applyProtection="0"/>
    <xf numFmtId="0" fontId="56" fillId="23" borderId="0" applyNumberFormat="0" applyBorder="0" applyAlignment="0" applyProtection="0">
      <alignment vertical="center"/>
    </xf>
    <xf numFmtId="0" fontId="55" fillId="14" borderId="0" applyNumberFormat="0" applyBorder="0" applyAlignment="0" applyProtection="0">
      <alignment vertical="center"/>
    </xf>
    <xf numFmtId="0" fontId="55" fillId="14" borderId="0" applyNumberFormat="0" applyBorder="0" applyAlignment="0" applyProtection="0">
      <alignment vertical="center"/>
    </xf>
    <xf numFmtId="0" fontId="55" fillId="14" borderId="0" applyNumberFormat="0" applyBorder="0" applyAlignment="0" applyProtection="0">
      <alignment vertical="center"/>
    </xf>
    <xf numFmtId="0" fontId="55" fillId="14" borderId="0" applyNumberFormat="0" applyBorder="0" applyAlignment="0" applyProtection="0">
      <alignment vertical="center"/>
    </xf>
    <xf numFmtId="0" fontId="55" fillId="14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55" fillId="14" borderId="0" applyNumberFormat="0" applyBorder="0" applyAlignment="0" applyProtection="0">
      <alignment vertical="center"/>
    </xf>
    <xf numFmtId="0" fontId="55" fillId="14" borderId="0" applyNumberFormat="0" applyBorder="0" applyAlignment="0" applyProtection="0">
      <alignment vertical="center"/>
    </xf>
    <xf numFmtId="0" fontId="55" fillId="14" borderId="0" applyNumberFormat="0" applyBorder="0" applyAlignment="0" applyProtection="0">
      <alignment vertical="center"/>
    </xf>
    <xf numFmtId="0" fontId="55" fillId="14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55" fillId="14" borderId="0" applyNumberFormat="0" applyBorder="0" applyAlignment="0" applyProtection="0">
      <alignment vertical="center"/>
    </xf>
    <xf numFmtId="0" fontId="55" fillId="14" borderId="0" applyNumberFormat="0" applyBorder="0" applyAlignment="0" applyProtection="0">
      <alignment vertical="center"/>
    </xf>
    <xf numFmtId="0" fontId="55" fillId="14" borderId="0" applyNumberFormat="0" applyBorder="0" applyAlignment="0" applyProtection="0">
      <alignment vertical="center"/>
    </xf>
    <xf numFmtId="0" fontId="55" fillId="14" borderId="0" applyNumberFormat="0" applyBorder="0" applyAlignment="0" applyProtection="0">
      <alignment vertical="center"/>
    </xf>
    <xf numFmtId="0" fontId="55" fillId="14" borderId="0" applyNumberFormat="0" applyBorder="0" applyAlignment="0" applyProtection="0">
      <alignment vertical="center"/>
    </xf>
    <xf numFmtId="0" fontId="55" fillId="14" borderId="0" applyNumberFormat="0" applyBorder="0" applyAlignment="0" applyProtection="0">
      <alignment vertical="center"/>
    </xf>
    <xf numFmtId="0" fontId="55" fillId="14" borderId="0" applyNumberFormat="0" applyBorder="0" applyAlignment="0" applyProtection="0">
      <alignment vertical="center"/>
    </xf>
    <xf numFmtId="0" fontId="55" fillId="14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66" fillId="2" borderId="0" applyNumberFormat="0" applyBorder="0" applyAlignment="0" applyProtection="0">
      <alignment vertical="center"/>
    </xf>
    <xf numFmtId="0" fontId="66" fillId="2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55" fillId="14" borderId="0" applyNumberFormat="0" applyBorder="0" applyAlignment="0" applyProtection="0">
      <alignment vertical="center"/>
    </xf>
    <xf numFmtId="0" fontId="55" fillId="14" borderId="0" applyNumberFormat="0" applyBorder="0" applyAlignment="0" applyProtection="0">
      <alignment vertical="center"/>
    </xf>
    <xf numFmtId="0" fontId="55" fillId="14" borderId="0" applyNumberFormat="0" applyBorder="0" applyAlignment="0" applyProtection="0">
      <alignment vertical="center"/>
    </xf>
    <xf numFmtId="0" fontId="55" fillId="14" borderId="0" applyNumberFormat="0" applyBorder="0" applyAlignment="0" applyProtection="0">
      <alignment vertical="center"/>
    </xf>
    <xf numFmtId="0" fontId="55" fillId="14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48" fillId="2" borderId="0" applyNumberFormat="0" applyBorder="0" applyAlignment="0" applyProtection="0"/>
    <xf numFmtId="0" fontId="33" fillId="0" borderId="0" applyNumberFormat="0" applyFill="0" applyBorder="0" applyAlignment="0" applyProtection="0">
      <alignment vertical="center"/>
    </xf>
    <xf numFmtId="0" fontId="48" fillId="2" borderId="0" applyNumberFormat="0" applyBorder="0" applyAlignment="0" applyProtection="0"/>
    <xf numFmtId="0" fontId="42" fillId="14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top"/>
      <protection locked="0"/>
    </xf>
    <xf numFmtId="0" fontId="42" fillId="14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66" fillId="2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66" fillId="2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194" fontId="99" fillId="0" borderId="0" applyFont="0" applyFill="0" applyBorder="0" applyAlignment="0" applyProtection="0">
      <alignment vertical="center"/>
    </xf>
    <xf numFmtId="0" fontId="66" fillId="2" borderId="0" applyNumberFormat="0" applyBorder="0" applyAlignment="0" applyProtection="0">
      <alignment vertical="center"/>
    </xf>
    <xf numFmtId="0" fontId="57" fillId="9" borderId="1" applyNumberFormat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57" fillId="9" borderId="1" applyNumberFormat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66" fillId="2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55" fillId="14" borderId="0" applyNumberFormat="0" applyBorder="0" applyAlignment="0" applyProtection="0">
      <alignment vertical="center"/>
    </xf>
    <xf numFmtId="0" fontId="55" fillId="14" borderId="0" applyNumberFormat="0" applyBorder="0" applyAlignment="0" applyProtection="0">
      <alignment vertical="center"/>
    </xf>
    <xf numFmtId="0" fontId="66" fillId="2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top"/>
      <protection locked="0"/>
    </xf>
    <xf numFmtId="0" fontId="53" fillId="0" borderId="0" applyNumberFormat="0" applyFill="0" applyBorder="0" applyAlignment="0" applyProtection="0">
      <alignment vertical="top"/>
      <protection locked="0"/>
    </xf>
    <xf numFmtId="43" fontId="99" fillId="0" borderId="0" applyFont="0" applyFill="0" applyBorder="0" applyAlignment="0" applyProtection="0"/>
    <xf numFmtId="0" fontId="47" fillId="0" borderId="9" applyNumberFormat="0" applyFill="0" applyAlignment="0" applyProtection="0">
      <alignment vertical="center"/>
    </xf>
    <xf numFmtId="0" fontId="47" fillId="0" borderId="9" applyNumberFormat="0" applyFill="0" applyAlignment="0" applyProtection="0">
      <alignment vertical="center"/>
    </xf>
    <xf numFmtId="0" fontId="47" fillId="0" borderId="9" applyNumberFormat="0" applyFill="0" applyAlignment="0" applyProtection="0">
      <alignment vertical="center"/>
    </xf>
    <xf numFmtId="0" fontId="47" fillId="0" borderId="9" applyNumberFormat="0" applyFill="0" applyAlignment="0" applyProtection="0">
      <alignment vertical="center"/>
    </xf>
    <xf numFmtId="0" fontId="47" fillId="0" borderId="9" applyNumberFormat="0" applyFill="0" applyAlignment="0" applyProtection="0">
      <alignment vertical="center"/>
    </xf>
    <xf numFmtId="0" fontId="47" fillId="0" borderId="9" applyNumberFormat="0" applyFill="0" applyAlignment="0" applyProtection="0">
      <alignment vertical="center"/>
    </xf>
    <xf numFmtId="0" fontId="47" fillId="0" borderId="9" applyNumberFormat="0" applyFill="0" applyAlignment="0" applyProtection="0">
      <alignment vertical="center"/>
    </xf>
    <xf numFmtId="0" fontId="47" fillId="0" borderId="9" applyNumberFormat="0" applyFill="0" applyAlignment="0" applyProtection="0">
      <alignment vertical="center"/>
    </xf>
    <xf numFmtId="0" fontId="95" fillId="9" borderId="1" applyNumberFormat="0" applyAlignment="0" applyProtection="0">
      <alignment vertical="center"/>
    </xf>
    <xf numFmtId="0" fontId="57" fillId="9" borderId="1" applyNumberFormat="0" applyAlignment="0" applyProtection="0">
      <alignment vertical="center"/>
    </xf>
    <xf numFmtId="0" fontId="57" fillId="9" borderId="1" applyNumberFormat="0" applyAlignment="0" applyProtection="0">
      <alignment vertical="center"/>
    </xf>
    <xf numFmtId="0" fontId="57" fillId="9" borderId="1" applyNumberFormat="0" applyAlignment="0" applyProtection="0">
      <alignment vertical="center"/>
    </xf>
    <xf numFmtId="0" fontId="57" fillId="9" borderId="1" applyNumberFormat="0" applyAlignment="0" applyProtection="0">
      <alignment vertical="center"/>
    </xf>
    <xf numFmtId="0" fontId="57" fillId="9" borderId="1" applyNumberFormat="0" applyAlignment="0" applyProtection="0">
      <alignment vertical="center"/>
    </xf>
    <xf numFmtId="0" fontId="57" fillId="9" borderId="1" applyNumberFormat="0" applyAlignment="0" applyProtection="0">
      <alignment vertical="center"/>
    </xf>
    <xf numFmtId="0" fontId="57" fillId="9" borderId="1" applyNumberFormat="0" applyAlignment="0" applyProtection="0">
      <alignment vertical="center"/>
    </xf>
    <xf numFmtId="0" fontId="57" fillId="9" borderId="1" applyNumberFormat="0" applyAlignment="0" applyProtection="0">
      <alignment vertical="center"/>
    </xf>
    <xf numFmtId="0" fontId="57" fillId="9" borderId="1" applyNumberFormat="0" applyAlignment="0" applyProtection="0">
      <alignment vertical="center"/>
    </xf>
    <xf numFmtId="0" fontId="57" fillId="9" borderId="1" applyNumberFormat="0" applyAlignment="0" applyProtection="0">
      <alignment vertical="center"/>
    </xf>
    <xf numFmtId="0" fontId="57" fillId="9" borderId="1" applyNumberFormat="0" applyAlignment="0" applyProtection="0">
      <alignment vertical="center"/>
    </xf>
    <xf numFmtId="0" fontId="96" fillId="17" borderId="7" applyNumberFormat="0" applyAlignment="0" applyProtection="0">
      <alignment vertical="center"/>
    </xf>
    <xf numFmtId="0" fontId="58" fillId="17" borderId="7" applyNumberFormat="0" applyAlignment="0" applyProtection="0">
      <alignment vertical="center"/>
    </xf>
    <xf numFmtId="0" fontId="58" fillId="17" borderId="7" applyNumberFormat="0" applyAlignment="0" applyProtection="0">
      <alignment vertical="center"/>
    </xf>
    <xf numFmtId="0" fontId="58" fillId="17" borderId="7" applyNumberFormat="0" applyAlignment="0" applyProtection="0">
      <alignment vertical="center"/>
    </xf>
    <xf numFmtId="0" fontId="58" fillId="17" borderId="7" applyNumberFormat="0" applyAlignment="0" applyProtection="0">
      <alignment vertical="center"/>
    </xf>
    <xf numFmtId="0" fontId="58" fillId="17" borderId="7" applyNumberFormat="0" applyAlignment="0" applyProtection="0">
      <alignment vertical="center"/>
    </xf>
    <xf numFmtId="0" fontId="58" fillId="17" borderId="7" applyNumberFormat="0" applyAlignment="0" applyProtection="0">
      <alignment vertical="center"/>
    </xf>
    <xf numFmtId="0" fontId="58" fillId="17" borderId="7" applyNumberFormat="0" applyAlignment="0" applyProtection="0">
      <alignment vertical="center"/>
    </xf>
    <xf numFmtId="176" fontId="30" fillId="0" borderId="13">
      <alignment vertical="center"/>
      <protection locked="0"/>
    </xf>
    <xf numFmtId="0" fontId="58" fillId="17" borderId="7" applyNumberFormat="0" applyAlignment="0" applyProtection="0">
      <alignment vertical="center"/>
    </xf>
    <xf numFmtId="0" fontId="58" fillId="17" borderId="7" applyNumberFormat="0" applyAlignment="0" applyProtection="0">
      <alignment vertical="center"/>
    </xf>
    <xf numFmtId="0" fontId="58" fillId="17" borderId="7" applyNumberFormat="0" applyAlignment="0" applyProtection="0">
      <alignment vertical="center"/>
    </xf>
    <xf numFmtId="176" fontId="30" fillId="0" borderId="13">
      <alignment vertical="center"/>
      <protection locked="0"/>
    </xf>
    <xf numFmtId="0" fontId="58" fillId="17" borderId="7" applyNumberFormat="0" applyAlignment="0" applyProtection="0">
      <alignment vertical="center"/>
    </xf>
    <xf numFmtId="0" fontId="58" fillId="17" borderId="7" applyNumberFormat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59" fillId="0" borderId="8" applyNumberFormat="0" applyFill="0" applyAlignment="0" applyProtection="0">
      <alignment vertical="center"/>
    </xf>
    <xf numFmtId="0" fontId="97" fillId="0" borderId="8" applyNumberFormat="0" applyFill="0" applyAlignment="0" applyProtection="0">
      <alignment vertical="center"/>
    </xf>
    <xf numFmtId="0" fontId="59" fillId="0" borderId="8" applyNumberFormat="0" applyFill="0" applyAlignment="0" applyProtection="0">
      <alignment vertical="center"/>
    </xf>
    <xf numFmtId="0" fontId="59" fillId="0" borderId="8" applyNumberFormat="0" applyFill="0" applyAlignment="0" applyProtection="0">
      <alignment vertical="center"/>
    </xf>
    <xf numFmtId="0" fontId="59" fillId="0" borderId="8" applyNumberFormat="0" applyFill="0" applyAlignment="0" applyProtection="0">
      <alignment vertical="center"/>
    </xf>
    <xf numFmtId="0" fontId="59" fillId="0" borderId="8" applyNumberFormat="0" applyFill="0" applyAlignment="0" applyProtection="0">
      <alignment vertical="center"/>
    </xf>
    <xf numFmtId="0" fontId="59" fillId="0" borderId="8" applyNumberFormat="0" applyFill="0" applyAlignment="0" applyProtection="0">
      <alignment vertical="center"/>
    </xf>
    <xf numFmtId="0" fontId="59" fillId="0" borderId="8" applyNumberFormat="0" applyFill="0" applyAlignment="0" applyProtection="0">
      <alignment vertical="center"/>
    </xf>
    <xf numFmtId="0" fontId="59" fillId="0" borderId="8" applyNumberFormat="0" applyFill="0" applyAlignment="0" applyProtection="0">
      <alignment vertical="center"/>
    </xf>
    <xf numFmtId="0" fontId="59" fillId="0" borderId="8" applyNumberFormat="0" applyFill="0" applyAlignment="0" applyProtection="0">
      <alignment vertical="center"/>
    </xf>
    <xf numFmtId="0" fontId="59" fillId="0" borderId="8" applyNumberFormat="0" applyFill="0" applyAlignment="0" applyProtection="0">
      <alignment vertical="center"/>
    </xf>
    <xf numFmtId="0" fontId="59" fillId="0" borderId="8" applyNumberFormat="0" applyFill="0" applyAlignment="0" applyProtection="0">
      <alignment vertical="center"/>
    </xf>
    <xf numFmtId="196" fontId="99" fillId="0" borderId="0" applyFont="0" applyFill="0" applyBorder="0" applyAlignment="0" applyProtection="0"/>
    <xf numFmtId="197" fontId="99" fillId="0" borderId="0" applyFont="0" applyFill="0" applyBorder="0" applyAlignment="0" applyProtection="0"/>
    <xf numFmtId="198" fontId="99" fillId="0" borderId="0" applyFont="0" applyFill="0" applyBorder="0" applyAlignment="0" applyProtection="0"/>
    <xf numFmtId="41" fontId="99" fillId="0" borderId="0" applyFont="0" applyFill="0" applyBorder="0" applyAlignment="0" applyProtection="0"/>
    <xf numFmtId="43" fontId="99" fillId="0" borderId="0" applyFont="0" applyFill="0" applyBorder="0" applyAlignment="0" applyProtection="0"/>
    <xf numFmtId="43" fontId="99" fillId="0" borderId="0" applyFont="0" applyFill="0" applyBorder="0" applyAlignment="0" applyProtection="0"/>
    <xf numFmtId="41" fontId="99" fillId="0" borderId="0" applyFont="0" applyFill="0" applyBorder="0" applyAlignment="0" applyProtection="0"/>
    <xf numFmtId="43" fontId="99" fillId="0" borderId="0" applyFont="0" applyFill="0" applyBorder="0" applyAlignment="0" applyProtection="0"/>
    <xf numFmtId="43" fontId="99" fillId="0" borderId="0" applyFont="0" applyFill="0" applyBorder="0" applyAlignment="0" applyProtection="0"/>
    <xf numFmtId="43" fontId="99" fillId="0" borderId="0" applyFont="0" applyFill="0" applyBorder="0" applyAlignment="0" applyProtection="0"/>
    <xf numFmtId="43" fontId="99" fillId="0" borderId="0" applyFont="0" applyFill="0" applyBorder="0" applyAlignment="0" applyProtection="0"/>
    <xf numFmtId="43" fontId="99" fillId="0" borderId="0" applyFont="0" applyFill="0" applyBorder="0" applyAlignment="0" applyProtection="0"/>
    <xf numFmtId="43" fontId="99" fillId="0" borderId="0" applyFont="0" applyFill="0" applyBorder="0" applyAlignment="0" applyProtection="0"/>
    <xf numFmtId="43" fontId="99" fillId="0" borderId="0" applyFont="0" applyFill="0" applyBorder="0" applyAlignment="0" applyProtection="0"/>
    <xf numFmtId="43" fontId="99" fillId="0" borderId="0" applyFont="0" applyFill="0" applyBorder="0" applyAlignment="0" applyProtection="0"/>
    <xf numFmtId="43" fontId="99" fillId="0" borderId="0" applyFont="0" applyFill="0" applyBorder="0" applyAlignment="0" applyProtection="0"/>
    <xf numFmtId="0" fontId="36" fillId="16" borderId="0" applyNumberFormat="0" applyBorder="0" applyAlignment="0" applyProtection="0">
      <alignment vertical="center"/>
    </xf>
    <xf numFmtId="43" fontId="99" fillId="0" borderId="0" applyFont="0" applyFill="0" applyBorder="0" applyAlignment="0" applyProtection="0"/>
    <xf numFmtId="43" fontId="99" fillId="0" borderId="0" applyFont="0" applyFill="0" applyBorder="0" applyAlignment="0" applyProtection="0"/>
    <xf numFmtId="194" fontId="99" fillId="0" borderId="0" applyFont="0" applyFill="0" applyBorder="0" applyAlignment="0" applyProtection="0">
      <alignment vertical="center"/>
    </xf>
    <xf numFmtId="194" fontId="99" fillId="0" borderId="0" applyFont="0" applyFill="0" applyBorder="0" applyAlignment="0" applyProtection="0">
      <alignment vertical="center"/>
    </xf>
    <xf numFmtId="194" fontId="99" fillId="0" borderId="0" applyFont="0" applyFill="0" applyBorder="0" applyAlignment="0" applyProtection="0">
      <alignment vertical="center"/>
    </xf>
    <xf numFmtId="194" fontId="99" fillId="0" borderId="0" applyFont="0" applyFill="0" applyBorder="0" applyAlignment="0" applyProtection="0">
      <alignment vertical="center"/>
    </xf>
    <xf numFmtId="194" fontId="99" fillId="0" borderId="0" applyFont="0" applyFill="0" applyBorder="0" applyAlignment="0" applyProtection="0">
      <alignment vertical="center"/>
    </xf>
    <xf numFmtId="194" fontId="99" fillId="0" borderId="0" applyFont="0" applyFill="0" applyBorder="0" applyAlignment="0" applyProtection="0">
      <alignment vertical="center"/>
    </xf>
    <xf numFmtId="194" fontId="99" fillId="0" borderId="0" applyFont="0" applyFill="0" applyBorder="0" applyAlignment="0" applyProtection="0">
      <alignment vertical="center"/>
    </xf>
    <xf numFmtId="43" fontId="99" fillId="0" borderId="0" applyFont="0" applyFill="0" applyBorder="0" applyAlignment="0" applyProtection="0"/>
    <xf numFmtId="41" fontId="99" fillId="0" borderId="0" applyFont="0" applyFill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54" fillId="9" borderId="6" applyNumberFormat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56" fillId="22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8" fillId="5" borderId="1" applyNumberFormat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56" fillId="15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54" fillId="9" borderId="6" applyNumberFormat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2" fillId="0" borderId="17" applyNumberFormat="0" applyFill="0" applyProtection="0">
      <alignment horizontal="left"/>
    </xf>
    <xf numFmtId="0" fontId="35" fillId="18" borderId="0" applyNumberFormat="0" applyBorder="0" applyAlignment="0" applyProtection="0">
      <alignment vertical="center"/>
    </xf>
    <xf numFmtId="0" fontId="98" fillId="18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60" fillId="9" borderId="6" applyNumberFormat="0" applyAlignment="0" applyProtection="0">
      <alignment vertical="center"/>
    </xf>
    <xf numFmtId="0" fontId="54" fillId="9" borderId="6" applyNumberFormat="0" applyAlignment="0" applyProtection="0">
      <alignment vertical="center"/>
    </xf>
    <xf numFmtId="0" fontId="54" fillId="9" borderId="6" applyNumberFormat="0" applyAlignment="0" applyProtection="0">
      <alignment vertical="center"/>
    </xf>
    <xf numFmtId="0" fontId="54" fillId="9" borderId="6" applyNumberFormat="0" applyAlignment="0" applyProtection="0">
      <alignment vertical="center"/>
    </xf>
    <xf numFmtId="0" fontId="54" fillId="9" borderId="6" applyNumberFormat="0" applyAlignment="0" applyProtection="0">
      <alignment vertical="center"/>
    </xf>
    <xf numFmtId="0" fontId="54" fillId="9" borderId="6" applyNumberFormat="0" applyAlignment="0" applyProtection="0">
      <alignment vertical="center"/>
    </xf>
    <xf numFmtId="0" fontId="54" fillId="9" borderId="6" applyNumberFormat="0" applyAlignment="0" applyProtection="0">
      <alignment vertical="center"/>
    </xf>
    <xf numFmtId="0" fontId="54" fillId="9" borderId="6" applyNumberFormat="0" applyAlignment="0" applyProtection="0">
      <alignment vertical="center"/>
    </xf>
    <xf numFmtId="0" fontId="54" fillId="9" borderId="6" applyNumberFormat="0" applyAlignment="0" applyProtection="0">
      <alignment vertical="center"/>
    </xf>
    <xf numFmtId="0" fontId="54" fillId="9" borderId="6" applyNumberFormat="0" applyAlignment="0" applyProtection="0">
      <alignment vertical="center"/>
    </xf>
    <xf numFmtId="0" fontId="38" fillId="5" borderId="1" applyNumberFormat="0" applyAlignment="0" applyProtection="0">
      <alignment vertical="center"/>
    </xf>
    <xf numFmtId="0" fontId="38" fillId="5" borderId="1" applyNumberFormat="0" applyAlignment="0" applyProtection="0">
      <alignment vertical="center"/>
    </xf>
    <xf numFmtId="0" fontId="38" fillId="5" borderId="1" applyNumberFormat="0" applyAlignment="0" applyProtection="0">
      <alignment vertical="center"/>
    </xf>
    <xf numFmtId="0" fontId="38" fillId="5" borderId="1" applyNumberFormat="0" applyAlignment="0" applyProtection="0">
      <alignment vertical="center"/>
    </xf>
    <xf numFmtId="0" fontId="38" fillId="5" borderId="1" applyNumberFormat="0" applyAlignment="0" applyProtection="0">
      <alignment vertical="center"/>
    </xf>
    <xf numFmtId="0" fontId="38" fillId="5" borderId="1" applyNumberFormat="0" applyAlignment="0" applyProtection="0">
      <alignment vertical="center"/>
    </xf>
    <xf numFmtId="0" fontId="38" fillId="5" borderId="1" applyNumberFormat="0" applyAlignment="0" applyProtection="0">
      <alignment vertical="center"/>
    </xf>
    <xf numFmtId="0" fontId="38" fillId="5" borderId="1" applyNumberFormat="0" applyAlignment="0" applyProtection="0">
      <alignment vertical="center"/>
    </xf>
    <xf numFmtId="0" fontId="38" fillId="5" borderId="1" applyNumberFormat="0" applyAlignment="0" applyProtection="0">
      <alignment vertical="center"/>
    </xf>
    <xf numFmtId="0" fontId="38" fillId="5" borderId="1" applyNumberFormat="0" applyAlignment="0" applyProtection="0">
      <alignment vertical="center"/>
    </xf>
    <xf numFmtId="0" fontId="38" fillId="5" borderId="1" applyNumberFormat="0" applyAlignment="0" applyProtection="0">
      <alignment vertical="center"/>
    </xf>
    <xf numFmtId="0" fontId="38" fillId="5" borderId="1" applyNumberFormat="0" applyAlignment="0" applyProtection="0">
      <alignment vertical="center"/>
    </xf>
    <xf numFmtId="0" fontId="38" fillId="5" borderId="1" applyNumberFormat="0" applyAlignment="0" applyProtection="0">
      <alignment vertical="center"/>
    </xf>
    <xf numFmtId="1" fontId="2" fillId="0" borderId="10" applyFill="0" applyProtection="0">
      <alignment horizontal="center"/>
    </xf>
    <xf numFmtId="1" fontId="30" fillId="0" borderId="13">
      <alignment vertical="center"/>
      <protection locked="0"/>
    </xf>
    <xf numFmtId="1" fontId="30" fillId="0" borderId="13">
      <alignment vertical="center"/>
      <protection locked="0"/>
    </xf>
    <xf numFmtId="1" fontId="30" fillId="0" borderId="13">
      <alignment vertical="center"/>
      <protection locked="0"/>
    </xf>
    <xf numFmtId="1" fontId="30" fillId="0" borderId="13">
      <alignment vertical="center"/>
      <protection locked="0"/>
    </xf>
    <xf numFmtId="1" fontId="30" fillId="0" borderId="13">
      <alignment vertical="center"/>
      <protection locked="0"/>
    </xf>
    <xf numFmtId="1" fontId="30" fillId="0" borderId="13">
      <alignment vertical="center"/>
      <protection locked="0"/>
    </xf>
    <xf numFmtId="1" fontId="30" fillId="0" borderId="13">
      <alignment vertical="center"/>
      <protection locked="0"/>
    </xf>
    <xf numFmtId="1" fontId="30" fillId="0" borderId="13">
      <alignment vertical="center"/>
      <protection locked="0"/>
    </xf>
    <xf numFmtId="1" fontId="30" fillId="0" borderId="13">
      <alignment vertical="center"/>
      <protection locked="0"/>
    </xf>
    <xf numFmtId="0" fontId="69" fillId="0" borderId="0"/>
    <xf numFmtId="176" fontId="30" fillId="0" borderId="13">
      <alignment vertical="center"/>
      <protection locked="0"/>
    </xf>
    <xf numFmtId="43" fontId="99" fillId="0" borderId="0" applyFont="0" applyFill="0" applyBorder="0" applyAlignment="0" applyProtection="0"/>
    <xf numFmtId="41" fontId="99" fillId="0" borderId="0" applyFont="0" applyFill="0" applyBorder="0" applyAlignment="0" applyProtection="0"/>
    <xf numFmtId="0" fontId="99" fillId="13" borderId="2" applyNumberFormat="0" applyFont="0" applyAlignment="0" applyProtection="0">
      <alignment vertical="center"/>
    </xf>
    <xf numFmtId="0" fontId="99" fillId="13" borderId="2" applyNumberFormat="0" applyFont="0" applyAlignment="0" applyProtection="0">
      <alignment vertical="center"/>
    </xf>
    <xf numFmtId="0" fontId="99" fillId="13" borderId="2" applyNumberFormat="0" applyFont="0" applyAlignment="0" applyProtection="0">
      <alignment vertical="center"/>
    </xf>
    <xf numFmtId="0" fontId="99" fillId="13" borderId="2" applyNumberFormat="0" applyFont="0" applyAlignment="0" applyProtection="0">
      <alignment vertical="center"/>
    </xf>
    <xf numFmtId="0" fontId="99" fillId="13" borderId="2" applyNumberFormat="0" applyFont="0" applyAlignment="0" applyProtection="0">
      <alignment vertical="center"/>
    </xf>
    <xf numFmtId="0" fontId="99" fillId="13" borderId="2" applyNumberFormat="0" applyFont="0" applyAlignment="0" applyProtection="0">
      <alignment vertical="center"/>
    </xf>
    <xf numFmtId="0" fontId="99" fillId="13" borderId="2" applyNumberFormat="0" applyFont="0" applyAlignment="0" applyProtection="0">
      <alignment vertical="center"/>
    </xf>
    <xf numFmtId="0" fontId="99" fillId="13" borderId="2" applyNumberFormat="0" applyFont="0" applyAlignment="0" applyProtection="0">
      <alignment vertical="center"/>
    </xf>
    <xf numFmtId="40" fontId="99" fillId="0" borderId="0" applyFont="0" applyFill="0" applyBorder="0" applyAlignment="0" applyProtection="0"/>
    <xf numFmtId="0" fontId="99" fillId="0" borderId="0" applyFont="0" applyFill="0" applyBorder="0" applyAlignment="0" applyProtection="0"/>
    <xf numFmtId="0" fontId="99" fillId="0" borderId="0"/>
  </cellStyleXfs>
  <cellXfs count="93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Border="1" applyAlignment="1">
      <alignment horizontal="center" vertical="center"/>
    </xf>
    <xf numFmtId="0" fontId="4" fillId="0" borderId="14" xfId="0" applyFont="1" applyBorder="1"/>
    <xf numFmtId="0" fontId="2" fillId="0" borderId="14" xfId="0" applyFont="1" applyBorder="1"/>
    <xf numFmtId="0" fontId="4" fillId="0" borderId="14" xfId="0" applyFont="1" applyBorder="1" applyAlignment="1">
      <alignment horizontal="right"/>
    </xf>
    <xf numFmtId="178" fontId="0" fillId="0" borderId="10" xfId="106" applyFont="1" applyFill="1" applyBorder="1" applyAlignment="1">
      <alignment horizontal="center" vertical="center"/>
    </xf>
    <xf numFmtId="178" fontId="0" fillId="0" borderId="18" xfId="106" applyFont="1" applyFill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199" fontId="0" fillId="0" borderId="15" xfId="0" applyNumberFormat="1" applyFont="1" applyFill="1" applyBorder="1" applyAlignment="1">
      <alignment horizontal="right" vertical="center"/>
    </xf>
    <xf numFmtId="200" fontId="0" fillId="0" borderId="20" xfId="106" applyNumberFormat="1" applyFont="1" applyFill="1" applyBorder="1" applyAlignment="1">
      <alignment horizontal="right" vertical="center"/>
    </xf>
    <xf numFmtId="0" fontId="5" fillId="0" borderId="19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200" fontId="0" fillId="0" borderId="0" xfId="106" applyNumberFormat="1" applyFont="1" applyFill="1" applyBorder="1" applyAlignment="1">
      <alignment horizontal="right" vertical="center"/>
    </xf>
    <xf numFmtId="0" fontId="5" fillId="0" borderId="19" xfId="0" applyNumberFormat="1" applyFont="1" applyBorder="1" applyAlignment="1">
      <alignment horizontal="center"/>
    </xf>
    <xf numFmtId="0" fontId="0" fillId="0" borderId="19" xfId="0" applyNumberFormat="1" applyBorder="1"/>
    <xf numFmtId="0" fontId="0" fillId="0" borderId="0" xfId="0" applyNumberFormat="1" applyBorder="1"/>
    <xf numFmtId="199" fontId="0" fillId="0" borderId="19" xfId="0" applyNumberFormat="1" applyFont="1" applyFill="1" applyBorder="1" applyAlignment="1">
      <alignment horizontal="right" vertical="center"/>
    </xf>
    <xf numFmtId="199" fontId="0" fillId="0" borderId="0" xfId="0" applyNumberFormat="1" applyFont="1" applyFill="1" applyBorder="1" applyAlignment="1">
      <alignment horizontal="right" vertical="center"/>
    </xf>
    <xf numFmtId="200" fontId="0" fillId="0" borderId="15" xfId="0" applyNumberFormat="1" applyBorder="1"/>
    <xf numFmtId="200" fontId="0" fillId="0" borderId="0" xfId="0" applyNumberFormat="1" applyBorder="1"/>
    <xf numFmtId="0" fontId="5" fillId="0" borderId="10" xfId="0" applyNumberFormat="1" applyFont="1" applyBorder="1" applyAlignment="1">
      <alignment horizontal="center"/>
    </xf>
    <xf numFmtId="200" fontId="0" fillId="0" borderId="17" xfId="0" applyNumberFormat="1" applyBorder="1"/>
    <xf numFmtId="200" fontId="0" fillId="0" borderId="18" xfId="0" applyNumberFormat="1" applyBorder="1"/>
    <xf numFmtId="0" fontId="3" fillId="0" borderId="14" xfId="0" applyFont="1" applyFill="1" applyBorder="1" applyAlignment="1">
      <alignment horizontal="center" vertical="center"/>
    </xf>
    <xf numFmtId="0" fontId="0" fillId="0" borderId="14" xfId="0" applyFont="1" applyFill="1" applyBorder="1" applyAlignment="1">
      <alignment horizontal="center"/>
    </xf>
    <xf numFmtId="201" fontId="0" fillId="0" borderId="15" xfId="0" applyNumberFormat="1" applyFont="1" applyBorder="1" applyAlignment="1">
      <alignment horizontal="right" vertical="center"/>
    </xf>
    <xf numFmtId="202" fontId="0" fillId="0" borderId="15" xfId="0" applyNumberFormat="1" applyFont="1" applyBorder="1" applyAlignment="1">
      <alignment horizontal="right" vertical="center"/>
    </xf>
    <xf numFmtId="200" fontId="0" fillId="0" borderId="20" xfId="0" applyNumberFormat="1" applyFont="1" applyBorder="1" applyAlignment="1">
      <alignment horizontal="right" vertical="center"/>
    </xf>
    <xf numFmtId="200" fontId="0" fillId="0" borderId="20" xfId="0" applyNumberFormat="1" applyFont="1" applyFill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200" fontId="0" fillId="0" borderId="0" xfId="0" applyNumberFormat="1" applyFont="1" applyFill="1" applyBorder="1" applyAlignment="1">
      <alignment horizontal="right" vertical="center"/>
    </xf>
    <xf numFmtId="202" fontId="0" fillId="0" borderId="19" xfId="0" applyNumberFormat="1" applyFont="1" applyBorder="1" applyAlignment="1">
      <alignment horizontal="right" vertical="center"/>
    </xf>
    <xf numFmtId="200" fontId="0" fillId="0" borderId="0" xfId="0" applyNumberFormat="1" applyBorder="1" applyAlignment="1">
      <alignment horizontal="right"/>
    </xf>
    <xf numFmtId="202" fontId="0" fillId="0" borderId="19" xfId="0" applyNumberFormat="1" applyBorder="1"/>
    <xf numFmtId="200" fontId="0" fillId="0" borderId="0" xfId="416" applyNumberFormat="1" applyFont="1" applyFill="1" applyBorder="1" applyAlignment="1">
      <alignment horizontal="right" vertical="center"/>
    </xf>
    <xf numFmtId="202" fontId="0" fillId="0" borderId="17" xfId="0" applyNumberFormat="1" applyFont="1" applyBorder="1" applyAlignment="1">
      <alignment horizontal="right" vertical="center"/>
    </xf>
    <xf numFmtId="200" fontId="0" fillId="0" borderId="18" xfId="416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center" vertical="center"/>
    </xf>
    <xf numFmtId="201" fontId="0" fillId="0" borderId="19" xfId="0" applyNumberFormat="1" applyFont="1" applyBorder="1" applyAlignment="1">
      <alignment horizontal="right" vertical="center"/>
    </xf>
    <xf numFmtId="0" fontId="0" fillId="0" borderId="15" xfId="0" applyNumberFormat="1" applyBorder="1"/>
    <xf numFmtId="0" fontId="0" fillId="0" borderId="17" xfId="0" applyNumberFormat="1" applyBorder="1"/>
    <xf numFmtId="0" fontId="0" fillId="0" borderId="0" xfId="0" applyFont="1"/>
    <xf numFmtId="0" fontId="4" fillId="0" borderId="0" xfId="0" applyFont="1"/>
    <xf numFmtId="0" fontId="0" fillId="0" borderId="0" xfId="0" applyBorder="1"/>
    <xf numFmtId="0" fontId="3" fillId="0" borderId="14" xfId="0" applyFont="1" applyBorder="1" applyAlignment="1">
      <alignment horizontal="center" vertical="center"/>
    </xf>
    <xf numFmtId="0" fontId="0" fillId="0" borderId="0" xfId="0" applyFont="1" applyFill="1" applyAlignment="1"/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0" fillId="0" borderId="0" xfId="0" applyFont="1" applyBorder="1"/>
    <xf numFmtId="0" fontId="6" fillId="0" borderId="19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7" fillId="0" borderId="0" xfId="0" applyFont="1" applyBorder="1" applyAlignment="1">
      <alignment horizontal="right" vertical="center"/>
    </xf>
    <xf numFmtId="199" fontId="0" fillId="0" borderId="20" xfId="0" applyNumberFormat="1" applyFont="1" applyBorder="1" applyAlignment="1">
      <alignment horizontal="right" vertical="center"/>
    </xf>
    <xf numFmtId="0" fontId="8" fillId="0" borderId="19" xfId="0" applyFont="1" applyBorder="1" applyAlignment="1">
      <alignment horizontal="center" vertical="center" wrapText="1"/>
    </xf>
    <xf numFmtId="200" fontId="0" fillId="0" borderId="0" xfId="0" applyNumberFormat="1" applyBorder="1" applyAlignment="1">
      <alignment vertical="center"/>
    </xf>
    <xf numFmtId="201" fontId="0" fillId="0" borderId="10" xfId="0" applyNumberFormat="1" applyFont="1" applyBorder="1" applyAlignment="1">
      <alignment horizontal="right" vertical="center"/>
    </xf>
    <xf numFmtId="200" fontId="0" fillId="0" borderId="18" xfId="0" applyNumberFormat="1" applyBorder="1" applyAlignment="1">
      <alignment vertical="center"/>
    </xf>
    <xf numFmtId="201" fontId="0" fillId="0" borderId="15" xfId="193" applyNumberFormat="1" applyFont="1" applyBorder="1" applyAlignment="1">
      <alignment horizontal="right" vertical="center"/>
    </xf>
    <xf numFmtId="201" fontId="0" fillId="0" borderId="15" xfId="193" applyNumberFormat="1" applyFont="1" applyBorder="1" applyAlignment="1">
      <alignment horizontal="right" vertical="center" wrapText="1"/>
    </xf>
    <xf numFmtId="200" fontId="0" fillId="0" borderId="20" xfId="106" applyNumberFormat="1" applyFont="1" applyFill="1" applyBorder="1" applyAlignment="1">
      <alignment horizontal="right" vertical="center" wrapText="1"/>
    </xf>
    <xf numFmtId="203" fontId="0" fillId="0" borderId="15" xfId="0" applyNumberFormat="1" applyBorder="1" applyAlignment="1">
      <alignment wrapText="1"/>
    </xf>
    <xf numFmtId="0" fontId="0" fillId="0" borderId="15" xfId="0" applyBorder="1" applyAlignment="1">
      <alignment wrapText="1"/>
    </xf>
    <xf numFmtId="0" fontId="5" fillId="0" borderId="19" xfId="0" applyNumberFormat="1" applyFont="1" applyBorder="1" applyAlignment="1">
      <alignment horizontal="center" vertical="center"/>
    </xf>
    <xf numFmtId="0" fontId="0" fillId="0" borderId="15" xfId="0" applyNumberFormat="1" applyBorder="1" applyAlignment="1">
      <alignment wrapText="1"/>
    </xf>
    <xf numFmtId="0" fontId="0" fillId="0" borderId="20" xfId="0" applyNumberFormat="1" applyBorder="1" applyAlignment="1">
      <alignment wrapText="1"/>
    </xf>
    <xf numFmtId="200" fontId="0" fillId="0" borderId="20" xfId="0" applyNumberFormat="1" applyBorder="1" applyAlignment="1">
      <alignment wrapText="1"/>
    </xf>
    <xf numFmtId="0" fontId="5" fillId="0" borderId="20" xfId="0" applyNumberFormat="1" applyFont="1" applyBorder="1" applyAlignment="1">
      <alignment horizontal="center" vertical="center"/>
    </xf>
    <xf numFmtId="204" fontId="0" fillId="0" borderId="15" xfId="0" applyNumberFormat="1" applyBorder="1" applyAlignment="1">
      <alignment wrapText="1"/>
    </xf>
    <xf numFmtId="0" fontId="0" fillId="0" borderId="0" xfId="0" applyNumberFormat="1" applyBorder="1" applyAlignment="1">
      <alignment wrapText="1"/>
    </xf>
    <xf numFmtId="200" fontId="0" fillId="0" borderId="0" xfId="0" applyNumberFormat="1" applyBorder="1" applyAlignment="1">
      <alignment wrapText="1"/>
    </xf>
    <xf numFmtId="204" fontId="0" fillId="0" borderId="19" xfId="0" applyNumberFormat="1" applyBorder="1"/>
    <xf numFmtId="204" fontId="0" fillId="0" borderId="24" xfId="0" applyNumberFormat="1" applyBorder="1"/>
    <xf numFmtId="200" fontId="0" fillId="0" borderId="25" xfId="0" applyNumberFormat="1" applyBorder="1"/>
    <xf numFmtId="201" fontId="0" fillId="0" borderId="15" xfId="0" applyNumberFormat="1" applyFont="1" applyFill="1" applyBorder="1" applyAlignment="1">
      <alignment horizontal="right" vertical="center"/>
    </xf>
    <xf numFmtId="199" fontId="0" fillId="0" borderId="20" xfId="0" applyNumberFormat="1" applyFont="1" applyFill="1" applyBorder="1" applyAlignment="1">
      <alignment horizontal="right" vertical="center"/>
    </xf>
    <xf numFmtId="0" fontId="0" fillId="0" borderId="19" xfId="0" applyBorder="1"/>
    <xf numFmtId="0" fontId="0" fillId="0" borderId="20" xfId="0" applyBorder="1"/>
    <xf numFmtId="0" fontId="5" fillId="0" borderId="0" xfId="0" applyNumberFormat="1" applyFont="1" applyBorder="1" applyAlignment="1">
      <alignment horizontal="center" vertical="center"/>
    </xf>
    <xf numFmtId="0" fontId="0" fillId="33" borderId="17" xfId="0" applyFont="1" applyFill="1" applyBorder="1" applyAlignment="1">
      <alignment horizontal="right" vertical="center"/>
    </xf>
    <xf numFmtId="200" fontId="0" fillId="33" borderId="26" xfId="0" applyNumberFormat="1" applyFont="1" applyFill="1" applyBorder="1" applyAlignment="1">
      <alignment horizontal="right" vertical="center"/>
    </xf>
    <xf numFmtId="0" fontId="0" fillId="0" borderId="13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200" fontId="0" fillId="0" borderId="15" xfId="0" applyNumberFormat="1" applyBorder="1" applyAlignment="1">
      <alignment horizontal="right" vertical="center"/>
    </xf>
    <xf numFmtId="200" fontId="0" fillId="0" borderId="20" xfId="0" applyNumberFormat="1" applyBorder="1" applyAlignment="1">
      <alignment horizontal="right" vertical="center"/>
    </xf>
    <xf numFmtId="0" fontId="0" fillId="0" borderId="27" xfId="0" applyNumberFormat="1" applyBorder="1"/>
    <xf numFmtId="200" fontId="0" fillId="0" borderId="29" xfId="0" applyNumberFormat="1" applyBorder="1"/>
    <xf numFmtId="0" fontId="0" fillId="0" borderId="27" xfId="0" applyBorder="1"/>
    <xf numFmtId="200" fontId="0" fillId="0" borderId="28" xfId="0" applyNumberFormat="1" applyBorder="1"/>
    <xf numFmtId="202" fontId="0" fillId="0" borderId="15" xfId="0" applyNumberFormat="1" applyBorder="1" applyAlignment="1">
      <alignment horizontal="right" vertical="center"/>
    </xf>
    <xf numFmtId="202" fontId="0" fillId="0" borderId="15" xfId="0" applyNumberFormat="1" applyBorder="1"/>
    <xf numFmtId="0" fontId="0" fillId="0" borderId="15" xfId="0" applyBorder="1" applyAlignment="1">
      <alignment horizontal="right" vertical="center"/>
    </xf>
    <xf numFmtId="202" fontId="0" fillId="0" borderId="0" xfId="0" applyNumberFormat="1"/>
    <xf numFmtId="0" fontId="0" fillId="0" borderId="10" xfId="0" applyBorder="1" applyAlignment="1">
      <alignment horizontal="center" vertical="center"/>
    </xf>
    <xf numFmtId="0" fontId="0" fillId="0" borderId="17" xfId="0" applyBorder="1" applyAlignment="1">
      <alignment horizontal="right" vertical="center"/>
    </xf>
    <xf numFmtId="205" fontId="0" fillId="0" borderId="26" xfId="21" applyNumberFormat="1" applyFont="1" applyBorder="1" applyAlignment="1">
      <alignment horizontal="right" vertical="center"/>
    </xf>
    <xf numFmtId="202" fontId="0" fillId="0" borderId="17" xfId="0" applyNumberFormat="1" applyBorder="1" applyAlignment="1">
      <alignment horizontal="right" vertical="center"/>
    </xf>
    <xf numFmtId="200" fontId="0" fillId="0" borderId="17" xfId="21" applyNumberFormat="1" applyFont="1" applyBorder="1" applyAlignment="1">
      <alignment horizontal="right" vertical="center"/>
    </xf>
    <xf numFmtId="0" fontId="10" fillId="0" borderId="13" xfId="0" applyFont="1" applyBorder="1" applyAlignment="1">
      <alignment horizontal="center" vertical="center" wrapText="1"/>
    </xf>
    <xf numFmtId="0" fontId="0" fillId="0" borderId="20" xfId="0" applyBorder="1" applyAlignment="1">
      <alignment horizontal="right" vertical="center"/>
    </xf>
    <xf numFmtId="200" fontId="0" fillId="0" borderId="17" xfId="0" applyNumberFormat="1" applyBorder="1" applyAlignment="1">
      <alignment horizontal="right" vertical="center"/>
    </xf>
    <xf numFmtId="0" fontId="0" fillId="0" borderId="26" xfId="0" applyBorder="1" applyAlignment="1">
      <alignment horizontal="right" vertical="center"/>
    </xf>
    <xf numFmtId="0" fontId="0" fillId="0" borderId="0" xfId="0" applyAlignment="1">
      <alignment vertical="center"/>
    </xf>
    <xf numFmtId="0" fontId="0" fillId="0" borderId="30" xfId="0" applyBorder="1" applyAlignment="1">
      <alignment horizontal="center" vertical="center"/>
    </xf>
    <xf numFmtId="202" fontId="0" fillId="0" borderId="30" xfId="0" applyNumberFormat="1" applyBorder="1"/>
    <xf numFmtId="200" fontId="0" fillId="0" borderId="30" xfId="0" applyNumberFormat="1" applyBorder="1"/>
    <xf numFmtId="0" fontId="0" fillId="0" borderId="0" xfId="0" applyBorder="1" applyAlignment="1">
      <alignment horizontal="center" vertical="center"/>
    </xf>
    <xf numFmtId="200" fontId="0" fillId="0" borderId="31" xfId="0" applyNumberFormat="1" applyBorder="1" applyAlignment="1">
      <alignment horizontal="right" vertical="center"/>
    </xf>
    <xf numFmtId="200" fontId="0" fillId="0" borderId="30" xfId="0" applyNumberFormat="1" applyBorder="1" applyAlignment="1">
      <alignment horizontal="right" vertical="center"/>
    </xf>
    <xf numFmtId="200" fontId="0" fillId="0" borderId="31" xfId="0" applyNumberFormat="1" applyBorder="1" applyAlignment="1">
      <alignment horizontal="right"/>
    </xf>
    <xf numFmtId="200" fontId="0" fillId="0" borderId="30" xfId="0" applyNumberFormat="1" applyBorder="1" applyAlignment="1">
      <alignment horizontal="right"/>
    </xf>
    <xf numFmtId="0" fontId="0" fillId="0" borderId="31" xfId="0" applyBorder="1" applyAlignment="1">
      <alignment horizontal="right" vertical="center"/>
    </xf>
    <xf numFmtId="0" fontId="0" fillId="0" borderId="30" xfId="0" applyBorder="1" applyAlignment="1">
      <alignment horizontal="right" vertical="center"/>
    </xf>
    <xf numFmtId="0" fontId="0" fillId="0" borderId="18" xfId="0" applyBorder="1" applyAlignment="1">
      <alignment horizontal="center" vertical="center"/>
    </xf>
    <xf numFmtId="202" fontId="0" fillId="0" borderId="32" xfId="0" applyNumberFormat="1" applyBorder="1" applyAlignment="1">
      <alignment horizontal="right" vertical="center"/>
    </xf>
    <xf numFmtId="0" fontId="0" fillId="0" borderId="33" xfId="0" applyBorder="1" applyAlignment="1">
      <alignment horizontal="right" vertical="center"/>
    </xf>
    <xf numFmtId="0" fontId="0" fillId="0" borderId="32" xfId="0" applyBorder="1" applyAlignment="1">
      <alignment horizontal="right" vertical="center"/>
    </xf>
    <xf numFmtId="202" fontId="0" fillId="0" borderId="29" xfId="0" applyNumberFormat="1" applyBorder="1"/>
    <xf numFmtId="202" fontId="0" fillId="0" borderId="30" xfId="0" applyNumberFormat="1" applyBorder="1" applyAlignment="1">
      <alignment horizontal="right" vertical="center"/>
    </xf>
    <xf numFmtId="200" fontId="0" fillId="0" borderId="34" xfId="0" applyNumberFormat="1" applyBorder="1" applyAlignment="1">
      <alignment horizontal="right"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202" fontId="0" fillId="0" borderId="32" xfId="0" applyNumberFormat="1" applyBorder="1"/>
    <xf numFmtId="200" fontId="0" fillId="0" borderId="32" xfId="0" applyNumberFormat="1" applyBorder="1" applyAlignment="1">
      <alignment horizontal="right" vertical="center"/>
    </xf>
    <xf numFmtId="200" fontId="0" fillId="0" borderId="32" xfId="0" applyNumberFormat="1" applyBorder="1"/>
    <xf numFmtId="200" fontId="0" fillId="0" borderId="30" xfId="0" applyNumberFormat="1" applyBorder="1" applyAlignment="1"/>
    <xf numFmtId="0" fontId="0" fillId="0" borderId="29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200" fontId="0" fillId="0" borderId="31" xfId="106" applyNumberFormat="1" applyFont="1" applyFill="1" applyBorder="1" applyAlignment="1">
      <alignment horizontal="right" vertical="center"/>
    </xf>
    <xf numFmtId="200" fontId="0" fillId="0" borderId="30" xfId="106" applyNumberFormat="1" applyFont="1" applyFill="1" applyBorder="1" applyAlignment="1">
      <alignment horizontal="right" vertical="center"/>
    </xf>
    <xf numFmtId="199" fontId="0" fillId="0" borderId="31" xfId="0" applyNumberFormat="1" applyFont="1" applyFill="1" applyBorder="1" applyAlignment="1">
      <alignment horizontal="right" vertical="center"/>
    </xf>
    <xf numFmtId="202" fontId="0" fillId="0" borderId="30" xfId="0" applyNumberFormat="1" applyFill="1" applyBorder="1" applyAlignment="1"/>
    <xf numFmtId="200" fontId="0" fillId="0" borderId="0" xfId="0" applyNumberFormat="1" applyFill="1" applyBorder="1" applyAlignment="1"/>
    <xf numFmtId="0" fontId="0" fillId="0" borderId="29" xfId="0" applyBorder="1" applyAlignment="1">
      <alignment horizontal="right" vertical="center"/>
    </xf>
    <xf numFmtId="202" fontId="0" fillId="0" borderId="40" xfId="0" applyNumberFormat="1" applyBorder="1" applyAlignment="1">
      <alignment horizontal="right" vertical="center"/>
    </xf>
    <xf numFmtId="0" fontId="0" fillId="0" borderId="40" xfId="0" applyBorder="1" applyAlignment="1">
      <alignment horizontal="right" vertical="center"/>
    </xf>
    <xf numFmtId="202" fontId="0" fillId="0" borderId="34" xfId="0" applyNumberFormat="1" applyBorder="1" applyAlignment="1">
      <alignment horizontal="right" vertical="center"/>
    </xf>
    <xf numFmtId="0" fontId="0" fillId="0" borderId="34" xfId="0" applyBorder="1" applyAlignment="1">
      <alignment horizontal="right" vertical="center"/>
    </xf>
    <xf numFmtId="200" fontId="0" fillId="0" borderId="31" xfId="0" applyNumberFormat="1" applyBorder="1"/>
    <xf numFmtId="200" fontId="0" fillId="0" borderId="33" xfId="0" applyNumberFormat="1" applyBorder="1" applyAlignment="1">
      <alignment horizontal="right" vertical="center"/>
    </xf>
    <xf numFmtId="0" fontId="11" fillId="0" borderId="14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/>
    </xf>
    <xf numFmtId="0" fontId="0" fillId="0" borderId="15" xfId="0" applyBorder="1"/>
    <xf numFmtId="0" fontId="0" fillId="0" borderId="0" xfId="0" applyFont="1" applyBorder="1" applyAlignment="1">
      <alignment horizontal="right" vertical="center"/>
    </xf>
    <xf numFmtId="200" fontId="0" fillId="0" borderId="20" xfId="0" applyNumberFormat="1" applyBorder="1"/>
    <xf numFmtId="200" fontId="0" fillId="0" borderId="20" xfId="0" applyNumberFormat="1" applyFill="1" applyBorder="1"/>
    <xf numFmtId="0" fontId="5" fillId="0" borderId="0" xfId="0" applyFont="1" applyBorder="1" applyAlignment="1">
      <alignment horizontal="center"/>
    </xf>
    <xf numFmtId="200" fontId="0" fillId="0" borderId="0" xfId="0" applyNumberFormat="1"/>
    <xf numFmtId="0" fontId="5" fillId="0" borderId="0" xfId="0" applyNumberFormat="1" applyFont="1" applyBorder="1" applyAlignment="1">
      <alignment horizontal="center"/>
    </xf>
    <xf numFmtId="0" fontId="5" fillId="0" borderId="15" xfId="0" applyNumberFormat="1" applyFont="1" applyBorder="1" applyAlignment="1">
      <alignment horizontal="center"/>
    </xf>
    <xf numFmtId="0" fontId="0" fillId="0" borderId="0" xfId="2457" applyFont="1" applyFill="1">
      <alignment vertical="center"/>
    </xf>
    <xf numFmtId="0" fontId="99" fillId="0" borderId="0" xfId="2457" applyFill="1" applyAlignment="1">
      <alignment horizontal="center" vertical="center"/>
    </xf>
    <xf numFmtId="0" fontId="99" fillId="0" borderId="0" xfId="2457" applyFill="1" applyBorder="1">
      <alignment vertical="center"/>
    </xf>
    <xf numFmtId="0" fontId="99" fillId="0" borderId="0" xfId="2457" applyFill="1">
      <alignment vertical="center"/>
    </xf>
    <xf numFmtId="0" fontId="3" fillId="0" borderId="0" xfId="2457" applyFont="1" applyFill="1" applyBorder="1" applyAlignment="1">
      <alignment horizontal="center" vertical="center"/>
    </xf>
    <xf numFmtId="0" fontId="0" fillId="0" borderId="13" xfId="2457" applyFont="1" applyFill="1" applyBorder="1" applyAlignment="1">
      <alignment horizontal="center" vertical="center" wrapText="1"/>
    </xf>
    <xf numFmtId="0" fontId="0" fillId="0" borderId="0" xfId="2457" applyFont="1" applyFill="1" applyAlignment="1">
      <alignment horizontal="center" vertical="center"/>
    </xf>
    <xf numFmtId="200" fontId="0" fillId="0" borderId="20" xfId="2457" applyNumberFormat="1" applyFont="1" applyFill="1" applyBorder="1" applyAlignment="1" applyProtection="1">
      <alignment horizontal="right" vertical="center"/>
    </xf>
    <xf numFmtId="204" fontId="0" fillId="0" borderId="20" xfId="2457" applyNumberFormat="1" applyFont="1" applyFill="1" applyBorder="1" applyAlignment="1" applyProtection="1">
      <alignment horizontal="right" vertical="center"/>
    </xf>
    <xf numFmtId="200" fontId="0" fillId="0" borderId="23" xfId="106" applyNumberFormat="1" applyFont="1" applyFill="1" applyBorder="1" applyAlignment="1">
      <alignment horizontal="right" vertical="center"/>
    </xf>
    <xf numFmtId="200" fontId="0" fillId="0" borderId="23" xfId="2457" applyNumberFormat="1" applyFont="1" applyFill="1" applyBorder="1" applyAlignment="1" applyProtection="1">
      <alignment horizontal="right" vertical="center"/>
    </xf>
    <xf numFmtId="204" fontId="0" fillId="0" borderId="23" xfId="2457" applyNumberFormat="1" applyFont="1" applyFill="1" applyBorder="1" applyAlignment="1" applyProtection="1">
      <alignment horizontal="right" vertical="center"/>
    </xf>
    <xf numFmtId="0" fontId="99" fillId="0" borderId="0" xfId="2457" applyFill="1" applyBorder="1" applyAlignment="1">
      <alignment horizontal="center" vertical="center"/>
    </xf>
    <xf numFmtId="0" fontId="12" fillId="0" borderId="0" xfId="0" applyFont="1" applyAlignment="1">
      <alignment horizontal="right"/>
    </xf>
    <xf numFmtId="0" fontId="13" fillId="0" borderId="0" xfId="0" applyFont="1"/>
    <xf numFmtId="202" fontId="99" fillId="0" borderId="0" xfId="2457" applyNumberFormat="1" applyFill="1" applyAlignment="1">
      <alignment horizontal="center" vertical="center"/>
    </xf>
    <xf numFmtId="0" fontId="14" fillId="0" borderId="0" xfId="2457" applyFont="1" applyBorder="1" applyAlignment="1">
      <alignment horizontal="right" vertical="center" wrapText="1"/>
    </xf>
    <xf numFmtId="0" fontId="99" fillId="0" borderId="0" xfId="254">
      <alignment vertical="center"/>
    </xf>
    <xf numFmtId="200" fontId="99" fillId="0" borderId="0" xfId="2457" applyNumberFormat="1" applyFill="1" applyAlignment="1">
      <alignment horizontal="center" vertical="center"/>
    </xf>
    <xf numFmtId="200" fontId="15" fillId="0" borderId="0" xfId="106" applyNumberFormat="1" applyFont="1" applyFill="1" applyBorder="1" applyAlignment="1">
      <alignment horizontal="right" vertical="center"/>
    </xf>
    <xf numFmtId="200" fontId="99" fillId="0" borderId="0" xfId="2457" applyNumberFormat="1" applyFill="1">
      <alignment vertical="center"/>
    </xf>
    <xf numFmtId="0" fontId="14" fillId="0" borderId="0" xfId="2457" applyFont="1" applyAlignment="1">
      <alignment horizontal="right" vertical="center" wrapText="1"/>
    </xf>
    <xf numFmtId="0" fontId="0" fillId="0" borderId="41" xfId="2457" applyFont="1" applyFill="1" applyBorder="1" applyAlignment="1" applyProtection="1">
      <alignment horizontal="center" vertical="center"/>
    </xf>
    <xf numFmtId="206" fontId="0" fillId="0" borderId="42" xfId="106" applyNumberFormat="1" applyFont="1" applyFill="1" applyBorder="1" applyAlignment="1">
      <alignment horizontal="right" vertical="center"/>
    </xf>
    <xf numFmtId="201" fontId="0" fillId="0" borderId="0" xfId="106" applyNumberFormat="1" applyFont="1" applyFill="1" applyBorder="1" applyAlignment="1">
      <alignment horizontal="right" vertical="center"/>
    </xf>
    <xf numFmtId="200" fontId="0" fillId="0" borderId="0" xfId="2457" applyNumberFormat="1" applyFont="1" applyFill="1" applyBorder="1" applyAlignment="1" applyProtection="1">
      <alignment horizontal="right" vertical="center"/>
    </xf>
    <xf numFmtId="0" fontId="0" fillId="0" borderId="43" xfId="2457" applyFont="1" applyFill="1" applyBorder="1" applyAlignment="1" applyProtection="1">
      <alignment horizontal="center" vertical="center"/>
    </xf>
    <xf numFmtId="206" fontId="0" fillId="0" borderId="44" xfId="106" applyNumberFormat="1" applyFont="1" applyFill="1" applyBorder="1" applyAlignment="1">
      <alignment horizontal="right" vertical="center"/>
    </xf>
    <xf numFmtId="0" fontId="5" fillId="0" borderId="45" xfId="2457" applyFont="1" applyFill="1" applyBorder="1" applyAlignment="1">
      <alignment horizontal="center" vertical="center"/>
    </xf>
    <xf numFmtId="0" fontId="0" fillId="0" borderId="12" xfId="2457" applyFont="1" applyFill="1" applyBorder="1" applyAlignment="1">
      <alignment horizontal="center" vertical="center" wrapText="1"/>
    </xf>
    <xf numFmtId="0" fontId="0" fillId="0" borderId="37" xfId="2457" applyFont="1" applyFill="1" applyBorder="1" applyAlignment="1">
      <alignment horizontal="center" vertical="center" wrapText="1"/>
    </xf>
    <xf numFmtId="201" fontId="0" fillId="0" borderId="35" xfId="106" applyNumberFormat="1" applyFont="1" applyFill="1" applyBorder="1" applyAlignment="1">
      <alignment horizontal="right" vertical="center"/>
    </xf>
    <xf numFmtId="204" fontId="0" fillId="0" borderId="46" xfId="2457" applyNumberFormat="1" applyFont="1" applyFill="1" applyBorder="1" applyAlignment="1" applyProtection="1">
      <alignment horizontal="right" vertical="center"/>
    </xf>
    <xf numFmtId="204" fontId="0" fillId="0" borderId="47" xfId="2457" applyNumberFormat="1" applyFont="1" applyFill="1" applyBorder="1" applyAlignment="1" applyProtection="1">
      <alignment horizontal="right" vertical="center"/>
    </xf>
    <xf numFmtId="200" fontId="0" fillId="0" borderId="20" xfId="2457" applyNumberFormat="1" applyFont="1" applyFill="1" applyBorder="1" applyAlignment="1" applyProtection="1">
      <alignment horizontal="center" vertical="center"/>
    </xf>
    <xf numFmtId="206" fontId="0" fillId="0" borderId="15" xfId="106" applyNumberFormat="1" applyFont="1" applyFill="1" applyBorder="1" applyAlignment="1">
      <alignment horizontal="right" vertical="center"/>
    </xf>
    <xf numFmtId="206" fontId="0" fillId="0" borderId="22" xfId="106" applyNumberFormat="1" applyFont="1" applyFill="1" applyBorder="1" applyAlignment="1">
      <alignment horizontal="right" vertical="center"/>
    </xf>
    <xf numFmtId="0" fontId="4" fillId="0" borderId="0" xfId="0" applyFont="1" applyFill="1"/>
    <xf numFmtId="0" fontId="0" fillId="0" borderId="0" xfId="0" applyFont="1" applyFill="1"/>
    <xf numFmtId="0" fontId="0" fillId="0" borderId="0" xfId="0" applyFont="1" applyFill="1" applyBorder="1" applyAlignment="1"/>
    <xf numFmtId="0" fontId="0" fillId="0" borderId="0" xfId="0" applyFont="1" applyFill="1" applyBorder="1" applyAlignment="1">
      <alignment horizontal="center" vertical="center"/>
    </xf>
    <xf numFmtId="206" fontId="0" fillId="0" borderId="15" xfId="106" applyNumberFormat="1" applyFont="1" applyFill="1" applyBorder="1" applyAlignment="1">
      <alignment horizontal="center" vertical="center"/>
    </xf>
    <xf numFmtId="0" fontId="0" fillId="0" borderId="18" xfId="0" applyFont="1" applyFill="1" applyBorder="1" applyAlignment="1">
      <alignment horizontal="center" vertical="center"/>
    </xf>
    <xf numFmtId="0" fontId="0" fillId="0" borderId="20" xfId="0" applyFont="1" applyFill="1" applyBorder="1" applyAlignment="1">
      <alignment horizontal="center" vertical="center"/>
    </xf>
    <xf numFmtId="0" fontId="0" fillId="0" borderId="26" xfId="0" applyFont="1" applyFill="1" applyBorder="1" applyAlignment="1">
      <alignment horizontal="center" vertical="center"/>
    </xf>
    <xf numFmtId="0" fontId="4" fillId="0" borderId="0" xfId="0" applyFont="1" applyFill="1" applyBorder="1"/>
    <xf numFmtId="0" fontId="9" fillId="0" borderId="0" xfId="0" applyFont="1" applyFill="1" applyAlignment="1">
      <alignment vertical="center"/>
    </xf>
    <xf numFmtId="0" fontId="0" fillId="0" borderId="0" xfId="0" applyAlignment="1"/>
    <xf numFmtId="0" fontId="11" fillId="0" borderId="13" xfId="0" applyFont="1" applyFill="1" applyBorder="1" applyAlignment="1">
      <alignment horizontal="center" vertical="center" wrapText="1"/>
    </xf>
    <xf numFmtId="0" fontId="17" fillId="0" borderId="30" xfId="0" applyFont="1" applyBorder="1" applyAlignment="1">
      <alignment vertical="center"/>
    </xf>
    <xf numFmtId="0" fontId="0" fillId="0" borderId="30" xfId="0" applyFont="1" applyBorder="1" applyAlignment="1">
      <alignment vertical="center"/>
    </xf>
    <xf numFmtId="202" fontId="0" fillId="0" borderId="30" xfId="0" applyNumberFormat="1" applyFill="1" applyBorder="1"/>
    <xf numFmtId="200" fontId="0" fillId="0" borderId="30" xfId="0" applyNumberFormat="1" applyFill="1" applyBorder="1"/>
    <xf numFmtId="0" fontId="0" fillId="0" borderId="30" xfId="0" applyFont="1" applyBorder="1" applyAlignment="1">
      <alignment vertical="center" wrapText="1"/>
    </xf>
    <xf numFmtId="0" fontId="0" fillId="0" borderId="30" xfId="0" applyFont="1" applyBorder="1" applyAlignment="1">
      <alignment horizontal="left" vertical="center" wrapText="1"/>
    </xf>
    <xf numFmtId="0" fontId="0" fillId="0" borderId="30" xfId="0" applyFont="1" applyFill="1" applyBorder="1" applyAlignment="1">
      <alignment vertical="center" wrapText="1"/>
    </xf>
    <xf numFmtId="0" fontId="0" fillId="0" borderId="32" xfId="0" applyFont="1" applyFill="1" applyBorder="1" applyAlignment="1">
      <alignment vertical="center" wrapText="1"/>
    </xf>
    <xf numFmtId="202" fontId="0" fillId="0" borderId="32" xfId="0" applyNumberFormat="1" applyFill="1" applyBorder="1"/>
    <xf numFmtId="200" fontId="0" fillId="0" borderId="32" xfId="0" applyNumberFormat="1" applyFill="1" applyBorder="1"/>
    <xf numFmtId="0" fontId="11" fillId="0" borderId="30" xfId="0" applyFont="1" applyBorder="1" applyAlignment="1"/>
    <xf numFmtId="200" fontId="0" fillId="0" borderId="30" xfId="0" applyNumberFormat="1" applyFont="1" applyFill="1" applyBorder="1" applyAlignment="1">
      <alignment horizontal="right" vertical="center"/>
    </xf>
    <xf numFmtId="200" fontId="0" fillId="0" borderId="32" xfId="0" applyNumberFormat="1" applyFont="1" applyFill="1" applyBorder="1" applyAlignment="1">
      <alignment horizontal="right" vertical="center"/>
    </xf>
    <xf numFmtId="0" fontId="17" fillId="0" borderId="31" xfId="0" applyFont="1" applyBorder="1" applyAlignment="1">
      <alignment vertical="center"/>
    </xf>
    <xf numFmtId="0" fontId="18" fillId="0" borderId="30" xfId="0" applyFont="1" applyBorder="1" applyAlignment="1">
      <alignment vertical="center"/>
    </xf>
    <xf numFmtId="0" fontId="0" fillId="0" borderId="31" xfId="0" applyFont="1" applyBorder="1" applyAlignment="1">
      <alignment vertical="center"/>
    </xf>
    <xf numFmtId="202" fontId="0" fillId="0" borderId="30" xfId="1822" applyNumberFormat="1" applyFont="1" applyFill="1" applyBorder="1"/>
    <xf numFmtId="200" fontId="0" fillId="0" borderId="30" xfId="1822" applyNumberFormat="1" applyFont="1" applyFill="1" applyBorder="1"/>
    <xf numFmtId="200" fontId="0" fillId="0" borderId="30" xfId="0" applyNumberFormat="1" applyFill="1" applyBorder="1" applyAlignment="1"/>
    <xf numFmtId="0" fontId="0" fillId="0" borderId="31" xfId="0" applyFont="1" applyBorder="1" applyAlignment="1">
      <alignment vertical="center" wrapText="1"/>
    </xf>
    <xf numFmtId="0" fontId="0" fillId="0" borderId="31" xfId="0" applyFont="1" applyBorder="1" applyAlignment="1">
      <alignment horizontal="left" vertical="center" wrapText="1"/>
    </xf>
    <xf numFmtId="0" fontId="0" fillId="0" borderId="31" xfId="0" applyFont="1" applyFill="1" applyBorder="1" applyAlignment="1">
      <alignment vertical="center" wrapText="1"/>
    </xf>
    <xf numFmtId="0" fontId="0" fillId="0" borderId="33" xfId="0" applyFont="1" applyFill="1" applyBorder="1" applyAlignment="1">
      <alignment vertical="center" wrapText="1"/>
    </xf>
    <xf numFmtId="202" fontId="0" fillId="0" borderId="32" xfId="1822" applyNumberFormat="1" applyFont="1" applyFill="1" applyBorder="1"/>
    <xf numFmtId="200" fontId="0" fillId="0" borderId="32" xfId="1822" applyNumberFormat="1" applyFont="1" applyFill="1" applyBorder="1"/>
    <xf numFmtId="202" fontId="0" fillId="0" borderId="32" xfId="0" applyNumberFormat="1" applyFill="1" applyBorder="1" applyAlignment="1"/>
    <xf numFmtId="200" fontId="0" fillId="0" borderId="32" xfId="0" applyNumberFormat="1" applyFill="1" applyBorder="1" applyAlignment="1"/>
    <xf numFmtId="0" fontId="0" fillId="0" borderId="30" xfId="0" applyBorder="1" applyAlignment="1"/>
    <xf numFmtId="202" fontId="99" fillId="0" borderId="30" xfId="644" applyNumberFormat="1" applyBorder="1"/>
    <xf numFmtId="200" fontId="0" fillId="0" borderId="30" xfId="644" applyNumberFormat="1" applyFont="1" applyFill="1" applyBorder="1" applyAlignment="1">
      <alignment horizontal="right" vertical="center"/>
    </xf>
    <xf numFmtId="202" fontId="99" fillId="0" borderId="32" xfId="644" applyNumberFormat="1" applyBorder="1"/>
    <xf numFmtId="200" fontId="0" fillId="0" borderId="32" xfId="644" applyNumberFormat="1" applyFont="1" applyFill="1" applyBorder="1" applyAlignment="1">
      <alignment horizontal="right" vertical="center"/>
    </xf>
    <xf numFmtId="0" fontId="11" fillId="0" borderId="35" xfId="0" applyFont="1" applyFill="1" applyBorder="1" applyAlignment="1">
      <alignment horizontal="center" vertical="center" wrapText="1"/>
    </xf>
    <xf numFmtId="0" fontId="17" fillId="0" borderId="36" xfId="0" applyFont="1" applyBorder="1" applyAlignment="1">
      <alignment vertical="center"/>
    </xf>
    <xf numFmtId="200" fontId="0" fillId="0" borderId="30" xfId="0" applyNumberFormat="1" applyFont="1" applyBorder="1" applyAlignment="1">
      <alignment horizontal="right" vertical="center"/>
    </xf>
    <xf numFmtId="200" fontId="0" fillId="0" borderId="32" xfId="0" applyNumberFormat="1" applyFont="1" applyBorder="1" applyAlignment="1">
      <alignment horizontal="right" vertical="center"/>
    </xf>
    <xf numFmtId="0" fontId="11" fillId="0" borderId="31" xfId="0" applyFont="1" applyBorder="1" applyAlignment="1"/>
    <xf numFmtId="0" fontId="0" fillId="0" borderId="36" xfId="0" applyBorder="1"/>
    <xf numFmtId="0" fontId="0" fillId="0" borderId="36" xfId="0" applyFont="1" applyBorder="1"/>
    <xf numFmtId="0" fontId="0" fillId="0" borderId="48" xfId="0" applyFont="1" applyFill="1" applyBorder="1" applyAlignment="1">
      <alignment vertical="center" wrapText="1"/>
    </xf>
    <xf numFmtId="0" fontId="11" fillId="0" borderId="30" xfId="0" applyFont="1" applyFill="1" applyBorder="1" applyAlignment="1"/>
    <xf numFmtId="0" fontId="18" fillId="0" borderId="30" xfId="0" applyFont="1" applyFill="1" applyBorder="1" applyAlignment="1">
      <alignment vertical="center"/>
    </xf>
    <xf numFmtId="0" fontId="0" fillId="0" borderId="30" xfId="0" applyFont="1" applyFill="1" applyBorder="1" applyAlignment="1">
      <alignment vertical="center"/>
    </xf>
    <xf numFmtId="202" fontId="0" fillId="0" borderId="30" xfId="831" applyNumberFormat="1" applyFont="1" applyFill="1" applyBorder="1"/>
    <xf numFmtId="200" fontId="0" fillId="0" borderId="30" xfId="831" applyNumberFormat="1" applyFont="1" applyFill="1" applyBorder="1" applyAlignment="1">
      <alignment horizontal="right" vertical="center"/>
    </xf>
    <xf numFmtId="0" fontId="0" fillId="0" borderId="30" xfId="0" applyFont="1" applyFill="1" applyBorder="1" applyAlignment="1">
      <alignment horizontal="left" vertical="center" wrapText="1"/>
    </xf>
    <xf numFmtId="202" fontId="0" fillId="0" borderId="32" xfId="831" applyNumberFormat="1" applyFont="1" applyFill="1" applyBorder="1"/>
    <xf numFmtId="202" fontId="0" fillId="0" borderId="30" xfId="0" applyNumberFormat="1" applyFont="1" applyFill="1" applyBorder="1" applyAlignment="1"/>
    <xf numFmtId="202" fontId="0" fillId="0" borderId="30" xfId="831" applyNumberFormat="1" applyFont="1" applyBorder="1"/>
    <xf numFmtId="200" fontId="0" fillId="0" borderId="30" xfId="831" applyNumberFormat="1" applyFont="1" applyBorder="1" applyAlignment="1">
      <alignment horizontal="right" vertical="center"/>
    </xf>
    <xf numFmtId="202" fontId="0" fillId="0" borderId="34" xfId="0" applyNumberFormat="1" applyFont="1" applyFill="1" applyBorder="1" applyAlignment="1"/>
    <xf numFmtId="200" fontId="0" fillId="0" borderId="34" xfId="0" applyNumberFormat="1" applyFont="1" applyFill="1" applyBorder="1" applyAlignment="1">
      <alignment horizontal="right" vertical="center"/>
    </xf>
    <xf numFmtId="202" fontId="0" fillId="0" borderId="34" xfId="831" applyNumberFormat="1" applyFont="1" applyBorder="1"/>
    <xf numFmtId="200" fontId="0" fillId="0" borderId="34" xfId="831" applyNumberFormat="1" applyFont="1" applyBorder="1" applyAlignment="1">
      <alignment horizontal="right" vertical="center"/>
    </xf>
    <xf numFmtId="200" fontId="0" fillId="0" borderId="30" xfId="0" applyNumberFormat="1" applyFont="1" applyFill="1" applyBorder="1" applyAlignment="1"/>
    <xf numFmtId="202" fontId="0" fillId="0" borderId="32" xfId="0" applyNumberFormat="1" applyFont="1" applyFill="1" applyBorder="1" applyAlignment="1"/>
    <xf numFmtId="202" fontId="0" fillId="0" borderId="15" xfId="0" applyNumberFormat="1" applyFont="1" applyFill="1" applyBorder="1" applyAlignment="1"/>
    <xf numFmtId="200" fontId="0" fillId="0" borderId="0" xfId="0" applyNumberFormat="1" applyFont="1" applyFill="1" applyBorder="1" applyAlignment="1">
      <alignment vertical="center"/>
    </xf>
    <xf numFmtId="200" fontId="0" fillId="0" borderId="30" xfId="0" applyNumberFormat="1" applyBorder="1" applyAlignment="1">
      <alignment vertical="center"/>
    </xf>
    <xf numFmtId="0" fontId="0" fillId="0" borderId="34" xfId="0" applyFont="1" applyFill="1" applyBorder="1" applyAlignment="1">
      <alignment vertical="center" wrapText="1"/>
    </xf>
    <xf numFmtId="202" fontId="0" fillId="0" borderId="34" xfId="0" applyNumberFormat="1" applyBorder="1"/>
    <xf numFmtId="200" fontId="0" fillId="0" borderId="34" xfId="0" applyNumberFormat="1" applyBorder="1" applyAlignment="1">
      <alignment vertical="center"/>
    </xf>
    <xf numFmtId="0" fontId="0" fillId="0" borderId="0" xfId="0" applyFill="1"/>
    <xf numFmtId="0" fontId="0" fillId="0" borderId="49" xfId="0" applyFont="1" applyFill="1" applyBorder="1" applyAlignment="1">
      <alignment horizontal="center" vertical="center"/>
    </xf>
    <xf numFmtId="0" fontId="11" fillId="0" borderId="51" xfId="0" applyFont="1" applyFill="1" applyBorder="1" applyAlignment="1">
      <alignment horizontal="center" vertical="center"/>
    </xf>
    <xf numFmtId="0" fontId="11" fillId="0" borderId="50" xfId="0" applyFont="1" applyFill="1" applyBorder="1" applyAlignment="1">
      <alignment horizontal="center" vertical="center"/>
    </xf>
    <xf numFmtId="0" fontId="0" fillId="0" borderId="0" xfId="0" applyNumberFormat="1" applyFont="1" applyFill="1" applyAlignment="1">
      <alignment horizontal="right"/>
    </xf>
    <xf numFmtId="0" fontId="0" fillId="0" borderId="20" xfId="0" applyNumberFormat="1" applyFont="1" applyFill="1" applyBorder="1" applyAlignment="1">
      <alignment horizontal="center" vertical="center"/>
    </xf>
    <xf numFmtId="206" fontId="0" fillId="0" borderId="0" xfId="0" applyNumberFormat="1" applyFont="1" applyFill="1"/>
    <xf numFmtId="0" fontId="0" fillId="0" borderId="19" xfId="0" applyFont="1" applyFill="1" applyBorder="1" applyAlignment="1">
      <alignment vertical="center"/>
    </xf>
    <xf numFmtId="202" fontId="20" fillId="0" borderId="15" xfId="0" applyNumberFormat="1" applyFont="1" applyFill="1" applyBorder="1" applyAlignment="1">
      <alignment vertical="center"/>
    </xf>
    <xf numFmtId="200" fontId="20" fillId="0" borderId="15" xfId="0" applyNumberFormat="1" applyFont="1" applyFill="1" applyBorder="1" applyAlignment="1">
      <alignment vertical="center"/>
    </xf>
    <xf numFmtId="202" fontId="0" fillId="0" borderId="0" xfId="0" applyNumberFormat="1" applyFill="1"/>
    <xf numFmtId="0" fontId="0" fillId="0" borderId="19" xfId="0" applyFont="1" applyFill="1" applyBorder="1" applyAlignment="1">
      <alignment vertical="center" wrapText="1"/>
    </xf>
    <xf numFmtId="0" fontId="0" fillId="0" borderId="19" xfId="0" applyFont="1" applyFill="1" applyBorder="1" applyAlignment="1">
      <alignment horizontal="left" vertical="center" wrapText="1"/>
    </xf>
    <xf numFmtId="200" fontId="0" fillId="0" borderId="0" xfId="0" applyNumberFormat="1" applyFont="1" applyFill="1" applyAlignment="1">
      <alignment horizontal="right" vertical="center"/>
    </xf>
    <xf numFmtId="206" fontId="0" fillId="0" borderId="0" xfId="0" applyNumberFormat="1" applyFill="1"/>
    <xf numFmtId="0" fontId="0" fillId="0" borderId="21" xfId="0" applyFont="1" applyFill="1" applyBorder="1" applyAlignment="1">
      <alignment vertical="center" wrapText="1"/>
    </xf>
    <xf numFmtId="201" fontId="0" fillId="0" borderId="22" xfId="0" applyNumberFormat="1" applyFont="1" applyFill="1" applyBorder="1" applyAlignment="1">
      <alignment horizontal="right" vertical="center"/>
    </xf>
    <xf numFmtId="0" fontId="0" fillId="0" borderId="23" xfId="0" applyFont="1" applyFill="1" applyBorder="1" applyAlignment="1">
      <alignment horizontal="center" vertical="center"/>
    </xf>
    <xf numFmtId="0" fontId="0" fillId="0" borderId="49" xfId="0" applyFont="1" applyBorder="1" applyAlignment="1">
      <alignment horizontal="center" vertical="center"/>
    </xf>
    <xf numFmtId="0" fontId="5" fillId="0" borderId="50" xfId="0" applyFont="1" applyBorder="1" applyAlignment="1">
      <alignment horizontal="center" vertical="center"/>
    </xf>
    <xf numFmtId="0" fontId="11" fillId="0" borderId="51" xfId="0" applyFont="1" applyBorder="1" applyAlignment="1">
      <alignment horizontal="center" vertical="center"/>
    </xf>
    <xf numFmtId="0" fontId="11" fillId="0" borderId="50" xfId="0" applyFont="1" applyBorder="1" applyAlignment="1">
      <alignment horizontal="center" vertical="center"/>
    </xf>
    <xf numFmtId="0" fontId="17" fillId="0" borderId="19" xfId="0" applyFont="1" applyFill="1" applyBorder="1" applyAlignment="1">
      <alignment vertical="center" wrapText="1"/>
    </xf>
    <xf numFmtId="206" fontId="0" fillId="0" borderId="0" xfId="0" applyNumberFormat="1"/>
    <xf numFmtId="200" fontId="0" fillId="0" borderId="19" xfId="0" applyNumberFormat="1" applyFont="1" applyFill="1" applyBorder="1" applyAlignment="1">
      <alignment horizontal="right" vertical="center"/>
    </xf>
    <xf numFmtId="200" fontId="0" fillId="0" borderId="15" xfId="0" applyNumberFormat="1" applyFont="1" applyFill="1" applyBorder="1" applyAlignment="1">
      <alignment horizontal="right" vertical="center"/>
    </xf>
    <xf numFmtId="0" fontId="17" fillId="0" borderId="19" xfId="0" applyFont="1" applyFill="1" applyBorder="1" applyAlignment="1">
      <alignment vertical="center"/>
    </xf>
    <xf numFmtId="0" fontId="0" fillId="0" borderId="15" xfId="0" applyFont="1" applyBorder="1" applyAlignment="1">
      <alignment horizontal="right"/>
    </xf>
    <xf numFmtId="0" fontId="0" fillId="0" borderId="20" xfId="0" applyFont="1" applyBorder="1"/>
    <xf numFmtId="0" fontId="0" fillId="0" borderId="19" xfId="0" applyFont="1" applyBorder="1" applyAlignment="1">
      <alignment vertical="center"/>
    </xf>
    <xf numFmtId="200" fontId="21" fillId="0" borderId="20" xfId="0" applyNumberFormat="1" applyFont="1" applyFill="1" applyBorder="1" applyAlignment="1">
      <alignment horizontal="right" vertical="center"/>
    </xf>
    <xf numFmtId="0" fontId="0" fillId="0" borderId="19" xfId="0" applyFont="1" applyBorder="1" applyAlignment="1">
      <alignment vertical="center" wrapText="1"/>
    </xf>
    <xf numFmtId="0" fontId="0" fillId="0" borderId="19" xfId="0" applyFont="1" applyBorder="1" applyAlignment="1">
      <alignment horizontal="left" vertical="center" wrapText="1"/>
    </xf>
    <xf numFmtId="202" fontId="0" fillId="0" borderId="52" xfId="0" applyNumberFormat="1" applyBorder="1"/>
    <xf numFmtId="200" fontId="0" fillId="0" borderId="22" xfId="0" applyNumberFormat="1" applyFont="1" applyFill="1" applyBorder="1" applyAlignment="1">
      <alignment horizontal="right" vertical="center"/>
    </xf>
    <xf numFmtId="0" fontId="17" fillId="0" borderId="0" xfId="0" applyFont="1" applyFill="1" applyAlignment="1">
      <alignment vertical="center"/>
    </xf>
    <xf numFmtId="0" fontId="0" fillId="0" borderId="20" xfId="0" applyFont="1" applyFill="1" applyBorder="1" applyAlignment="1">
      <alignment horizontal="right"/>
    </xf>
    <xf numFmtId="0" fontId="0" fillId="0" borderId="15" xfId="0" applyFont="1" applyFill="1" applyBorder="1" applyAlignment="1">
      <alignment horizontal="right"/>
    </xf>
    <xf numFmtId="0" fontId="0" fillId="0" borderId="20" xfId="0" applyFont="1" applyFill="1" applyBorder="1" applyAlignment="1"/>
    <xf numFmtId="0" fontId="0" fillId="0" borderId="0" xfId="0" applyFont="1" applyFill="1" applyBorder="1" applyAlignment="1">
      <alignment vertical="center"/>
    </xf>
    <xf numFmtId="202" fontId="0" fillId="0" borderId="15" xfId="0" applyNumberFormat="1" applyFill="1" applyBorder="1" applyAlignment="1"/>
    <xf numFmtId="0" fontId="0" fillId="0" borderId="0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horizontal="left" vertical="center" wrapText="1"/>
    </xf>
    <xf numFmtId="0" fontId="0" fillId="0" borderId="0" xfId="0" applyFont="1" applyFill="1" applyAlignment="1">
      <alignment horizontal="right"/>
    </xf>
    <xf numFmtId="0" fontId="0" fillId="0" borderId="18" xfId="0" applyFont="1" applyFill="1" applyBorder="1" applyAlignment="1">
      <alignment vertical="center" wrapText="1"/>
    </xf>
    <xf numFmtId="202" fontId="0" fillId="0" borderId="17" xfId="0" applyNumberFormat="1" applyFill="1" applyBorder="1" applyAlignment="1"/>
    <xf numFmtId="200" fontId="0" fillId="0" borderId="10" xfId="0" applyNumberFormat="1" applyFont="1" applyFill="1" applyBorder="1" applyAlignment="1">
      <alignment horizontal="right" vertical="center"/>
    </xf>
    <xf numFmtId="0" fontId="17" fillId="0" borderId="0" xfId="0" applyFont="1" applyFill="1" applyBorder="1" applyAlignment="1">
      <alignment vertical="center" wrapText="1"/>
    </xf>
    <xf numFmtId="202" fontId="0" fillId="0" borderId="20" xfId="0" applyNumberFormat="1" applyFont="1" applyFill="1" applyBorder="1" applyAlignment="1">
      <alignment horizontal="right"/>
    </xf>
    <xf numFmtId="0" fontId="0" fillId="0" borderId="15" xfId="0" applyFill="1" applyBorder="1" applyAlignment="1"/>
    <xf numFmtId="200" fontId="0" fillId="0" borderId="15" xfId="0" applyNumberFormat="1" applyFill="1" applyBorder="1" applyAlignment="1"/>
    <xf numFmtId="0" fontId="0" fillId="0" borderId="20" xfId="2248" applyFont="1" applyFill="1" applyBorder="1" applyAlignment="1">
      <alignment horizontal="center" vertical="center"/>
    </xf>
    <xf numFmtId="202" fontId="0" fillId="0" borderId="15" xfId="0" applyNumberFormat="1" applyFont="1" applyFill="1" applyBorder="1" applyAlignment="1">
      <alignment horizontal="center"/>
    </xf>
    <xf numFmtId="200" fontId="0" fillId="0" borderId="17" xfId="0" applyNumberFormat="1" applyFill="1" applyBorder="1" applyAlignment="1"/>
    <xf numFmtId="0" fontId="0" fillId="0" borderId="26" xfId="2248" applyFont="1" applyFill="1" applyBorder="1" applyAlignment="1">
      <alignment horizontal="center" vertical="center"/>
    </xf>
    <xf numFmtId="0" fontId="0" fillId="0" borderId="0" xfId="0" applyFont="1" applyBorder="1" applyAlignment="1"/>
    <xf numFmtId="202" fontId="0" fillId="0" borderId="15" xfId="0" applyNumberFormat="1" applyFill="1" applyBorder="1"/>
    <xf numFmtId="200" fontId="0" fillId="0" borderId="15" xfId="0" applyNumberFormat="1" applyFill="1" applyBorder="1"/>
    <xf numFmtId="199" fontId="0" fillId="0" borderId="0" xfId="0" applyNumberFormat="1"/>
    <xf numFmtId="0" fontId="22" fillId="0" borderId="0" xfId="0" applyFont="1" applyBorder="1" applyAlignment="1">
      <alignment horizontal="center" vertical="center"/>
    </xf>
    <xf numFmtId="0" fontId="17" fillId="0" borderId="19" xfId="0" applyFont="1" applyBorder="1" applyAlignment="1">
      <alignment vertical="center"/>
    </xf>
    <xf numFmtId="0" fontId="0" fillId="0" borderId="15" xfId="0" applyFont="1" applyBorder="1"/>
    <xf numFmtId="202" fontId="0" fillId="0" borderId="15" xfId="0" applyNumberFormat="1" applyFont="1" applyFill="1" applyBorder="1" applyAlignment="1">
      <alignment horizontal="right" vertical="center"/>
    </xf>
    <xf numFmtId="0" fontId="17" fillId="0" borderId="19" xfId="0" applyFont="1" applyBorder="1" applyAlignment="1">
      <alignment vertical="center" wrapText="1"/>
    </xf>
    <xf numFmtId="0" fontId="0" fillId="0" borderId="10" xfId="0" applyFont="1" applyFill="1" applyBorder="1" applyAlignment="1">
      <alignment vertical="center" wrapText="1"/>
    </xf>
    <xf numFmtId="202" fontId="0" fillId="0" borderId="17" xfId="0" applyNumberFormat="1" applyFont="1" applyFill="1" applyBorder="1" applyAlignment="1">
      <alignment horizontal="right" vertical="center"/>
    </xf>
    <xf numFmtId="200" fontId="0" fillId="0" borderId="17" xfId="0" applyNumberFormat="1" applyFont="1" applyFill="1" applyBorder="1" applyAlignment="1">
      <alignment horizontal="right" vertical="center"/>
    </xf>
    <xf numFmtId="0" fontId="4" fillId="0" borderId="0" xfId="0" applyFont="1" applyBorder="1"/>
    <xf numFmtId="0" fontId="11" fillId="0" borderId="0" xfId="0" applyFont="1" applyBorder="1" applyAlignment="1">
      <alignment vertical="center" wrapText="1"/>
    </xf>
    <xf numFmtId="0" fontId="0" fillId="0" borderId="0" xfId="0" applyFont="1" applyBorder="1" applyAlignment="1">
      <alignment vertical="center" wrapText="1"/>
    </xf>
    <xf numFmtId="206" fontId="0" fillId="0" borderId="15" xfId="0" applyNumberFormat="1" applyFont="1" applyBorder="1" applyAlignment="1">
      <alignment horizontal="right" vertical="center"/>
    </xf>
    <xf numFmtId="199" fontId="0" fillId="0" borderId="15" xfId="0" applyNumberFormat="1" applyFont="1" applyBorder="1" applyAlignment="1">
      <alignment horizontal="right" vertical="center"/>
    </xf>
    <xf numFmtId="0" fontId="22" fillId="0" borderId="0" xfId="0" applyFont="1" applyFill="1" applyBorder="1" applyAlignment="1">
      <alignment horizontal="center" vertical="center"/>
    </xf>
    <xf numFmtId="0" fontId="17" fillId="0" borderId="19" xfId="3111" applyFont="1" applyFill="1" applyBorder="1" applyAlignment="1">
      <alignment vertical="center" wrapText="1"/>
    </xf>
    <xf numFmtId="206" fontId="0" fillId="0" borderId="15" xfId="0" applyNumberFormat="1" applyFont="1" applyFill="1" applyBorder="1" applyAlignment="1">
      <alignment horizontal="right" vertical="center"/>
    </xf>
    <xf numFmtId="204" fontId="0" fillId="0" borderId="15" xfId="0" applyNumberFormat="1" applyFont="1" applyFill="1" applyBorder="1" applyAlignment="1">
      <alignment horizontal="right" vertical="center"/>
    </xf>
    <xf numFmtId="0" fontId="0" fillId="0" borderId="20" xfId="0" applyFont="1" applyFill="1" applyBorder="1"/>
    <xf numFmtId="0" fontId="0" fillId="0" borderId="15" xfId="0" applyFont="1" applyFill="1" applyBorder="1"/>
    <xf numFmtId="202" fontId="0" fillId="0" borderId="22" xfId="0" applyNumberFormat="1" applyFont="1" applyFill="1" applyBorder="1" applyAlignment="1">
      <alignment horizontal="right" vertical="center"/>
    </xf>
    <xf numFmtId="202" fontId="0" fillId="0" borderId="18" xfId="0" applyNumberFormat="1" applyBorder="1"/>
    <xf numFmtId="0" fontId="11" fillId="0" borderId="0" xfId="0" applyFont="1" applyFill="1" applyBorder="1" applyAlignment="1">
      <alignment vertical="center" wrapText="1"/>
    </xf>
    <xf numFmtId="0" fontId="0" fillId="0" borderId="0" xfId="0" applyFont="1" applyFill="1" applyBorder="1"/>
    <xf numFmtId="0" fontId="0" fillId="0" borderId="51" xfId="0" applyFont="1" applyBorder="1" applyAlignment="1">
      <alignment horizontal="center" vertical="center"/>
    </xf>
    <xf numFmtId="0" fontId="0" fillId="0" borderId="50" xfId="0" applyFont="1" applyBorder="1" applyAlignment="1">
      <alignment horizontal="center" vertical="center"/>
    </xf>
    <xf numFmtId="0" fontId="18" fillId="0" borderId="19" xfId="0" applyFont="1" applyBorder="1" applyAlignment="1">
      <alignment vertical="center" wrapText="1"/>
    </xf>
    <xf numFmtId="207" fontId="0" fillId="0" borderId="15" xfId="0" applyNumberFormat="1" applyFont="1" applyFill="1" applyBorder="1" applyAlignment="1">
      <alignment horizontal="right" vertical="center"/>
    </xf>
    <xf numFmtId="201" fontId="0" fillId="0" borderId="20" xfId="0" applyNumberFormat="1" applyFont="1" applyFill="1" applyBorder="1" applyAlignment="1">
      <alignment horizontal="center" vertical="center"/>
    </xf>
    <xf numFmtId="0" fontId="0" fillId="0" borderId="0" xfId="0" applyNumberFormat="1" applyFont="1" applyFill="1" applyBorder="1" applyAlignment="1">
      <alignment vertical="center" wrapText="1"/>
    </xf>
    <xf numFmtId="0" fontId="18" fillId="0" borderId="19" xfId="0" applyFont="1" applyBorder="1" applyAlignment="1">
      <alignment vertical="center"/>
    </xf>
    <xf numFmtId="201" fontId="0" fillId="0" borderId="17" xfId="0" applyNumberFormat="1" applyFont="1" applyFill="1" applyBorder="1" applyAlignment="1">
      <alignment horizontal="right" vertical="center"/>
    </xf>
    <xf numFmtId="0" fontId="0" fillId="0" borderId="26" xfId="0" applyNumberFormat="1" applyFont="1" applyFill="1" applyBorder="1" applyAlignment="1">
      <alignment horizontal="center" vertical="center"/>
    </xf>
    <xf numFmtId="0" fontId="0" fillId="0" borderId="53" xfId="0" applyFont="1" applyBorder="1" applyAlignment="1">
      <alignment horizontal="center" vertical="center"/>
    </xf>
    <xf numFmtId="0" fontId="0" fillId="0" borderId="55" xfId="0" applyFont="1" applyBorder="1" applyAlignment="1">
      <alignment horizontal="center" vertical="center"/>
    </xf>
    <xf numFmtId="0" fontId="17" fillId="0" borderId="0" xfId="0" applyFont="1" applyBorder="1" applyAlignment="1">
      <alignment vertical="center" wrapText="1"/>
    </xf>
    <xf numFmtId="0" fontId="17" fillId="0" borderId="20" xfId="0" applyFont="1" applyBorder="1" applyAlignment="1">
      <alignment vertical="center" wrapText="1"/>
    </xf>
    <xf numFmtId="0" fontId="0" fillId="0" borderId="0" xfId="0" applyFont="1" applyBorder="1" applyAlignment="1">
      <alignment vertical="center"/>
    </xf>
    <xf numFmtId="202" fontId="0" fillId="0" borderId="31" xfId="0" applyNumberFormat="1" applyBorder="1"/>
    <xf numFmtId="0" fontId="0" fillId="0" borderId="0" xfId="0" applyFont="1" applyBorder="1" applyAlignment="1">
      <alignment horizontal="left" vertical="center" wrapText="1"/>
    </xf>
    <xf numFmtId="0" fontId="17" fillId="0" borderId="0" xfId="0" applyFont="1" applyBorder="1" applyAlignment="1">
      <alignment vertical="center"/>
    </xf>
    <xf numFmtId="202" fontId="0" fillId="0" borderId="48" xfId="0" applyNumberFormat="1" applyBorder="1"/>
    <xf numFmtId="200" fontId="0" fillId="0" borderId="26" xfId="0" applyNumberFormat="1" applyFont="1" applyBorder="1" applyAlignment="1">
      <alignment horizontal="right" vertical="center"/>
    </xf>
    <xf numFmtId="199" fontId="0" fillId="0" borderId="0" xfId="0" applyNumberFormat="1" applyFill="1"/>
    <xf numFmtId="0" fontId="17" fillId="0" borderId="0" xfId="0" applyFont="1" applyFill="1" applyBorder="1" applyAlignment="1">
      <alignment vertical="center"/>
    </xf>
    <xf numFmtId="0" fontId="0" fillId="0" borderId="31" xfId="821" applyFont="1" applyFill="1" applyBorder="1" applyAlignment="1">
      <alignment horizontal="center" vertical="center"/>
    </xf>
    <xf numFmtId="0" fontId="0" fillId="0" borderId="30" xfId="0" applyNumberFormat="1" applyFont="1" applyFill="1" applyBorder="1" applyAlignment="1">
      <alignment horizontal="center" vertical="center"/>
    </xf>
    <xf numFmtId="0" fontId="0" fillId="0" borderId="31" xfId="0" applyNumberFormat="1" applyFont="1" applyFill="1" applyBorder="1" applyAlignment="1">
      <alignment horizontal="center" vertical="center"/>
    </xf>
    <xf numFmtId="0" fontId="0" fillId="0" borderId="18" xfId="0" applyFill="1" applyBorder="1" applyAlignment="1">
      <alignment vertical="center" wrapText="1"/>
    </xf>
    <xf numFmtId="202" fontId="0" fillId="0" borderId="34" xfId="0" applyNumberFormat="1" applyFill="1" applyBorder="1"/>
    <xf numFmtId="0" fontId="0" fillId="0" borderId="34" xfId="0" applyNumberFormat="1" applyFont="1" applyFill="1" applyBorder="1" applyAlignment="1">
      <alignment horizontal="center" vertical="center"/>
    </xf>
    <xf numFmtId="0" fontId="0" fillId="0" borderId="48" xfId="0" applyNumberFormat="1" applyFont="1" applyFill="1" applyBorder="1" applyAlignment="1">
      <alignment horizontal="center" vertical="center"/>
    </xf>
    <xf numFmtId="0" fontId="18" fillId="0" borderId="0" xfId="0" applyFont="1" applyBorder="1" applyAlignment="1">
      <alignment vertical="center" wrapText="1"/>
    </xf>
    <xf numFmtId="206" fontId="0" fillId="0" borderId="30" xfId="0" applyNumberFormat="1" applyFont="1" applyFill="1" applyBorder="1" applyAlignment="1">
      <alignment horizontal="right" vertical="center"/>
    </xf>
    <xf numFmtId="0" fontId="0" fillId="0" borderId="30" xfId="0" applyFont="1" applyBorder="1"/>
    <xf numFmtId="0" fontId="0" fillId="0" borderId="31" xfId="0" applyFont="1" applyBorder="1"/>
    <xf numFmtId="0" fontId="0" fillId="0" borderId="14" xfId="0" applyFont="1" applyFill="1" applyBorder="1" applyAlignment="1">
      <alignment vertical="center" wrapText="1"/>
    </xf>
    <xf numFmtId="0" fontId="0" fillId="0" borderId="33" xfId="821" applyFont="1" applyFill="1" applyBorder="1" applyAlignment="1">
      <alignment horizontal="center" vertical="center"/>
    </xf>
    <xf numFmtId="200" fontId="3" fillId="0" borderId="0" xfId="0" applyNumberFormat="1" applyFont="1" applyBorder="1" applyAlignment="1">
      <alignment horizontal="center" vertical="center"/>
    </xf>
    <xf numFmtId="200" fontId="0" fillId="0" borderId="51" xfId="0" applyNumberFormat="1" applyFont="1" applyBorder="1" applyAlignment="1">
      <alignment horizontal="center" vertical="center"/>
    </xf>
    <xf numFmtId="0" fontId="0" fillId="0" borderId="50" xfId="0" applyFont="1" applyFill="1" applyBorder="1" applyAlignment="1">
      <alignment horizontal="center" vertical="center"/>
    </xf>
    <xf numFmtId="0" fontId="18" fillId="0" borderId="0" xfId="0" applyFont="1" applyBorder="1" applyAlignment="1">
      <alignment vertical="center"/>
    </xf>
    <xf numFmtId="200" fontId="0" fillId="0" borderId="30" xfId="0" applyNumberFormat="1" applyFont="1" applyBorder="1"/>
    <xf numFmtId="200" fontId="0" fillId="0" borderId="32" xfId="0" applyNumberFormat="1" applyBorder="1" applyAlignment="1">
      <alignment vertical="center"/>
    </xf>
    <xf numFmtId="0" fontId="0" fillId="0" borderId="0" xfId="0" applyFont="1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19" xfId="0" applyFont="1" applyBorder="1" applyAlignment="1">
      <alignment horizontal="left" vertical="center"/>
    </xf>
    <xf numFmtId="199" fontId="0" fillId="0" borderId="13" xfId="0" applyNumberFormat="1" applyFont="1" applyBorder="1" applyAlignment="1">
      <alignment horizontal="right" vertical="center"/>
    </xf>
    <xf numFmtId="199" fontId="0" fillId="0" borderId="37" xfId="0" applyNumberFormat="1" applyFont="1" applyBorder="1" applyAlignment="1">
      <alignment horizontal="right" vertical="center"/>
    </xf>
    <xf numFmtId="0" fontId="0" fillId="0" borderId="0" xfId="0" applyBorder="1" applyAlignment="1">
      <alignment vertical="center"/>
    </xf>
    <xf numFmtId="199" fontId="0" fillId="0" borderId="0" xfId="0" applyNumberFormat="1" applyFont="1" applyBorder="1"/>
    <xf numFmtId="0" fontId="0" fillId="0" borderId="21" xfId="0" applyFont="1" applyBorder="1" applyAlignment="1">
      <alignment horizontal="left" vertical="center" wrapText="1"/>
    </xf>
    <xf numFmtId="0" fontId="0" fillId="0" borderId="0" xfId="0" applyFill="1" applyAlignment="1">
      <alignment horizontal="center"/>
    </xf>
    <xf numFmtId="0" fontId="23" fillId="0" borderId="0" xfId="0" applyFont="1" applyFill="1" applyAlignment="1">
      <alignment horizontal="left"/>
    </xf>
    <xf numFmtId="0" fontId="0" fillId="0" borderId="0" xfId="0" applyFill="1" applyBorder="1"/>
    <xf numFmtId="0" fontId="23" fillId="0" borderId="0" xfId="0" applyFont="1" applyFill="1" applyBorder="1" applyAlignment="1">
      <alignment horizontal="left"/>
    </xf>
    <xf numFmtId="0" fontId="24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center" vertical="center"/>
    </xf>
    <xf numFmtId="0" fontId="0" fillId="0" borderId="0" xfId="0" applyFill="1" applyBorder="1" applyAlignment="1"/>
    <xf numFmtId="0" fontId="26" fillId="0" borderId="0" xfId="0" applyFont="1" applyFill="1" applyBorder="1" applyAlignment="1">
      <alignment horizontal="left" wrapText="1"/>
    </xf>
    <xf numFmtId="0" fontId="27" fillId="0" borderId="0" xfId="0" applyFont="1" applyFill="1" applyBorder="1" applyAlignment="1">
      <alignment horizontal="right" wrapText="1"/>
    </xf>
    <xf numFmtId="0" fontId="27" fillId="0" borderId="0" xfId="0" applyFont="1" applyFill="1" applyBorder="1" applyAlignment="1">
      <alignment horizontal="right" vertical="top" wrapText="1"/>
    </xf>
    <xf numFmtId="0" fontId="23" fillId="0" borderId="0" xfId="0" applyFont="1" applyFill="1" applyBorder="1" applyAlignment="1">
      <alignment horizontal="left" wrapText="1"/>
    </xf>
    <xf numFmtId="0" fontId="4" fillId="0" borderId="0" xfId="0" applyFont="1" applyFill="1" applyBorder="1" applyAlignment="1">
      <alignment horizontal="center" wrapText="1"/>
    </xf>
    <xf numFmtId="0" fontId="0" fillId="0" borderId="0" xfId="0" applyFill="1" applyBorder="1" applyAlignment="1">
      <alignment vertical="center"/>
    </xf>
    <xf numFmtId="0" fontId="24" fillId="0" borderId="0" xfId="0" applyFont="1" applyFill="1" applyBorder="1" applyAlignment="1">
      <alignment vertical="center"/>
    </xf>
    <xf numFmtId="0" fontId="0" fillId="0" borderId="0" xfId="0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0" fillId="0" borderId="56" xfId="2458" applyFont="1" applyFill="1" applyBorder="1" applyAlignment="1">
      <alignment horizontal="center" vertical="center"/>
    </xf>
    <xf numFmtId="0" fontId="17" fillId="0" borderId="36" xfId="2458" applyFont="1" applyFill="1" applyBorder="1" applyAlignment="1">
      <alignment horizontal="left" vertical="center" wrapText="1"/>
    </xf>
    <xf numFmtId="200" fontId="0" fillId="0" borderId="36" xfId="2458" applyNumberFormat="1" applyFont="1" applyFill="1" applyBorder="1" applyAlignment="1">
      <alignment horizontal="right" vertical="center"/>
    </xf>
    <xf numFmtId="0" fontId="0" fillId="0" borderId="30" xfId="0" applyFill="1" applyBorder="1"/>
    <xf numFmtId="0" fontId="0" fillId="0" borderId="32" xfId="0" applyFill="1" applyBorder="1"/>
    <xf numFmtId="0" fontId="0" fillId="0" borderId="58" xfId="2458" applyFont="1" applyFill="1" applyBorder="1" applyAlignment="1">
      <alignment horizontal="center" vertical="center"/>
    </xf>
    <xf numFmtId="200" fontId="0" fillId="0" borderId="30" xfId="2458" applyNumberFormat="1" applyFont="1" applyFill="1" applyBorder="1" applyAlignment="1">
      <alignment horizontal="right" vertical="center"/>
    </xf>
    <xf numFmtId="0" fontId="0" fillId="0" borderId="0" xfId="0" applyFont="1" applyFill="1" applyAlignment="1">
      <alignment horizontal="center"/>
    </xf>
    <xf numFmtId="0" fontId="0" fillId="0" borderId="0" xfId="0" applyFont="1" applyFill="1" applyAlignment="1">
      <alignment horizontal="center" vertical="center"/>
    </xf>
    <xf numFmtId="0" fontId="0" fillId="0" borderId="59" xfId="0" applyFont="1" applyFill="1" applyBorder="1" applyAlignment="1">
      <alignment horizontal="center" vertical="center"/>
    </xf>
    <xf numFmtId="0" fontId="0" fillId="0" borderId="54" xfId="0" applyFont="1" applyFill="1" applyBorder="1" applyAlignment="1">
      <alignment horizontal="center" vertical="center"/>
    </xf>
    <xf numFmtId="0" fontId="0" fillId="0" borderId="55" xfId="0" applyFont="1" applyFill="1" applyBorder="1" applyAlignment="1">
      <alignment horizontal="center" vertical="center"/>
    </xf>
    <xf numFmtId="0" fontId="0" fillId="0" borderId="60" xfId="0" applyFont="1" applyFill="1" applyBorder="1" applyAlignment="1">
      <alignment vertical="center" wrapText="1"/>
    </xf>
    <xf numFmtId="0" fontId="0" fillId="0" borderId="19" xfId="0" applyFont="1" applyFill="1" applyBorder="1" applyAlignment="1">
      <alignment horizontal="center" vertical="center" wrapText="1"/>
    </xf>
    <xf numFmtId="202" fontId="0" fillId="0" borderId="0" xfId="0" applyNumberFormat="1" applyFont="1" applyFill="1"/>
    <xf numFmtId="200" fontId="0" fillId="0" borderId="61" xfId="0" applyNumberFormat="1" applyFont="1" applyFill="1" applyBorder="1"/>
    <xf numFmtId="200" fontId="0" fillId="0" borderId="20" xfId="0" applyNumberFormat="1" applyFont="1" applyFill="1" applyBorder="1"/>
    <xf numFmtId="0" fontId="0" fillId="0" borderId="19" xfId="0" applyNumberFormat="1" applyFont="1" applyFill="1" applyBorder="1" applyAlignment="1">
      <alignment horizontal="left" vertical="center" wrapText="1"/>
    </xf>
    <xf numFmtId="0" fontId="0" fillId="0" borderId="19" xfId="0" applyNumberFormat="1" applyFont="1" applyFill="1" applyBorder="1" applyAlignment="1">
      <alignment horizontal="center"/>
    </xf>
    <xf numFmtId="201" fontId="0" fillId="0" borderId="20" xfId="106" applyNumberFormat="1" applyFont="1" applyFill="1" applyBorder="1" applyAlignment="1">
      <alignment horizontal="center" vertical="center"/>
    </xf>
    <xf numFmtId="204" fontId="0" fillId="0" borderId="20" xfId="106" applyNumberFormat="1" applyFont="1" applyFill="1" applyBorder="1" applyAlignment="1">
      <alignment horizontal="right" vertical="center"/>
    </xf>
    <xf numFmtId="201" fontId="0" fillId="0" borderId="20" xfId="106" applyNumberFormat="1" applyFont="1" applyFill="1" applyBorder="1" applyAlignment="1">
      <alignment horizontal="right" vertical="center"/>
    </xf>
    <xf numFmtId="0" fontId="0" fillId="0" borderId="22" xfId="0" applyFont="1" applyFill="1" applyBorder="1" applyAlignment="1">
      <alignment horizontal="center" vertical="center" wrapText="1"/>
    </xf>
    <xf numFmtId="201" fontId="0" fillId="0" borderId="22" xfId="106" applyNumberFormat="1" applyFont="1" applyFill="1" applyBorder="1" applyAlignment="1">
      <alignment horizontal="right" vertical="center"/>
    </xf>
    <xf numFmtId="0" fontId="0" fillId="0" borderId="0" xfId="0" applyFont="1" applyFill="1" applyBorder="1" applyAlignment="1">
      <alignment vertical="top"/>
    </xf>
    <xf numFmtId="206" fontId="0" fillId="0" borderId="0" xfId="0" applyNumberFormat="1" applyFont="1"/>
    <xf numFmtId="0" fontId="0" fillId="0" borderId="0" xfId="0" applyFont="1" applyAlignment="1">
      <alignment horizontal="center"/>
    </xf>
    <xf numFmtId="206" fontId="0" fillId="0" borderId="0" xfId="0" applyNumberFormat="1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178" fontId="11" fillId="0" borderId="60" xfId="106" applyFont="1" applyFill="1" applyBorder="1" applyAlignment="1">
      <alignment horizontal="left" vertical="center"/>
    </xf>
    <xf numFmtId="202" fontId="16" fillId="0" borderId="0" xfId="0" applyNumberFormat="1" applyFont="1"/>
    <xf numFmtId="178" fontId="0" fillId="0" borderId="19" xfId="106" applyFont="1" applyFill="1" applyBorder="1" applyAlignment="1">
      <alignment vertical="center"/>
    </xf>
    <xf numFmtId="200" fontId="16" fillId="0" borderId="20" xfId="106" applyNumberFormat="1" applyFont="1" applyFill="1" applyBorder="1" applyAlignment="1">
      <alignment horizontal="right" vertical="center"/>
    </xf>
    <xf numFmtId="178" fontId="0" fillId="0" borderId="19" xfId="106" applyFont="1" applyFill="1" applyBorder="1" applyAlignment="1">
      <alignment horizontal="left" vertical="center"/>
    </xf>
    <xf numFmtId="178" fontId="11" fillId="0" borderId="19" xfId="106" applyFont="1" applyFill="1" applyBorder="1" applyAlignment="1">
      <alignment horizontal="left" vertical="center"/>
    </xf>
    <xf numFmtId="204" fontId="16" fillId="0" borderId="21" xfId="106" applyNumberFormat="1" applyFont="1" applyFill="1" applyBorder="1" applyAlignment="1">
      <alignment horizontal="left" vertical="center"/>
    </xf>
    <xf numFmtId="202" fontId="16" fillId="0" borderId="52" xfId="0" applyNumberFormat="1" applyFont="1" applyBorder="1"/>
    <xf numFmtId="200" fontId="16" fillId="0" borderId="23" xfId="106" applyNumberFormat="1" applyFont="1" applyFill="1" applyBorder="1" applyAlignment="1">
      <alignment horizontal="right" vertical="center"/>
    </xf>
    <xf numFmtId="0" fontId="0" fillId="0" borderId="0" xfId="0" applyFont="1" applyBorder="1" applyAlignment="1">
      <alignment vertical="top"/>
    </xf>
    <xf numFmtId="206" fontId="0" fillId="0" borderId="0" xfId="0" applyNumberFormat="1" applyFont="1" applyAlignment="1"/>
    <xf numFmtId="0" fontId="0" fillId="0" borderId="0" xfId="0" applyFont="1" applyAlignment="1"/>
    <xf numFmtId="202" fontId="0" fillId="0" borderId="29" xfId="0" applyNumberFormat="1" applyFont="1" applyBorder="1"/>
    <xf numFmtId="0" fontId="0" fillId="0" borderId="62" xfId="0" applyFont="1" applyFill="1" applyBorder="1" applyAlignment="1">
      <alignment vertical="center" wrapText="1"/>
    </xf>
    <xf numFmtId="202" fontId="0" fillId="0" borderId="63" xfId="0" applyNumberFormat="1" applyFont="1" applyBorder="1"/>
    <xf numFmtId="200" fontId="0" fillId="0" borderId="14" xfId="0" applyNumberFormat="1" applyFont="1" applyFill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53" xfId="2456" applyFont="1" applyBorder="1" applyAlignment="1">
      <alignment horizontal="center" vertical="center"/>
    </xf>
    <xf numFmtId="202" fontId="0" fillId="0" borderId="30" xfId="0" applyNumberFormat="1" applyFont="1" applyBorder="1"/>
    <xf numFmtId="200" fontId="21" fillId="0" borderId="31" xfId="0" applyNumberFormat="1" applyFont="1" applyFill="1" applyBorder="1" applyAlignment="1">
      <alignment horizontal="right" vertical="center"/>
    </xf>
    <xf numFmtId="0" fontId="28" fillId="0" borderId="0" xfId="0" applyFont="1" applyFill="1" applyBorder="1" applyAlignment="1">
      <alignment horizontal="left"/>
    </xf>
    <xf numFmtId="178" fontId="0" fillId="0" borderId="0" xfId="106" applyFont="1" applyFill="1" applyBorder="1" applyAlignment="1">
      <alignment vertical="center"/>
    </xf>
    <xf numFmtId="178" fontId="0" fillId="0" borderId="0" xfId="106" applyFont="1" applyFill="1" applyBorder="1" applyAlignment="1">
      <alignment horizontal="left" vertical="center"/>
    </xf>
    <xf numFmtId="178" fontId="0" fillId="0" borderId="14" xfId="106" applyFont="1" applyFill="1" applyBorder="1" applyAlignment="1">
      <alignment horizontal="left" vertical="center"/>
    </xf>
    <xf numFmtId="202" fontId="0" fillId="0" borderId="64" xfId="0" applyNumberFormat="1" applyFont="1" applyBorder="1"/>
    <xf numFmtId="200" fontId="21" fillId="0" borderId="65" xfId="0" applyNumberFormat="1" applyFont="1" applyFill="1" applyBorder="1" applyAlignment="1">
      <alignment horizontal="right" vertical="center"/>
    </xf>
    <xf numFmtId="0" fontId="11" fillId="0" borderId="0" xfId="2456" applyFont="1" applyFill="1">
      <alignment vertical="center"/>
    </xf>
    <xf numFmtId="0" fontId="0" fillId="0" borderId="0" xfId="2456" applyFont="1" applyFill="1">
      <alignment vertical="center"/>
    </xf>
    <xf numFmtId="0" fontId="0" fillId="0" borderId="0" xfId="2456" applyFont="1" applyFill="1" applyAlignment="1">
      <alignment horizontal="right" vertical="center"/>
    </xf>
    <xf numFmtId="0" fontId="0" fillId="0" borderId="0" xfId="2456" applyFont="1" applyFill="1" applyBorder="1" applyAlignment="1">
      <alignment horizontal="left" vertical="center" wrapText="1"/>
    </xf>
    <xf numFmtId="206" fontId="0" fillId="0" borderId="15" xfId="2456" applyNumberFormat="1" applyFont="1" applyFill="1" applyBorder="1" applyAlignment="1">
      <alignment horizontal="center" vertical="center"/>
    </xf>
    <xf numFmtId="199" fontId="0" fillId="0" borderId="15" xfId="2456" applyNumberFormat="1" applyFont="1" applyFill="1" applyBorder="1" applyAlignment="1">
      <alignment horizontal="center" vertical="center"/>
    </xf>
    <xf numFmtId="201" fontId="11" fillId="0" borderId="0" xfId="2456" applyNumberFormat="1" applyFont="1" applyFill="1">
      <alignment vertical="center"/>
    </xf>
    <xf numFmtId="204" fontId="11" fillId="0" borderId="0" xfId="2456" applyNumberFormat="1" applyFont="1" applyFill="1">
      <alignment vertical="center"/>
    </xf>
    <xf numFmtId="0" fontId="0" fillId="0" borderId="15" xfId="2456" applyFont="1" applyFill="1" applyBorder="1" applyAlignment="1">
      <alignment horizontal="center" vertical="center" wrapText="1"/>
    </xf>
    <xf numFmtId="206" fontId="11" fillId="0" borderId="0" xfId="2456" applyNumberFormat="1" applyFont="1" applyFill="1">
      <alignment vertical="center"/>
    </xf>
    <xf numFmtId="204" fontId="0" fillId="0" borderId="0" xfId="2456" applyNumberFormat="1" applyFont="1" applyFill="1">
      <alignment vertical="center"/>
    </xf>
    <xf numFmtId="0" fontId="0" fillId="0" borderId="0" xfId="2456" applyFont="1" applyFill="1" applyBorder="1" applyAlignment="1">
      <alignment vertical="center" wrapText="1"/>
    </xf>
    <xf numFmtId="0" fontId="0" fillId="0" borderId="0" xfId="0" applyFont="1" applyFill="1" applyBorder="1" applyAlignment="1">
      <alignment horizontal="right" vertical="center"/>
    </xf>
    <xf numFmtId="0" fontId="0" fillId="0" borderId="0" xfId="0" applyFont="1" applyFill="1" applyAlignment="1">
      <alignment horizontal="right" vertical="center"/>
    </xf>
    <xf numFmtId="208" fontId="11" fillId="0" borderId="0" xfId="24" applyNumberFormat="1" applyFont="1" applyFill="1" applyBorder="1" applyAlignment="1" applyProtection="1">
      <alignment vertical="center"/>
    </xf>
    <xf numFmtId="0" fontId="0" fillId="0" borderId="0" xfId="2456" applyFont="1" applyFill="1" applyBorder="1" applyAlignment="1">
      <alignment vertical="center"/>
    </xf>
    <xf numFmtId="200" fontId="0" fillId="0" borderId="15" xfId="2456" applyNumberFormat="1" applyFont="1" applyFill="1" applyBorder="1" applyAlignment="1">
      <alignment horizontal="center" vertical="center"/>
    </xf>
    <xf numFmtId="202" fontId="0" fillId="0" borderId="0" xfId="2456" applyNumberFormat="1" applyFont="1" applyFill="1">
      <alignment vertical="center"/>
    </xf>
    <xf numFmtId="0" fontId="0" fillId="0" borderId="15" xfId="2456" applyNumberFormat="1" applyFont="1" applyFill="1" applyBorder="1" applyAlignment="1">
      <alignment horizontal="center" vertical="center"/>
    </xf>
    <xf numFmtId="0" fontId="0" fillId="0" borderId="0" xfId="2456" applyFont="1" applyFill="1" applyBorder="1">
      <alignment vertical="center"/>
    </xf>
    <xf numFmtId="0" fontId="0" fillId="0" borderId="15" xfId="2456" applyFont="1" applyFill="1" applyBorder="1" applyAlignment="1">
      <alignment horizontal="center" vertical="center"/>
    </xf>
    <xf numFmtId="201" fontId="0" fillId="0" borderId="15" xfId="2456" applyNumberFormat="1" applyFont="1" applyFill="1" applyBorder="1" applyAlignment="1">
      <alignment horizontal="center" vertical="center"/>
    </xf>
    <xf numFmtId="201" fontId="0" fillId="0" borderId="0" xfId="2456" applyNumberFormat="1" applyFont="1" applyFill="1">
      <alignment vertical="center"/>
    </xf>
    <xf numFmtId="0" fontId="0" fillId="0" borderId="21" xfId="2456" applyFont="1" applyFill="1" applyBorder="1">
      <alignment vertical="center"/>
    </xf>
    <xf numFmtId="0" fontId="0" fillId="0" borderId="22" xfId="2456" applyFont="1" applyFill="1" applyBorder="1" applyAlignment="1">
      <alignment horizontal="center" vertical="center" wrapText="1"/>
    </xf>
    <xf numFmtId="206" fontId="0" fillId="0" borderId="22" xfId="2456" applyNumberFormat="1" applyFont="1" applyFill="1" applyBorder="1" applyAlignment="1">
      <alignment horizontal="center" vertical="center"/>
    </xf>
    <xf numFmtId="199" fontId="0" fillId="0" borderId="22" xfId="2456" applyNumberFormat="1" applyFont="1" applyFill="1" applyBorder="1" applyAlignment="1">
      <alignment horizontal="center" vertical="center"/>
    </xf>
    <xf numFmtId="0" fontId="29" fillId="0" borderId="0" xfId="0" applyFont="1" applyAlignment="1">
      <alignment vertical="center"/>
    </xf>
    <xf numFmtId="0" fontId="24" fillId="0" borderId="0" xfId="0" applyFont="1" applyBorder="1" applyAlignment="1">
      <alignment horizontal="center" vertical="center"/>
    </xf>
    <xf numFmtId="0" fontId="0" fillId="0" borderId="2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right" wrapText="1"/>
    </xf>
    <xf numFmtId="204" fontId="10" fillId="0" borderId="0" xfId="0" applyNumberFormat="1" applyFont="1" applyBorder="1" applyAlignment="1">
      <alignment horizontal="right" wrapText="1"/>
    </xf>
    <xf numFmtId="0" fontId="10" fillId="0" borderId="0" xfId="0" applyFont="1" applyBorder="1" applyAlignment="1">
      <alignment wrapText="1"/>
    </xf>
    <xf numFmtId="0" fontId="30" fillId="0" borderId="0" xfId="0" applyFont="1" applyBorder="1" applyAlignment="1">
      <alignment vertical="center"/>
    </xf>
    <xf numFmtId="0" fontId="30" fillId="0" borderId="0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right" wrapText="1"/>
    </xf>
    <xf numFmtId="0" fontId="4" fillId="0" borderId="0" xfId="0" applyFont="1" applyBorder="1" applyAlignment="1">
      <alignment vertical="center"/>
    </xf>
    <xf numFmtId="0" fontId="0" fillId="0" borderId="0" xfId="0" applyFont="1" applyBorder="1" applyAlignment="1">
      <alignment wrapText="1"/>
    </xf>
    <xf numFmtId="0" fontId="0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2456" applyFont="1">
      <alignment vertical="center"/>
    </xf>
    <xf numFmtId="0" fontId="11" fillId="0" borderId="0" xfId="2456" applyFont="1">
      <alignment vertical="center"/>
    </xf>
    <xf numFmtId="0" fontId="99" fillId="0" borderId="0" xfId="2456">
      <alignment vertical="center"/>
    </xf>
    <xf numFmtId="0" fontId="99" fillId="0" borderId="0" xfId="2456" applyAlignment="1">
      <alignment horizontal="right" vertical="center"/>
    </xf>
    <xf numFmtId="0" fontId="3" fillId="0" borderId="14" xfId="2456" applyFont="1" applyBorder="1" applyAlignment="1">
      <alignment horizontal="center" vertical="center"/>
    </xf>
    <xf numFmtId="0" fontId="0" fillId="0" borderId="66" xfId="2456" applyFont="1" applyBorder="1" applyAlignment="1">
      <alignment horizontal="center" vertical="center"/>
    </xf>
    <xf numFmtId="0" fontId="7" fillId="0" borderId="67" xfId="2456" applyFont="1" applyBorder="1" applyAlignment="1">
      <alignment horizontal="center" vertical="center"/>
    </xf>
    <xf numFmtId="0" fontId="0" fillId="0" borderId="13" xfId="2456" applyFont="1" applyBorder="1" applyAlignment="1">
      <alignment horizontal="left" vertical="center" wrapText="1"/>
    </xf>
    <xf numFmtId="202" fontId="31" fillId="0" borderId="13" xfId="0" applyNumberFormat="1" applyFont="1" applyFill="1" applyBorder="1" applyAlignment="1">
      <alignment horizontal="right" vertical="center"/>
    </xf>
    <xf numFmtId="200" fontId="31" fillId="0" borderId="13" xfId="0" applyNumberFormat="1" applyFont="1" applyFill="1" applyBorder="1" applyAlignment="1">
      <alignment horizontal="right" vertical="center"/>
    </xf>
    <xf numFmtId="0" fontId="0" fillId="0" borderId="13" xfId="2456" applyFont="1" applyBorder="1" applyAlignment="1">
      <alignment vertical="center" wrapText="1"/>
    </xf>
    <xf numFmtId="0" fontId="0" fillId="0" borderId="13" xfId="2456" applyFont="1" applyBorder="1" applyAlignment="1">
      <alignment vertical="center"/>
    </xf>
    <xf numFmtId="0" fontId="99" fillId="0" borderId="0" xfId="2456" applyAlignment="1">
      <alignment vertical="center"/>
    </xf>
    <xf numFmtId="0" fontId="32" fillId="0" borderId="14" xfId="2456" applyFont="1" applyBorder="1" applyAlignment="1">
      <alignment horizontal="center" vertical="center"/>
    </xf>
    <xf numFmtId="0" fontId="0" fillId="0" borderId="10" xfId="2456" applyFont="1" applyBorder="1" applyAlignment="1">
      <alignment horizontal="center" vertical="center"/>
    </xf>
    <xf numFmtId="49" fontId="0" fillId="0" borderId="55" xfId="2459" applyNumberFormat="1" applyFont="1" applyBorder="1" applyAlignment="1">
      <alignment horizontal="center" vertical="center" wrapText="1"/>
    </xf>
    <xf numFmtId="202" fontId="99" fillId="0" borderId="0" xfId="2456" applyNumberFormat="1">
      <alignment vertical="center"/>
    </xf>
    <xf numFmtId="0" fontId="0" fillId="0" borderId="19" xfId="2456" applyFont="1" applyFill="1" applyBorder="1" applyAlignment="1">
      <alignment vertical="center" wrapText="1"/>
    </xf>
    <xf numFmtId="202" fontId="99" fillId="0" borderId="29" xfId="2456" applyNumberFormat="1" applyBorder="1">
      <alignment vertical="center"/>
    </xf>
    <xf numFmtId="200" fontId="0" fillId="0" borderId="30" xfId="2456" applyNumberFormat="1" applyFont="1" applyFill="1" applyBorder="1" applyAlignment="1">
      <alignment vertical="center" wrapText="1"/>
    </xf>
    <xf numFmtId="200" fontId="0" fillId="0" borderId="31" xfId="2457" applyNumberFormat="1" applyFont="1" applyFill="1" applyBorder="1" applyAlignment="1" applyProtection="1">
      <alignment horizontal="right" vertical="center"/>
    </xf>
    <xf numFmtId="0" fontId="0" fillId="0" borderId="19" xfId="2456" applyFont="1" applyBorder="1" applyAlignment="1">
      <alignment vertical="center" wrapText="1"/>
    </xf>
    <xf numFmtId="0" fontId="0" fillId="0" borderId="0" xfId="2456" applyFont="1" applyBorder="1" applyAlignment="1">
      <alignment vertical="center" wrapText="1"/>
    </xf>
    <xf numFmtId="0" fontId="0" fillId="0" borderId="19" xfId="2456" applyFont="1" applyBorder="1" applyAlignment="1">
      <alignment horizontal="left" vertical="center" wrapText="1"/>
    </xf>
    <xf numFmtId="0" fontId="0" fillId="0" borderId="0" xfId="0" applyBorder="1" applyAlignment="1">
      <alignment horizontal="right" vertical="center"/>
    </xf>
    <xf numFmtId="202" fontId="99" fillId="0" borderId="0" xfId="2456" applyNumberFormat="1" applyAlignment="1">
      <alignment horizontal="left" vertical="center"/>
    </xf>
    <xf numFmtId="0" fontId="0" fillId="0" borderId="21" xfId="2456" applyFont="1" applyBorder="1" applyAlignment="1">
      <alignment vertical="center" wrapText="1"/>
    </xf>
    <xf numFmtId="0" fontId="0" fillId="0" borderId="21" xfId="2456" applyFont="1" applyBorder="1" applyAlignment="1">
      <alignment horizontal="center" vertical="center" wrapText="1"/>
    </xf>
    <xf numFmtId="202" fontId="99" fillId="0" borderId="63" xfId="2456" applyNumberFormat="1" applyBorder="1">
      <alignment vertical="center"/>
    </xf>
    <xf numFmtId="200" fontId="0" fillId="0" borderId="68" xfId="2456" applyNumberFormat="1" applyFont="1" applyFill="1" applyBorder="1" applyAlignment="1">
      <alignment vertical="center" wrapText="1"/>
    </xf>
    <xf numFmtId="202" fontId="99" fillId="0" borderId="68" xfId="2456" applyNumberFormat="1" applyBorder="1">
      <alignment vertical="center"/>
    </xf>
    <xf numFmtId="200" fontId="0" fillId="0" borderId="69" xfId="2457" applyNumberFormat="1" applyFont="1" applyFill="1" applyBorder="1" applyAlignment="1" applyProtection="1">
      <alignment horizontal="right" vertical="center"/>
    </xf>
    <xf numFmtId="0" fontId="99" fillId="0" borderId="0" xfId="2456" applyFill="1">
      <alignment vertical="center"/>
    </xf>
    <xf numFmtId="200" fontId="0" fillId="0" borderId="35" xfId="2456" applyNumberFormat="1" applyFont="1" applyFill="1" applyBorder="1" applyAlignment="1">
      <alignment vertical="center" wrapText="1"/>
    </xf>
    <xf numFmtId="200" fontId="0" fillId="0" borderId="61" xfId="2457" applyNumberFormat="1" applyFont="1" applyFill="1" applyBorder="1" applyAlignment="1" applyProtection="1">
      <alignment horizontal="right" vertical="center"/>
    </xf>
    <xf numFmtId="202" fontId="99" fillId="0" borderId="0" xfId="2456" applyNumberFormat="1" applyFill="1">
      <alignment vertical="center"/>
    </xf>
    <xf numFmtId="200" fontId="0" fillId="0" borderId="15" xfId="2456" applyNumberFormat="1" applyFont="1" applyFill="1" applyBorder="1" applyAlignment="1">
      <alignment vertical="center" wrapText="1"/>
    </xf>
    <xf numFmtId="200" fontId="0" fillId="0" borderId="15" xfId="2456" applyNumberFormat="1" applyFont="1" applyFill="1" applyBorder="1" applyAlignment="1">
      <alignment horizontal="right" vertical="center" wrapText="1"/>
    </xf>
    <xf numFmtId="200" fontId="99" fillId="0" borderId="20" xfId="2456" applyNumberFormat="1" applyFill="1" applyBorder="1">
      <alignment vertical="center"/>
    </xf>
    <xf numFmtId="0" fontId="0" fillId="0" borderId="21" xfId="2456" applyFont="1" applyFill="1" applyBorder="1" applyAlignment="1">
      <alignment horizontal="left" vertical="center" wrapText="1"/>
    </xf>
    <xf numFmtId="0" fontId="0" fillId="0" borderId="21" xfId="2456" applyFont="1" applyFill="1" applyBorder="1" applyAlignment="1">
      <alignment horizontal="center" vertical="center" wrapText="1"/>
    </xf>
    <xf numFmtId="204" fontId="0" fillId="0" borderId="22" xfId="2456" applyNumberFormat="1" applyFont="1" applyFill="1" applyBorder="1" applyAlignment="1">
      <alignment horizontal="right" vertical="center" wrapText="1"/>
    </xf>
    <xf numFmtId="200" fontId="0" fillId="0" borderId="22" xfId="2456" applyNumberFormat="1" applyFont="1" applyFill="1" applyBorder="1" applyAlignment="1">
      <alignment horizontal="right" vertical="center" wrapText="1"/>
    </xf>
    <xf numFmtId="200" fontId="99" fillId="0" borderId="23" xfId="2456" applyNumberFormat="1" applyFill="1" applyBorder="1">
      <alignment vertical="center"/>
    </xf>
    <xf numFmtId="0" fontId="0" fillId="0" borderId="60" xfId="2456" applyFont="1" applyBorder="1" applyAlignment="1">
      <alignment vertical="center" wrapText="1"/>
    </xf>
    <xf numFmtId="202" fontId="99" fillId="0" borderId="70" xfId="2456" applyNumberFormat="1" applyBorder="1">
      <alignment vertical="center"/>
    </xf>
    <xf numFmtId="200" fontId="0" fillId="0" borderId="71" xfId="2456" applyNumberFormat="1" applyFont="1" applyFill="1" applyBorder="1" applyAlignment="1">
      <alignment vertical="center" wrapText="1"/>
    </xf>
    <xf numFmtId="202" fontId="99" fillId="0" borderId="72" xfId="2456" applyNumberFormat="1" applyBorder="1">
      <alignment vertical="center"/>
    </xf>
    <xf numFmtId="202" fontId="99" fillId="0" borderId="31" xfId="2456" applyNumberFormat="1" applyBorder="1">
      <alignment vertical="center"/>
    </xf>
    <xf numFmtId="204" fontId="99" fillId="0" borderId="0" xfId="2456" applyNumberFormat="1">
      <alignment vertical="center"/>
    </xf>
    <xf numFmtId="200" fontId="0" fillId="0" borderId="30" xfId="2456" applyNumberFormat="1" applyFont="1" applyFill="1" applyBorder="1" applyAlignment="1">
      <alignment horizontal="right" vertical="center" wrapText="1"/>
    </xf>
    <xf numFmtId="202" fontId="99" fillId="0" borderId="69" xfId="2456" applyNumberFormat="1" applyBorder="1">
      <alignment vertical="center"/>
    </xf>
    <xf numFmtId="0" fontId="32" fillId="0" borderId="14" xfId="2456" applyFont="1" applyFill="1" applyBorder="1" applyAlignment="1">
      <alignment horizontal="center" vertical="center"/>
    </xf>
    <xf numFmtId="0" fontId="0" fillId="0" borderId="10" xfId="2456" applyFont="1" applyFill="1" applyBorder="1" applyAlignment="1">
      <alignment horizontal="center" vertical="center"/>
    </xf>
    <xf numFmtId="49" fontId="0" fillId="0" borderId="58" xfId="2459" applyNumberFormat="1" applyFont="1" applyFill="1" applyBorder="1" applyAlignment="1">
      <alignment horizontal="center" vertical="center" wrapText="1"/>
    </xf>
    <xf numFmtId="0" fontId="0" fillId="0" borderId="60" xfId="2456" applyFont="1" applyFill="1" applyBorder="1" applyAlignment="1">
      <alignment vertical="center" wrapText="1"/>
    </xf>
    <xf numFmtId="202" fontId="0" fillId="0" borderId="73" xfId="0" applyNumberFormat="1" applyBorder="1" applyAlignment="1">
      <alignment vertical="center"/>
    </xf>
    <xf numFmtId="200" fontId="0" fillId="0" borderId="36" xfId="2456" applyNumberFormat="1" applyFont="1" applyFill="1" applyBorder="1" applyAlignment="1">
      <alignment vertical="center" wrapText="1"/>
    </xf>
    <xf numFmtId="202" fontId="0" fillId="0" borderId="36" xfId="0" applyNumberFormat="1" applyBorder="1" applyAlignment="1">
      <alignment vertical="center"/>
    </xf>
    <xf numFmtId="200" fontId="0" fillId="0" borderId="74" xfId="2457" applyNumberFormat="1" applyFont="1" applyFill="1" applyBorder="1" applyAlignment="1" applyProtection="1">
      <alignment horizontal="right" vertical="center"/>
    </xf>
    <xf numFmtId="202" fontId="0" fillId="0" borderId="29" xfId="0" applyNumberFormat="1" applyBorder="1" applyAlignment="1">
      <alignment vertical="center"/>
    </xf>
    <xf numFmtId="202" fontId="0" fillId="0" borderId="30" xfId="0" applyNumberFormat="1" applyBorder="1" applyAlignment="1">
      <alignment vertical="center"/>
    </xf>
    <xf numFmtId="0" fontId="0" fillId="0" borderId="19" xfId="2456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right" vertical="center"/>
    </xf>
    <xf numFmtId="202" fontId="99" fillId="0" borderId="0" xfId="2456" applyNumberFormat="1" applyFill="1" applyAlignment="1">
      <alignment horizontal="left" vertical="center"/>
    </xf>
    <xf numFmtId="0" fontId="0" fillId="0" borderId="21" xfId="2456" applyFont="1" applyFill="1" applyBorder="1" applyAlignment="1">
      <alignment vertical="center" wrapText="1"/>
    </xf>
    <xf numFmtId="202" fontId="0" fillId="0" borderId="75" xfId="0" applyNumberFormat="1" applyBorder="1" applyAlignment="1">
      <alignment vertical="center"/>
    </xf>
    <xf numFmtId="200" fontId="0" fillId="0" borderId="32" xfId="2456" applyNumberFormat="1" applyFont="1" applyFill="1" applyBorder="1" applyAlignment="1">
      <alignment vertical="center" wrapText="1"/>
    </xf>
    <xf numFmtId="202" fontId="0" fillId="0" borderId="32" xfId="0" applyNumberFormat="1" applyBorder="1" applyAlignment="1">
      <alignment vertical="center"/>
    </xf>
    <xf numFmtId="200" fontId="0" fillId="0" borderId="33" xfId="2457" applyNumberFormat="1" applyFont="1" applyFill="1" applyBorder="1" applyAlignment="1" applyProtection="1">
      <alignment horizontal="right" vertical="center"/>
    </xf>
    <xf numFmtId="0" fontId="0" fillId="0" borderId="0" xfId="0" applyFill="1" applyAlignment="1"/>
    <xf numFmtId="0" fontId="0" fillId="0" borderId="0" xfId="0" applyAlignment="1">
      <alignment horizontal="center"/>
    </xf>
    <xf numFmtId="204" fontId="22" fillId="0" borderId="0" xfId="0" applyNumberFormat="1" applyFont="1" applyFill="1" applyBorder="1" applyAlignment="1">
      <alignment horizontal="center" vertical="center"/>
    </xf>
    <xf numFmtId="0" fontId="0" fillId="0" borderId="66" xfId="0" applyFont="1" applyFill="1" applyBorder="1" applyAlignment="1">
      <alignment horizontal="center" vertical="center"/>
    </xf>
    <xf numFmtId="0" fontId="0" fillId="0" borderId="19" xfId="0" applyFill="1" applyBorder="1" applyAlignment="1">
      <alignment vertical="center"/>
    </xf>
    <xf numFmtId="0" fontId="24" fillId="0" borderId="15" xfId="0" applyFont="1" applyFill="1" applyBorder="1" applyAlignment="1">
      <alignment horizontal="center" vertical="center"/>
    </xf>
    <xf numFmtId="0" fontId="0" fillId="0" borderId="21" xfId="0" applyFont="1" applyFill="1" applyBorder="1" applyAlignment="1">
      <alignment vertical="center"/>
    </xf>
    <xf numFmtId="200" fontId="21" fillId="0" borderId="23" xfId="0" applyNumberFormat="1" applyFont="1" applyFill="1" applyBorder="1" applyAlignment="1">
      <alignment horizontal="right" vertical="center"/>
    </xf>
    <xf numFmtId="202" fontId="0" fillId="0" borderId="35" xfId="0" applyNumberFormat="1" applyBorder="1"/>
    <xf numFmtId="200" fontId="30" fillId="0" borderId="61" xfId="0" applyNumberFormat="1" applyFont="1" applyFill="1" applyBorder="1" applyAlignment="1">
      <alignment horizontal="right" vertical="center"/>
    </xf>
    <xf numFmtId="204" fontId="99" fillId="0" borderId="0" xfId="2456" applyNumberFormat="1" applyFill="1">
      <alignment vertical="center"/>
    </xf>
    <xf numFmtId="200" fontId="0" fillId="0" borderId="15" xfId="2456" applyNumberFormat="1" applyFont="1" applyFill="1" applyBorder="1" applyAlignment="1">
      <alignment horizontal="right" vertical="center"/>
    </xf>
    <xf numFmtId="0" fontId="0" fillId="0" borderId="14" xfId="2456" applyFont="1" applyFill="1" applyBorder="1" applyAlignment="1">
      <alignment vertical="center" wrapText="1"/>
    </xf>
    <xf numFmtId="202" fontId="0" fillId="0" borderId="17" xfId="0" applyNumberFormat="1" applyBorder="1"/>
    <xf numFmtId="200" fontId="0" fillId="0" borderId="17" xfId="2456" applyNumberFormat="1" applyFont="1" applyFill="1" applyBorder="1" applyAlignment="1">
      <alignment vertical="center" wrapText="1"/>
    </xf>
    <xf numFmtId="200" fontId="0" fillId="0" borderId="26" xfId="2457" applyNumberFormat="1" applyFont="1" applyFill="1" applyBorder="1" applyAlignment="1" applyProtection="1">
      <alignment horizontal="right" vertical="center"/>
    </xf>
    <xf numFmtId="0" fontId="0" fillId="0" borderId="0" xfId="2456" applyFont="1" applyBorder="1" applyAlignment="1">
      <alignment horizontal="left" vertical="center" wrapText="1"/>
    </xf>
    <xf numFmtId="0" fontId="0" fillId="0" borderId="18" xfId="2456" applyFont="1" applyBorder="1" applyAlignment="1">
      <alignment vertical="center" wrapText="1"/>
    </xf>
    <xf numFmtId="0" fontId="0" fillId="0" borderId="76" xfId="2456" applyFont="1" applyBorder="1" applyAlignment="1">
      <alignment vertical="center" wrapText="1"/>
    </xf>
    <xf numFmtId="0" fontId="30" fillId="0" borderId="15" xfId="2459" applyNumberFormat="1" applyFont="1" applyFill="1" applyBorder="1" applyAlignment="1">
      <alignment horizontal="center" vertical="center" wrapText="1"/>
    </xf>
    <xf numFmtId="0" fontId="30" fillId="0" borderId="20" xfId="2459" applyNumberFormat="1" applyFont="1" applyFill="1" applyBorder="1" applyAlignment="1">
      <alignment horizontal="center" vertical="center" wrapText="1"/>
    </xf>
    <xf numFmtId="0" fontId="0" fillId="0" borderId="77" xfId="2456" applyFont="1" applyBorder="1" applyAlignment="1">
      <alignment vertical="center" wrapText="1"/>
    </xf>
    <xf numFmtId="0" fontId="99" fillId="0" borderId="0" xfId="2460">
      <alignment vertical="center"/>
    </xf>
    <xf numFmtId="0" fontId="0" fillId="0" borderId="66" xfId="0" applyFont="1" applyFill="1" applyBorder="1" applyAlignment="1">
      <alignment horizontal="center" vertical="center" wrapText="1"/>
    </xf>
    <xf numFmtId="0" fontId="0" fillId="0" borderId="54" xfId="0" applyFont="1" applyFill="1" applyBorder="1" applyAlignment="1">
      <alignment horizontal="center" vertical="center" wrapText="1"/>
    </xf>
    <xf numFmtId="200" fontId="0" fillId="0" borderId="55" xfId="0" applyNumberFormat="1" applyFont="1" applyFill="1" applyBorder="1" applyAlignment="1">
      <alignment horizontal="center" vertical="center" wrapText="1"/>
    </xf>
    <xf numFmtId="0" fontId="5" fillId="34" borderId="0" xfId="2460" applyFont="1" applyFill="1">
      <alignment vertical="center"/>
    </xf>
    <xf numFmtId="0" fontId="0" fillId="0" borderId="19" xfId="0" applyFont="1" applyFill="1" applyBorder="1" applyAlignment="1">
      <alignment horizontal="justify" vertical="center" wrapText="1"/>
    </xf>
    <xf numFmtId="200" fontId="5" fillId="34" borderId="0" xfId="2460" applyNumberFormat="1" applyFont="1" applyFill="1">
      <alignment vertical="center"/>
    </xf>
    <xf numFmtId="206" fontId="99" fillId="0" borderId="0" xfId="2460" applyNumberFormat="1">
      <alignment vertical="center"/>
    </xf>
    <xf numFmtId="200" fontId="0" fillId="0" borderId="0" xfId="2457" applyNumberFormat="1" applyFont="1" applyFill="1" applyBorder="1" applyAlignment="1" applyProtection="1">
      <alignment horizontal="center" vertical="center"/>
    </xf>
    <xf numFmtId="0" fontId="0" fillId="0" borderId="21" xfId="0" applyFont="1" applyFill="1" applyBorder="1" applyAlignment="1">
      <alignment horizontal="justify" vertical="center" wrapText="1"/>
    </xf>
    <xf numFmtId="200" fontId="0" fillId="0" borderId="14" xfId="2457" applyNumberFormat="1" applyFont="1" applyFill="1" applyBorder="1" applyAlignment="1" applyProtection="1">
      <alignment horizontal="right" vertical="center"/>
    </xf>
    <xf numFmtId="0" fontId="34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66" xfId="0" applyFont="1" applyBorder="1" applyAlignment="1">
      <alignment horizontal="center" vertical="center"/>
    </xf>
    <xf numFmtId="0" fontId="18" fillId="0" borderId="12" xfId="0" applyFont="1" applyBorder="1" applyAlignment="1">
      <alignment vertical="center"/>
    </xf>
    <xf numFmtId="202" fontId="0" fillId="0" borderId="35" xfId="813" applyNumberFormat="1" applyFont="1" applyFill="1" applyBorder="1" applyAlignment="1" applyProtection="1">
      <alignment horizontal="right"/>
      <protection hidden="1"/>
    </xf>
    <xf numFmtId="200" fontId="0" fillId="0" borderId="61" xfId="816" applyNumberFormat="1" applyFont="1" applyFill="1" applyBorder="1" applyAlignment="1" applyProtection="1">
      <alignment horizontal="right"/>
      <protection hidden="1"/>
    </xf>
    <xf numFmtId="0" fontId="18" fillId="0" borderId="0" xfId="0" applyFont="1"/>
    <xf numFmtId="202" fontId="0" fillId="0" borderId="15" xfId="820" applyNumberFormat="1" applyFont="1" applyFill="1" applyBorder="1" applyAlignment="1" applyProtection="1">
      <alignment horizontal="right"/>
      <protection hidden="1"/>
    </xf>
    <xf numFmtId="200" fontId="0" fillId="0" borderId="20" xfId="823" applyNumberFormat="1" applyFont="1" applyFill="1" applyBorder="1" applyAlignment="1" applyProtection="1">
      <alignment horizontal="right"/>
      <protection hidden="1"/>
    </xf>
    <xf numFmtId="202" fontId="0" fillId="0" borderId="15" xfId="826" applyNumberFormat="1" applyFont="1" applyFill="1" applyBorder="1" applyAlignment="1" applyProtection="1">
      <alignment horizontal="right"/>
      <protection hidden="1"/>
    </xf>
    <xf numFmtId="200" fontId="0" fillId="0" borderId="20" xfId="632" applyNumberFormat="1" applyFont="1" applyFill="1" applyBorder="1" applyAlignment="1" applyProtection="1">
      <alignment horizontal="right"/>
      <protection hidden="1"/>
    </xf>
    <xf numFmtId="202" fontId="0" fillId="0" borderId="20" xfId="55" applyNumberFormat="1" applyFont="1" applyFill="1" applyBorder="1" applyAlignment="1" applyProtection="1">
      <alignment horizontal="right"/>
      <protection hidden="1"/>
    </xf>
    <xf numFmtId="200" fontId="0" fillId="0" borderId="20" xfId="636" applyNumberFormat="1" applyFont="1" applyFill="1" applyBorder="1" applyAlignment="1" applyProtection="1">
      <alignment horizontal="right"/>
      <protection hidden="1"/>
    </xf>
    <xf numFmtId="202" fontId="0" fillId="0" borderId="15" xfId="639" applyNumberFormat="1" applyFont="1" applyFill="1" applyBorder="1" applyAlignment="1" applyProtection="1">
      <alignment horizontal="right"/>
      <protection hidden="1"/>
    </xf>
    <xf numFmtId="200" fontId="0" fillId="0" borderId="20" xfId="642" applyNumberFormat="1" applyFont="1" applyFill="1" applyBorder="1" applyAlignment="1" applyProtection="1">
      <alignment horizontal="right"/>
      <protection hidden="1"/>
    </xf>
    <xf numFmtId="202" fontId="0" fillId="0" borderId="15" xfId="631" applyNumberFormat="1" applyFont="1" applyFill="1" applyBorder="1" applyAlignment="1" applyProtection="1">
      <alignment horizontal="right"/>
      <protection hidden="1"/>
    </xf>
    <xf numFmtId="200" fontId="0" fillId="0" borderId="20" xfId="54" applyNumberFormat="1" applyFont="1" applyFill="1" applyBorder="1" applyAlignment="1" applyProtection="1">
      <alignment horizontal="right"/>
      <protection hidden="1"/>
    </xf>
    <xf numFmtId="202" fontId="0" fillId="0" borderId="15" xfId="635" applyNumberFormat="1" applyFont="1" applyFill="1" applyBorder="1" applyAlignment="1" applyProtection="1">
      <alignment horizontal="right"/>
      <protection hidden="1"/>
    </xf>
    <xf numFmtId="200" fontId="0" fillId="0" borderId="20" xfId="638" applyNumberFormat="1" applyFont="1" applyFill="1" applyBorder="1" applyAlignment="1" applyProtection="1">
      <alignment horizontal="right"/>
      <protection hidden="1"/>
    </xf>
    <xf numFmtId="202" fontId="0" fillId="0" borderId="15" xfId="641" applyNumberFormat="1" applyFont="1" applyFill="1" applyBorder="1" applyAlignment="1" applyProtection="1">
      <alignment horizontal="right"/>
      <protection hidden="1"/>
    </xf>
    <xf numFmtId="200" fontId="0" fillId="0" borderId="20" xfId="358" applyNumberFormat="1" applyFont="1" applyFill="1" applyBorder="1" applyAlignment="1" applyProtection="1">
      <alignment horizontal="right"/>
      <protection hidden="1"/>
    </xf>
    <xf numFmtId="202" fontId="0" fillId="0" borderId="15" xfId="364" applyNumberFormat="1" applyFont="1" applyFill="1" applyBorder="1" applyAlignment="1" applyProtection="1">
      <alignment horizontal="right"/>
      <protection hidden="1"/>
    </xf>
    <xf numFmtId="200" fontId="0" fillId="0" borderId="20" xfId="368" applyNumberFormat="1" applyFont="1" applyFill="1" applyBorder="1" applyAlignment="1" applyProtection="1">
      <alignment horizontal="right"/>
      <protection hidden="1"/>
    </xf>
    <xf numFmtId="202" fontId="0" fillId="0" borderId="15" xfId="372" applyNumberFormat="1" applyFont="1" applyFill="1" applyBorder="1" applyAlignment="1" applyProtection="1">
      <alignment horizontal="right"/>
      <protection hidden="1"/>
    </xf>
    <xf numFmtId="200" fontId="0" fillId="0" borderId="20" xfId="6" applyNumberFormat="1" applyFont="1" applyFill="1" applyBorder="1" applyAlignment="1" applyProtection="1">
      <alignment horizontal="right"/>
      <protection hidden="1"/>
    </xf>
    <xf numFmtId="0" fontId="0" fillId="0" borderId="19" xfId="0" applyNumberFormat="1" applyFont="1" applyBorder="1" applyAlignment="1">
      <alignment vertical="center"/>
    </xf>
    <xf numFmtId="202" fontId="0" fillId="0" borderId="15" xfId="357" applyNumberFormat="1" applyFont="1" applyFill="1" applyBorder="1" applyAlignment="1" applyProtection="1">
      <alignment horizontal="right"/>
      <protection hidden="1"/>
    </xf>
    <xf numFmtId="200" fontId="0" fillId="0" borderId="20" xfId="363" applyNumberFormat="1" applyFont="1" applyFill="1" applyBorder="1" applyAlignment="1" applyProtection="1">
      <alignment horizontal="right"/>
      <protection hidden="1"/>
    </xf>
    <xf numFmtId="202" fontId="0" fillId="0" borderId="15" xfId="367" applyNumberFormat="1" applyFont="1" applyFill="1" applyBorder="1" applyAlignment="1" applyProtection="1">
      <alignment horizontal="right"/>
      <protection hidden="1"/>
    </xf>
    <xf numFmtId="200" fontId="0" fillId="0" borderId="20" xfId="371" applyNumberFormat="1" applyFont="1" applyFill="1" applyBorder="1" applyAlignment="1" applyProtection="1">
      <alignment horizontal="right"/>
      <protection hidden="1"/>
    </xf>
    <xf numFmtId="202" fontId="0" fillId="0" borderId="15" xfId="5" applyNumberFormat="1" applyFont="1" applyFill="1" applyBorder="1" applyAlignment="1" applyProtection="1">
      <alignment horizontal="right"/>
      <protection hidden="1"/>
    </xf>
    <xf numFmtId="200" fontId="0" fillId="0" borderId="20" xfId="376" applyNumberFormat="1" applyFont="1" applyFill="1" applyBorder="1" applyAlignment="1" applyProtection="1">
      <alignment horizontal="right"/>
      <protection hidden="1"/>
    </xf>
    <xf numFmtId="0" fontId="0" fillId="0" borderId="11" xfId="0" applyFont="1" applyBorder="1" applyAlignment="1">
      <alignment vertical="center"/>
    </xf>
    <xf numFmtId="209" fontId="0" fillId="0" borderId="0" xfId="0" applyNumberFormat="1"/>
    <xf numFmtId="0" fontId="11" fillId="0" borderId="13" xfId="0" applyFont="1" applyBorder="1" applyAlignment="1">
      <alignment horizontal="center" vertical="center" wrapText="1"/>
    </xf>
    <xf numFmtId="0" fontId="11" fillId="0" borderId="13" xfId="828" applyFont="1" applyFill="1" applyBorder="1" applyAlignment="1">
      <alignment horizontal="center" vertical="center" wrapText="1"/>
    </xf>
    <xf numFmtId="0" fontId="0" fillId="0" borderId="20" xfId="0" applyFont="1" applyBorder="1" applyAlignment="1">
      <alignment horizontal="justify" vertical="center" wrapText="1"/>
    </xf>
    <xf numFmtId="0" fontId="0" fillId="0" borderId="20" xfId="828" applyFont="1" applyFill="1" applyBorder="1" applyAlignment="1">
      <alignment horizontal="center" vertical="center" wrapText="1"/>
    </xf>
    <xf numFmtId="200" fontId="0" fillId="0" borderId="20" xfId="828" applyNumberFormat="1" applyFont="1" applyFill="1" applyBorder="1" applyAlignment="1">
      <alignment horizontal="center" vertical="center" wrapText="1"/>
    </xf>
    <xf numFmtId="0" fontId="0" fillId="0" borderId="20" xfId="0" applyFont="1" applyFill="1" applyBorder="1" applyAlignment="1">
      <alignment horizontal="justify" vertical="center" wrapText="1"/>
    </xf>
    <xf numFmtId="206" fontId="0" fillId="0" borderId="20" xfId="828" applyNumberFormat="1" applyFont="1" applyFill="1" applyBorder="1" applyAlignment="1">
      <alignment horizontal="right" vertical="center"/>
    </xf>
    <xf numFmtId="200" fontId="0" fillId="0" borderId="20" xfId="828" applyNumberFormat="1" applyFont="1" applyFill="1" applyBorder="1" applyAlignment="1">
      <alignment horizontal="right" vertical="center"/>
    </xf>
    <xf numFmtId="202" fontId="0" fillId="0" borderId="20" xfId="828" applyNumberFormat="1" applyFont="1" applyFill="1" applyBorder="1" applyAlignment="1">
      <alignment horizontal="right" vertical="center"/>
    </xf>
    <xf numFmtId="202" fontId="0" fillId="0" borderId="20" xfId="828" applyNumberFormat="1" applyFont="1" applyFill="1" applyBorder="1" applyAlignment="1">
      <alignment horizontal="center" vertical="center" wrapText="1"/>
    </xf>
    <xf numFmtId="0" fontId="0" fillId="0" borderId="23" xfId="0" applyFont="1" applyBorder="1" applyAlignment="1">
      <alignment horizontal="justify" vertical="center" wrapText="1"/>
    </xf>
    <xf numFmtId="0" fontId="0" fillId="0" borderId="23" xfId="0" applyFont="1" applyBorder="1" applyAlignment="1">
      <alignment horizontal="center" vertical="center" wrapText="1"/>
    </xf>
    <xf numFmtId="202" fontId="0" fillId="0" borderId="23" xfId="828" applyNumberFormat="1" applyFont="1" applyFill="1" applyBorder="1" applyAlignment="1">
      <alignment horizontal="center" vertical="center" wrapText="1"/>
    </xf>
    <xf numFmtId="200" fontId="0" fillId="0" borderId="23" xfId="828" applyNumberFormat="1" applyFont="1" applyFill="1" applyBorder="1" applyAlignment="1">
      <alignment horizontal="center" vertical="center" wrapText="1"/>
    </xf>
    <xf numFmtId="0" fontId="0" fillId="0" borderId="59" xfId="0" applyBorder="1" applyAlignment="1"/>
    <xf numFmtId="202" fontId="0" fillId="0" borderId="20" xfId="828" applyNumberFormat="1" applyFont="1" applyFill="1" applyBorder="1" applyAlignment="1">
      <alignment horizontal="center" vertical="center"/>
    </xf>
    <xf numFmtId="200" fontId="0" fillId="0" borderId="20" xfId="828" applyNumberFormat="1" applyFont="1" applyFill="1" applyBorder="1" applyAlignment="1">
      <alignment horizontal="center" vertical="center"/>
    </xf>
    <xf numFmtId="201" fontId="0" fillId="0" borderId="20" xfId="828" applyNumberFormat="1" applyFont="1" applyFill="1" applyBorder="1" applyAlignment="1">
      <alignment horizontal="right" vertical="center"/>
    </xf>
    <xf numFmtId="202" fontId="0" fillId="0" borderId="22" xfId="828" applyNumberFormat="1" applyFont="1" applyFill="1" applyBorder="1" applyAlignment="1">
      <alignment horizontal="right" vertical="center"/>
    </xf>
    <xf numFmtId="200" fontId="0" fillId="0" borderId="14" xfId="416" applyNumberFormat="1" applyFont="1" applyFill="1" applyBorder="1" applyAlignment="1">
      <alignment horizontal="right" vertical="center"/>
    </xf>
    <xf numFmtId="0" fontId="0" fillId="0" borderId="30" xfId="0" applyFill="1" applyBorder="1" applyAlignment="1">
      <alignment horizontal="right"/>
    </xf>
    <xf numFmtId="0" fontId="0" fillId="0" borderId="31" xfId="0" applyFill="1" applyBorder="1" applyAlignment="1">
      <alignment horizontal="right"/>
    </xf>
    <xf numFmtId="200" fontId="0" fillId="0" borderId="31" xfId="0" applyNumberFormat="1" applyFill="1" applyBorder="1" applyAlignment="1">
      <alignment horizontal="right"/>
    </xf>
    <xf numFmtId="202" fontId="0" fillId="0" borderId="20" xfId="0" applyNumberFormat="1" applyFont="1" applyFill="1" applyBorder="1" applyAlignment="1">
      <alignment horizontal="right" vertical="center"/>
    </xf>
    <xf numFmtId="202" fontId="0" fillId="0" borderId="30" xfId="0" applyNumberFormat="1" applyFont="1" applyBorder="1" applyAlignment="1">
      <alignment horizontal="right" vertical="center"/>
    </xf>
    <xf numFmtId="200" fontId="0" fillId="0" borderId="31" xfId="0" applyNumberFormat="1" applyFont="1" applyBorder="1" applyAlignment="1">
      <alignment horizontal="right" vertical="center"/>
    </xf>
    <xf numFmtId="202" fontId="0" fillId="0" borderId="20" xfId="828" applyNumberFormat="1" applyFont="1" applyFill="1" applyBorder="1" applyAlignment="1">
      <alignment vertical="center"/>
    </xf>
    <xf numFmtId="200" fontId="0" fillId="0" borderId="20" xfId="828" applyNumberFormat="1" applyFont="1" applyFill="1" applyBorder="1" applyAlignment="1">
      <alignment vertical="center"/>
    </xf>
    <xf numFmtId="0" fontId="0" fillId="0" borderId="0" xfId="0" applyBorder="1" applyAlignment="1"/>
    <xf numFmtId="0" fontId="0" fillId="0" borderId="0" xfId="0" applyBorder="1" applyAlignment="1">
      <alignment horizontal="left"/>
    </xf>
    <xf numFmtId="202" fontId="99" fillId="0" borderId="30" xfId="0" applyNumberFormat="1" applyFont="1" applyFill="1" applyBorder="1" applyAlignment="1">
      <alignment horizontal="right" vertical="center"/>
    </xf>
    <xf numFmtId="200" fontId="99" fillId="0" borderId="31" xfId="0" applyNumberFormat="1" applyFont="1" applyFill="1" applyBorder="1" applyAlignment="1">
      <alignment horizontal="right" vertical="center"/>
    </xf>
    <xf numFmtId="202" fontId="99" fillId="0" borderId="30" xfId="0" applyNumberFormat="1" applyFont="1" applyBorder="1" applyAlignment="1">
      <alignment horizontal="right"/>
    </xf>
    <xf numFmtId="200" fontId="99" fillId="0" borderId="30" xfId="0" applyNumberFormat="1" applyFont="1" applyBorder="1" applyAlignment="1">
      <alignment horizontal="right"/>
    </xf>
    <xf numFmtId="0" fontId="99" fillId="0" borderId="30" xfId="0" applyFont="1" applyFill="1" applyBorder="1" applyAlignment="1">
      <alignment horizontal="center"/>
    </xf>
    <xf numFmtId="0" fontId="99" fillId="0" borderId="31" xfId="0" applyFont="1" applyFill="1" applyBorder="1" applyAlignment="1">
      <alignment horizontal="right"/>
    </xf>
    <xf numFmtId="202" fontId="99" fillId="0" borderId="20" xfId="0" applyNumberFormat="1" applyFont="1" applyFill="1" applyBorder="1" applyAlignment="1">
      <alignment horizontal="right" vertical="center"/>
    </xf>
    <xf numFmtId="200" fontId="99" fillId="0" borderId="20" xfId="0" applyNumberFormat="1" applyFont="1" applyFill="1" applyBorder="1" applyAlignment="1">
      <alignment horizontal="right" vertical="center"/>
    </xf>
    <xf numFmtId="202" fontId="99" fillId="0" borderId="22" xfId="0" applyNumberFormat="1" applyFont="1" applyFill="1" applyBorder="1" applyAlignment="1">
      <alignment horizontal="right" vertical="center"/>
    </xf>
    <xf numFmtId="200" fontId="99" fillId="0" borderId="14" xfId="416" applyNumberFormat="1" applyFont="1" applyFill="1" applyBorder="1" applyAlignment="1">
      <alignment horizontal="right" vertical="center"/>
    </xf>
    <xf numFmtId="202" fontId="99" fillId="35" borderId="30" xfId="0" applyNumberFormat="1" applyFont="1" applyFill="1" applyBorder="1" applyAlignment="1">
      <alignment horizontal="right" vertical="center"/>
    </xf>
    <xf numFmtId="200" fontId="99" fillId="35" borderId="31" xfId="0" applyNumberFormat="1" applyFont="1" applyFill="1" applyBorder="1" applyAlignment="1">
      <alignment horizontal="right" vertical="center"/>
    </xf>
    <xf numFmtId="0" fontId="99" fillId="35" borderId="30" xfId="0" applyFont="1" applyFill="1" applyBorder="1" applyAlignment="1">
      <alignment horizontal="center"/>
    </xf>
    <xf numFmtId="202" fontId="99" fillId="35" borderId="30" xfId="0" applyNumberFormat="1" applyFont="1" applyFill="1" applyBorder="1" applyAlignment="1">
      <alignment horizontal="right"/>
    </xf>
    <xf numFmtId="200" fontId="99" fillId="35" borderId="30" xfId="0" applyNumberFormat="1" applyFont="1" applyFill="1" applyBorder="1" applyAlignment="1">
      <alignment horizontal="right"/>
    </xf>
    <xf numFmtId="0" fontId="99" fillId="35" borderId="31" xfId="0" applyFont="1" applyFill="1" applyBorder="1" applyAlignment="1">
      <alignment horizontal="right"/>
    </xf>
    <xf numFmtId="202" fontId="99" fillId="35" borderId="20" xfId="0" applyNumberFormat="1" applyFont="1" applyFill="1" applyBorder="1" applyAlignment="1">
      <alignment horizontal="right" vertical="center"/>
    </xf>
    <xf numFmtId="200" fontId="99" fillId="35" borderId="20" xfId="0" applyNumberFormat="1" applyFont="1" applyFill="1" applyBorder="1" applyAlignment="1">
      <alignment horizontal="right" vertical="center"/>
    </xf>
    <xf numFmtId="202" fontId="99" fillId="35" borderId="22" xfId="0" applyNumberFormat="1" applyFont="1" applyFill="1" applyBorder="1" applyAlignment="1">
      <alignment horizontal="right" vertical="center"/>
    </xf>
    <xf numFmtId="200" fontId="99" fillId="35" borderId="14" xfId="416" applyNumberFormat="1" applyFont="1" applyFill="1" applyBorder="1" applyAlignment="1">
      <alignment horizontal="right" vertical="center"/>
    </xf>
    <xf numFmtId="0" fontId="99" fillId="0" borderId="30" xfId="0" applyFont="1" applyFill="1" applyBorder="1" applyAlignment="1">
      <alignment horizontal="right"/>
    </xf>
    <xf numFmtId="200" fontId="99" fillId="0" borderId="31" xfId="0" applyNumberFormat="1" applyFont="1" applyFill="1" applyBorder="1" applyAlignment="1">
      <alignment horizontal="right"/>
    </xf>
    <xf numFmtId="200" fontId="99" fillId="0" borderId="20" xfId="0" applyNumberFormat="1" applyFont="1" applyBorder="1" applyAlignment="1">
      <alignment horizontal="right" vertical="center"/>
    </xf>
    <xf numFmtId="202" fontId="99" fillId="0" borderId="30" xfId="0" applyNumberFormat="1" applyFont="1" applyBorder="1" applyAlignment="1">
      <alignment horizontal="right" vertical="center"/>
    </xf>
    <xf numFmtId="200" fontId="99" fillId="0" borderId="31" xfId="0" applyNumberFormat="1" applyFont="1" applyBorder="1" applyAlignment="1">
      <alignment horizontal="right" vertical="center"/>
    </xf>
    <xf numFmtId="0" fontId="99" fillId="0" borderId="30" xfId="0" applyFont="1" applyBorder="1" applyAlignment="1">
      <alignment horizontal="center" vertical="center"/>
    </xf>
    <xf numFmtId="200" fontId="99" fillId="0" borderId="30" xfId="0" applyNumberFormat="1" applyFont="1" applyBorder="1" applyAlignment="1">
      <alignment horizontal="right" vertical="center"/>
    </xf>
    <xf numFmtId="0" fontId="99" fillId="0" borderId="30" xfId="0" applyFont="1" applyFill="1" applyBorder="1" applyAlignment="1">
      <alignment horizontal="center" vertical="center"/>
    </xf>
    <xf numFmtId="0" fontId="99" fillId="0" borderId="31" xfId="0" applyFont="1" applyFill="1" applyBorder="1" applyAlignment="1">
      <alignment horizontal="right" vertical="center"/>
    </xf>
    <xf numFmtId="0" fontId="99" fillId="0" borderId="54" xfId="0" applyFont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57" fontId="11" fillId="0" borderId="37" xfId="0" applyNumberFormat="1" applyFont="1" applyBorder="1" applyAlignment="1">
      <alignment horizontal="center" vertical="center" wrapText="1"/>
    </xf>
    <xf numFmtId="0" fontId="11" fillId="0" borderId="76" xfId="0" applyFont="1" applyBorder="1" applyAlignment="1">
      <alignment horizontal="center" vertical="center" wrapText="1"/>
    </xf>
    <xf numFmtId="0" fontId="0" fillId="0" borderId="59" xfId="0" applyBorder="1" applyAlignment="1">
      <alignment horizontal="left"/>
    </xf>
    <xf numFmtId="0" fontId="0" fillId="0" borderId="0" xfId="0" applyBorder="1" applyAlignment="1">
      <alignment horizontal="left"/>
    </xf>
    <xf numFmtId="0" fontId="11" fillId="0" borderId="13" xfId="0" applyFont="1" applyBorder="1" applyAlignment="1">
      <alignment horizontal="center" vertical="center" wrapText="1"/>
    </xf>
    <xf numFmtId="0" fontId="11" fillId="0" borderId="61" xfId="0" applyFont="1" applyBorder="1" applyAlignment="1">
      <alignment horizontal="center" vertical="center" wrapText="1"/>
    </xf>
    <xf numFmtId="0" fontId="11" fillId="0" borderId="26" xfId="0" applyFont="1" applyBorder="1" applyAlignment="1">
      <alignment horizontal="center" vertical="center" wrapText="1"/>
    </xf>
    <xf numFmtId="57" fontId="11" fillId="0" borderId="37" xfId="828" applyNumberFormat="1" applyFont="1" applyFill="1" applyBorder="1" applyAlignment="1">
      <alignment horizontal="center" vertical="center" wrapText="1"/>
    </xf>
    <xf numFmtId="0" fontId="11" fillId="0" borderId="76" xfId="828" applyFont="1" applyFill="1" applyBorder="1" applyAlignment="1">
      <alignment horizontal="center" vertical="center" wrapText="1"/>
    </xf>
    <xf numFmtId="0" fontId="34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206" fontId="0" fillId="33" borderId="50" xfId="106" applyNumberFormat="1" applyFont="1" applyFill="1" applyBorder="1" applyAlignment="1">
      <alignment horizontal="center" vertical="center"/>
    </xf>
    <xf numFmtId="206" fontId="0" fillId="33" borderId="11" xfId="106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Border="1" applyAlignment="1"/>
    <xf numFmtId="0" fontId="3" fillId="0" borderId="0" xfId="0" applyFont="1" applyFill="1" applyBorder="1" applyAlignment="1">
      <alignment horizontal="center" vertical="center"/>
    </xf>
    <xf numFmtId="0" fontId="19" fillId="34" borderId="0" xfId="2460" applyFont="1" applyFill="1" applyAlignment="1">
      <alignment horizontal="center" vertical="center"/>
    </xf>
    <xf numFmtId="0" fontId="3" fillId="0" borderId="19" xfId="2456" applyFont="1" applyBorder="1" applyAlignment="1">
      <alignment horizontal="center" vertical="center"/>
    </xf>
    <xf numFmtId="0" fontId="3" fillId="0" borderId="0" xfId="2456" applyFont="1" applyBorder="1" applyAlignment="1">
      <alignment horizontal="center" vertical="center"/>
    </xf>
    <xf numFmtId="0" fontId="3" fillId="0" borderId="20" xfId="2456" applyFont="1" applyBorder="1" applyAlignment="1">
      <alignment horizontal="center" vertical="center"/>
    </xf>
    <xf numFmtId="0" fontId="4" fillId="0" borderId="0" xfId="2456" applyFont="1" applyBorder="1" applyAlignment="1">
      <alignment horizontal="left" vertical="center"/>
    </xf>
    <xf numFmtId="0" fontId="0" fillId="0" borderId="0" xfId="0"/>
    <xf numFmtId="0" fontId="3" fillId="0" borderId="19" xfId="2456" applyFont="1" applyFill="1" applyBorder="1" applyAlignment="1">
      <alignment horizontal="center" vertical="center"/>
    </xf>
    <xf numFmtId="0" fontId="3" fillId="0" borderId="0" xfId="2456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0" borderId="20" xfId="2456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Fill="1"/>
    <xf numFmtId="0" fontId="3" fillId="33" borderId="0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0" fillId="0" borderId="14" xfId="0" applyFill="1" applyBorder="1"/>
    <xf numFmtId="0" fontId="9" fillId="0" borderId="0" xfId="0" applyFont="1" applyFill="1" applyAlignment="1">
      <alignment horizontal="center" vertical="center"/>
    </xf>
    <xf numFmtId="57" fontId="11" fillId="0" borderId="13" xfId="0" applyNumberFormat="1" applyFont="1" applyFill="1" applyBorder="1" applyAlignment="1">
      <alignment horizontal="center" vertical="center" wrapText="1"/>
    </xf>
    <xf numFmtId="0" fontId="11" fillId="0" borderId="13" xfId="0" applyFont="1" applyFill="1" applyBorder="1" applyAlignment="1">
      <alignment horizontal="center" vertical="center" wrapText="1"/>
    </xf>
    <xf numFmtId="0" fontId="0" fillId="0" borderId="13" xfId="0" applyBorder="1" applyAlignment="1">
      <alignment horizontal="center"/>
    </xf>
    <xf numFmtId="0" fontId="0" fillId="0" borderId="13" xfId="0" applyBorder="1"/>
    <xf numFmtId="0" fontId="0" fillId="0" borderId="37" xfId="0" applyBorder="1"/>
    <xf numFmtId="0" fontId="0" fillId="0" borderId="38" xfId="0" applyBorder="1"/>
    <xf numFmtId="0" fontId="0" fillId="0" borderId="39" xfId="0" applyBorder="1"/>
    <xf numFmtId="0" fontId="0" fillId="0" borderId="17" xfId="0" applyBorder="1"/>
    <xf numFmtId="0" fontId="99" fillId="0" borderId="0" xfId="0" applyFont="1" applyAlignment="1">
      <alignment horizontal="center" wrapText="1"/>
    </xf>
    <xf numFmtId="0" fontId="99" fillId="0" borderId="54" xfId="0" applyFont="1" applyFill="1" applyBorder="1" applyAlignment="1">
      <alignment horizontal="center" vertical="center"/>
    </xf>
    <xf numFmtId="0" fontId="99" fillId="0" borderId="14" xfId="2456" applyFont="1" applyBorder="1" applyAlignment="1">
      <alignment horizontal="right" vertical="center"/>
    </xf>
    <xf numFmtId="0" fontId="99" fillId="0" borderId="14" xfId="0" applyFont="1" applyBorder="1" applyAlignment="1">
      <alignment horizontal="right" vertical="center"/>
    </xf>
    <xf numFmtId="0" fontId="99" fillId="0" borderId="66" xfId="2456" applyFont="1" applyBorder="1" applyAlignment="1">
      <alignment horizontal="center" vertical="center"/>
    </xf>
    <xf numFmtId="49" fontId="99" fillId="0" borderId="55" xfId="2459" applyNumberFormat="1" applyFont="1" applyBorder="1" applyAlignment="1">
      <alignment horizontal="center" vertical="center" wrapText="1"/>
    </xf>
    <xf numFmtId="202" fontId="99" fillId="0" borderId="30" xfId="2456" applyNumberFormat="1" applyFont="1" applyBorder="1">
      <alignment vertical="center"/>
    </xf>
    <xf numFmtId="200" fontId="99" fillId="0" borderId="30" xfId="2456" applyNumberFormat="1" applyFont="1" applyFill="1" applyBorder="1" applyAlignment="1">
      <alignment vertical="center" wrapText="1"/>
    </xf>
    <xf numFmtId="202" fontId="99" fillId="0" borderId="31" xfId="2456" applyNumberFormat="1" applyFont="1" applyBorder="1">
      <alignment vertical="center"/>
    </xf>
    <xf numFmtId="200" fontId="99" fillId="0" borderId="20" xfId="2457" applyNumberFormat="1" applyFont="1" applyFill="1" applyBorder="1" applyAlignment="1" applyProtection="1">
      <alignment horizontal="right" vertical="center"/>
    </xf>
    <xf numFmtId="200" fontId="99" fillId="0" borderId="30" xfId="2456" applyNumberFormat="1" applyFont="1" applyFill="1" applyBorder="1" applyAlignment="1">
      <alignment horizontal="right" vertical="center" wrapText="1"/>
    </xf>
    <xf numFmtId="202" fontId="99" fillId="0" borderId="32" xfId="2456" applyNumberFormat="1" applyFont="1" applyBorder="1">
      <alignment vertical="center"/>
    </xf>
    <xf numFmtId="200" fontId="99" fillId="0" borderId="32" xfId="2456" applyNumberFormat="1" applyFont="1" applyFill="1" applyBorder="1" applyAlignment="1">
      <alignment vertical="center" wrapText="1"/>
    </xf>
    <xf numFmtId="202" fontId="99" fillId="0" borderId="33" xfId="2456" applyNumberFormat="1" applyFont="1" applyBorder="1">
      <alignment vertical="center"/>
    </xf>
    <xf numFmtId="200" fontId="99" fillId="0" borderId="26" xfId="2457" applyNumberFormat="1" applyFont="1" applyFill="1" applyBorder="1" applyAlignment="1" applyProtection="1">
      <alignment horizontal="right" vertical="center"/>
    </xf>
    <xf numFmtId="202" fontId="99" fillId="0" borderId="75" xfId="2456" applyNumberFormat="1" applyFont="1" applyBorder="1">
      <alignment vertical="center"/>
    </xf>
    <xf numFmtId="200" fontId="99" fillId="0" borderId="37" xfId="2457" applyNumberFormat="1" applyFont="1" applyFill="1" applyBorder="1" applyAlignment="1" applyProtection="1">
      <alignment horizontal="right" vertical="center"/>
    </xf>
    <xf numFmtId="0" fontId="30" fillId="0" borderId="26" xfId="2456" applyNumberFormat="1" applyFont="1" applyFill="1" applyBorder="1" applyAlignment="1">
      <alignment horizontal="center" vertical="center" wrapText="1"/>
    </xf>
    <xf numFmtId="0" fontId="30" fillId="0" borderId="10" xfId="2456" applyNumberFormat="1" applyFont="1" applyFill="1" applyBorder="1" applyAlignment="1">
      <alignment horizontal="center" vertical="center" wrapText="1"/>
    </xf>
    <xf numFmtId="202" fontId="99" fillId="0" borderId="78" xfId="2456" applyNumberFormat="1" applyFont="1" applyFill="1" applyBorder="1" applyAlignment="1">
      <alignment horizontal="center" vertical="center" wrapText="1"/>
    </xf>
    <xf numFmtId="202" fontId="99" fillId="0" borderId="77" xfId="2456" applyNumberFormat="1" applyFont="1" applyFill="1" applyBorder="1" applyAlignment="1">
      <alignment horizontal="center" vertical="center" wrapText="1"/>
    </xf>
    <xf numFmtId="199" fontId="99" fillId="0" borderId="79" xfId="106" applyNumberFormat="1" applyFont="1" applyFill="1" applyBorder="1" applyAlignment="1">
      <alignment horizontal="right" vertical="center"/>
    </xf>
    <xf numFmtId="200" fontId="99" fillId="0" borderId="78" xfId="2457" applyNumberFormat="1" applyFont="1" applyFill="1" applyBorder="1" applyAlignment="1" applyProtection="1">
      <alignment horizontal="right" vertical="center"/>
    </xf>
    <xf numFmtId="204" fontId="99" fillId="0" borderId="54" xfId="0" applyNumberFormat="1" applyFont="1" applyFill="1" applyBorder="1" applyAlignment="1">
      <alignment horizontal="center" vertical="center"/>
    </xf>
    <xf numFmtId="0" fontId="99" fillId="0" borderId="15" xfId="0" applyFont="1" applyFill="1" applyBorder="1" applyAlignment="1">
      <alignment horizontal="center" vertical="center"/>
    </xf>
    <xf numFmtId="204" fontId="99" fillId="0" borderId="15" xfId="0" applyNumberFormat="1" applyFont="1" applyFill="1" applyBorder="1" applyAlignment="1">
      <alignment horizontal="right" vertical="center"/>
    </xf>
    <xf numFmtId="202" fontId="99" fillId="0" borderId="0" xfId="0" applyNumberFormat="1" applyFont="1"/>
    <xf numFmtId="202" fontId="99" fillId="0" borderId="15" xfId="0" applyNumberFormat="1" applyFont="1" applyFill="1" applyBorder="1" applyAlignment="1">
      <alignment horizontal="right" vertical="center"/>
    </xf>
    <xf numFmtId="0" fontId="99" fillId="0" borderId="22" xfId="0" applyFont="1" applyFill="1" applyBorder="1" applyAlignment="1">
      <alignment horizontal="center" vertical="center"/>
    </xf>
    <xf numFmtId="0" fontId="99" fillId="0" borderId="56" xfId="2456" applyFont="1" applyFill="1" applyBorder="1" applyAlignment="1">
      <alignment horizontal="center" vertical="center"/>
    </xf>
    <xf numFmtId="49" fontId="99" fillId="0" borderId="58" xfId="2459" applyNumberFormat="1" applyFont="1" applyFill="1" applyBorder="1" applyAlignment="1">
      <alignment horizontal="center" vertical="center" wrapText="1"/>
    </xf>
    <xf numFmtId="0" fontId="99" fillId="0" borderId="57" xfId="0" applyFont="1" applyFill="1" applyBorder="1" applyAlignment="1">
      <alignment horizontal="center" vertical="center"/>
    </xf>
    <xf numFmtId="0" fontId="99" fillId="0" borderId="56" xfId="2456" applyFont="1" applyBorder="1" applyAlignment="1">
      <alignment horizontal="center" vertical="center"/>
    </xf>
    <xf numFmtId="49" fontId="99" fillId="0" borderId="58" xfId="2459" applyNumberFormat="1" applyFont="1" applyBorder="1" applyAlignment="1">
      <alignment horizontal="center" vertical="center" wrapText="1"/>
    </xf>
    <xf numFmtId="0" fontId="99" fillId="0" borderId="57" xfId="0" applyFont="1" applyBorder="1" applyAlignment="1">
      <alignment horizontal="center" vertical="center"/>
    </xf>
    <xf numFmtId="0" fontId="99" fillId="0" borderId="10" xfId="2456" applyFont="1" applyBorder="1" applyAlignment="1">
      <alignment horizontal="center" vertical="center"/>
    </xf>
    <xf numFmtId="0" fontId="99" fillId="0" borderId="15" xfId="2456" applyFont="1" applyFill="1" applyBorder="1" applyAlignment="1">
      <alignment horizontal="center" vertical="center" wrapText="1"/>
    </xf>
    <xf numFmtId="202" fontId="99" fillId="0" borderId="15" xfId="2456" applyNumberFormat="1" applyFont="1" applyBorder="1">
      <alignment vertical="center"/>
    </xf>
    <xf numFmtId="200" fontId="99" fillId="0" borderId="15" xfId="2456" applyNumberFormat="1" applyFont="1" applyFill="1" applyBorder="1" applyAlignment="1">
      <alignment vertical="center" wrapText="1"/>
    </xf>
    <xf numFmtId="200" fontId="99" fillId="0" borderId="15" xfId="2456" applyNumberFormat="1" applyFont="1" applyFill="1" applyBorder="1" applyAlignment="1">
      <alignment horizontal="right" vertical="center" wrapText="1"/>
    </xf>
    <xf numFmtId="204" fontId="99" fillId="0" borderId="15" xfId="2456" applyNumberFormat="1" applyFont="1" applyFill="1" applyBorder="1" applyAlignment="1">
      <alignment horizontal="right" vertical="center" wrapText="1"/>
    </xf>
    <xf numFmtId="201" fontId="99" fillId="0" borderId="15" xfId="106" applyNumberFormat="1" applyFont="1" applyFill="1" applyBorder="1" applyAlignment="1">
      <alignment horizontal="right" vertical="center"/>
    </xf>
    <xf numFmtId="0" fontId="99" fillId="0" borderId="15" xfId="2456" applyFont="1" applyFill="1" applyBorder="1">
      <alignment vertical="center"/>
    </xf>
    <xf numFmtId="202" fontId="99" fillId="0" borderId="0" xfId="2456" applyNumberFormat="1" applyFont="1">
      <alignment vertical="center"/>
    </xf>
    <xf numFmtId="0" fontId="99" fillId="35" borderId="10" xfId="2456" applyFont="1" applyFill="1" applyBorder="1" applyAlignment="1">
      <alignment horizontal="center" vertical="center"/>
    </xf>
    <xf numFmtId="0" fontId="99" fillId="35" borderId="66" xfId="2456" applyFont="1" applyFill="1" applyBorder="1" applyAlignment="1">
      <alignment horizontal="center" vertical="center"/>
    </xf>
    <xf numFmtId="49" fontId="99" fillId="35" borderId="55" xfId="2459" applyNumberFormat="1" applyFont="1" applyFill="1" applyBorder="1" applyAlignment="1">
      <alignment horizontal="center" vertical="center" wrapText="1"/>
    </xf>
    <xf numFmtId="0" fontId="99" fillId="35" borderId="54" xfId="0" applyFont="1" applyFill="1" applyBorder="1" applyAlignment="1">
      <alignment horizontal="center" vertical="center"/>
    </xf>
    <xf numFmtId="0" fontId="99" fillId="35" borderId="19" xfId="2456" applyFont="1" applyFill="1" applyBorder="1" applyAlignment="1">
      <alignment vertical="center" wrapText="1"/>
    </xf>
    <xf numFmtId="0" fontId="99" fillId="35" borderId="19" xfId="2456" applyFont="1" applyFill="1" applyBorder="1" applyAlignment="1">
      <alignment horizontal="center" vertical="center" wrapText="1"/>
    </xf>
    <xf numFmtId="202" fontId="99" fillId="35" borderId="29" xfId="2456" applyNumberFormat="1" applyFont="1" applyFill="1" applyBorder="1">
      <alignment vertical="center"/>
    </xf>
    <xf numFmtId="200" fontId="99" fillId="35" borderId="30" xfId="2456" applyNumberFormat="1" applyFont="1" applyFill="1" applyBorder="1" applyAlignment="1">
      <alignment vertical="center" wrapText="1"/>
    </xf>
    <xf numFmtId="202" fontId="99" fillId="35" borderId="30" xfId="2456" applyNumberFormat="1" applyFont="1" applyFill="1" applyBorder="1">
      <alignment vertical="center"/>
    </xf>
    <xf numFmtId="200" fontId="99" fillId="35" borderId="31" xfId="2457" applyNumberFormat="1" applyFont="1" applyFill="1" applyBorder="1" applyAlignment="1" applyProtection="1">
      <alignment horizontal="right" vertical="center"/>
    </xf>
    <xf numFmtId="0" fontId="99" fillId="35" borderId="0" xfId="2456" applyFont="1" applyFill="1" applyBorder="1" applyAlignment="1">
      <alignment vertical="center" wrapText="1"/>
    </xf>
    <xf numFmtId="0" fontId="99" fillId="35" borderId="15" xfId="2456" applyFont="1" applyFill="1" applyBorder="1" applyAlignment="1">
      <alignment horizontal="center" vertical="center" wrapText="1"/>
    </xf>
    <xf numFmtId="0" fontId="99" fillId="35" borderId="19" xfId="2456" applyFont="1" applyFill="1" applyBorder="1" applyAlignment="1">
      <alignment horizontal="left" vertical="center" wrapText="1"/>
    </xf>
    <xf numFmtId="200" fontId="99" fillId="35" borderId="30" xfId="2456" applyNumberFormat="1" applyFont="1" applyFill="1" applyBorder="1" applyAlignment="1">
      <alignment horizontal="right" vertical="center" wrapText="1"/>
    </xf>
    <xf numFmtId="0" fontId="99" fillId="35" borderId="21" xfId="2456" applyFont="1" applyFill="1" applyBorder="1" applyAlignment="1">
      <alignment vertical="center" wrapText="1"/>
    </xf>
    <xf numFmtId="0" fontId="99" fillId="35" borderId="62" xfId="2456" applyFont="1" applyFill="1" applyBorder="1" applyAlignment="1">
      <alignment horizontal="center" vertical="center" wrapText="1"/>
    </xf>
    <xf numFmtId="202" fontId="99" fillId="35" borderId="63" xfId="2456" applyNumberFormat="1" applyFont="1" applyFill="1" applyBorder="1">
      <alignment vertical="center"/>
    </xf>
    <xf numFmtId="200" fontId="99" fillId="35" borderId="68" xfId="2456" applyNumberFormat="1" applyFont="1" applyFill="1" applyBorder="1" applyAlignment="1">
      <alignment vertical="center" wrapText="1"/>
    </xf>
    <xf numFmtId="202" fontId="99" fillId="35" borderId="68" xfId="2456" applyNumberFormat="1" applyFont="1" applyFill="1" applyBorder="1">
      <alignment vertical="center"/>
    </xf>
    <xf numFmtId="200" fontId="99" fillId="35" borderId="69" xfId="2457" applyNumberFormat="1" applyFont="1" applyFill="1" applyBorder="1" applyAlignment="1" applyProtection="1">
      <alignment horizontal="right" vertical="center"/>
    </xf>
    <xf numFmtId="204" fontId="99" fillId="35" borderId="29" xfId="2456" applyNumberFormat="1" applyFont="1" applyFill="1" applyBorder="1">
      <alignment vertical="center"/>
    </xf>
    <xf numFmtId="204" fontId="99" fillId="35" borderId="30" xfId="2456" applyNumberFormat="1" applyFont="1" applyFill="1" applyBorder="1">
      <alignment vertical="center"/>
    </xf>
    <xf numFmtId="0" fontId="99" fillId="0" borderId="53" xfId="0" applyFont="1" applyBorder="1" applyAlignment="1">
      <alignment horizontal="center" vertical="center"/>
    </xf>
    <xf numFmtId="0" fontId="99" fillId="0" borderId="0" xfId="0" applyFont="1" applyBorder="1" applyAlignment="1">
      <alignment vertical="center"/>
    </xf>
    <xf numFmtId="0" fontId="99" fillId="0" borderId="20" xfId="0" applyFont="1" applyBorder="1" applyAlignment="1">
      <alignment vertical="center"/>
    </xf>
    <xf numFmtId="204" fontId="99" fillId="0" borderId="15" xfId="21" applyNumberFormat="1" applyFont="1" applyBorder="1" applyAlignment="1">
      <alignment vertical="center"/>
    </xf>
    <xf numFmtId="200" fontId="99" fillId="0" borderId="0" xfId="0" applyNumberFormat="1" applyFont="1" applyBorder="1" applyAlignment="1">
      <alignment vertical="center"/>
    </xf>
    <xf numFmtId="0" fontId="99" fillId="0" borderId="0" xfId="0" applyFont="1" applyBorder="1" applyAlignment="1">
      <alignment horizontal="left" vertical="center" wrapText="1"/>
    </xf>
    <xf numFmtId="0" fontId="99" fillId="0" borderId="20" xfId="0" applyFont="1" applyBorder="1" applyAlignment="1">
      <alignment horizontal="center" vertical="center" wrapText="1"/>
    </xf>
    <xf numFmtId="202" fontId="99" fillId="0" borderId="15" xfId="21" applyNumberFormat="1" applyFont="1" applyBorder="1" applyAlignment="1">
      <alignment vertical="center"/>
    </xf>
    <xf numFmtId="0" fontId="99" fillId="0" borderId="0" xfId="0" applyFont="1" applyBorder="1" applyAlignment="1">
      <alignment horizontal="left" vertical="center"/>
    </xf>
    <xf numFmtId="200" fontId="99" fillId="0" borderId="0" xfId="0" applyNumberFormat="1" applyFont="1" applyFill="1" applyBorder="1" applyAlignment="1">
      <alignment vertical="center"/>
    </xf>
    <xf numFmtId="0" fontId="99" fillId="0" borderId="20" xfId="0" applyFont="1" applyFill="1" applyBorder="1" applyAlignment="1">
      <alignment horizontal="center" vertical="center" wrapText="1"/>
    </xf>
    <xf numFmtId="0" fontId="99" fillId="0" borderId="19" xfId="0" applyFont="1" applyBorder="1" applyAlignment="1">
      <alignment horizontal="left" vertical="center" wrapText="1"/>
    </xf>
    <xf numFmtId="0" fontId="99" fillId="0" borderId="20" xfId="0" applyFont="1" applyBorder="1" applyAlignment="1">
      <alignment horizontal="center" vertical="center"/>
    </xf>
    <xf numFmtId="0" fontId="99" fillId="0" borderId="0" xfId="0" applyFont="1" applyBorder="1" applyAlignment="1">
      <alignment vertical="center" wrapText="1"/>
    </xf>
    <xf numFmtId="200" fontId="99" fillId="0" borderId="0" xfId="0" applyNumberFormat="1" applyFont="1" applyFill="1" applyBorder="1" applyAlignment="1">
      <alignment vertical="center" wrapText="1"/>
    </xf>
    <xf numFmtId="0" fontId="99" fillId="0" borderId="21" xfId="0" applyFont="1" applyBorder="1" applyAlignment="1">
      <alignment vertical="center" wrapText="1"/>
    </xf>
    <xf numFmtId="0" fontId="99" fillId="0" borderId="23" xfId="0" applyFont="1" applyBorder="1" applyAlignment="1">
      <alignment horizontal="center" vertical="center" wrapText="1"/>
    </xf>
    <xf numFmtId="202" fontId="99" fillId="0" borderId="22" xfId="21" applyNumberFormat="1" applyFont="1" applyBorder="1" applyAlignment="1">
      <alignment vertical="center"/>
    </xf>
    <xf numFmtId="200" fontId="99" fillId="0" borderId="14" xfId="0" applyNumberFormat="1" applyFont="1" applyBorder="1" applyAlignment="1">
      <alignment vertical="center"/>
    </xf>
    <xf numFmtId="0" fontId="99" fillId="0" borderId="53" xfId="2456" applyFont="1" applyFill="1" applyBorder="1" applyAlignment="1">
      <alignment horizontal="center" vertical="center"/>
    </xf>
    <xf numFmtId="0" fontId="99" fillId="0" borderId="54" xfId="2456" applyFont="1" applyFill="1" applyBorder="1" applyAlignment="1">
      <alignment horizontal="center" vertical="center"/>
    </xf>
    <xf numFmtId="0" fontId="99" fillId="0" borderId="66" xfId="2456" applyFont="1" applyFill="1" applyBorder="1" applyAlignment="1">
      <alignment horizontal="center" vertical="center"/>
    </xf>
    <xf numFmtId="0" fontId="99" fillId="0" borderId="0" xfId="2456" applyFont="1" applyFill="1" applyBorder="1" applyAlignment="1">
      <alignment horizontal="left" vertical="center" wrapText="1"/>
    </xf>
    <xf numFmtId="0" fontId="99" fillId="0" borderId="35" xfId="2456" applyFont="1" applyFill="1" applyBorder="1" applyAlignment="1">
      <alignment horizontal="center" vertical="center" wrapText="1"/>
    </xf>
    <xf numFmtId="206" fontId="99" fillId="0" borderId="15" xfId="2456" applyNumberFormat="1" applyFont="1" applyFill="1" applyBorder="1" applyAlignment="1">
      <alignment horizontal="center" vertical="center"/>
    </xf>
    <xf numFmtId="199" fontId="99" fillId="0" borderId="15" xfId="2456" applyNumberFormat="1" applyFont="1" applyFill="1" applyBorder="1" applyAlignment="1">
      <alignment horizontal="center" vertical="center"/>
    </xf>
    <xf numFmtId="0" fontId="99" fillId="0" borderId="0" xfId="2456" applyFont="1" applyFill="1" applyBorder="1" applyAlignment="1">
      <alignment vertical="center" wrapText="1"/>
    </xf>
    <xf numFmtId="200" fontId="99" fillId="0" borderId="15" xfId="0" applyNumberFormat="1" applyFont="1" applyFill="1" applyBorder="1" applyAlignment="1">
      <alignment horizontal="center" vertical="center"/>
    </xf>
    <xf numFmtId="0" fontId="99" fillId="0" borderId="0" xfId="2456" applyFont="1" applyFill="1" applyBorder="1" applyAlignment="1">
      <alignment vertical="center"/>
    </xf>
    <xf numFmtId="200" fontId="99" fillId="0" borderId="15" xfId="2456" applyNumberFormat="1" applyFont="1" applyFill="1" applyBorder="1" applyAlignment="1">
      <alignment horizontal="center" vertical="center"/>
    </xf>
    <xf numFmtId="0" fontId="99" fillId="0" borderId="0" xfId="0" applyFont="1" applyAlignment="1">
      <alignment horizontal="center" vertical="center"/>
    </xf>
    <xf numFmtId="0" fontId="99" fillId="0" borderId="55" xfId="2456" applyFont="1" applyBorder="1" applyAlignment="1">
      <alignment horizontal="center" vertical="center"/>
    </xf>
    <xf numFmtId="202" fontId="99" fillId="0" borderId="30" xfId="0" applyNumberFormat="1" applyFont="1" applyBorder="1"/>
    <xf numFmtId="206" fontId="99" fillId="0" borderId="0" xfId="0" applyNumberFormat="1" applyFont="1" applyAlignment="1">
      <alignment horizontal="center" vertical="center"/>
    </xf>
    <xf numFmtId="202" fontId="99" fillId="0" borderId="29" xfId="0" applyNumberFormat="1" applyFont="1" applyBorder="1"/>
    <xf numFmtId="200" fontId="99" fillId="0" borderId="0" xfId="0" applyNumberFormat="1" applyFont="1" applyFill="1" applyAlignment="1">
      <alignment horizontal="right" vertical="center"/>
    </xf>
    <xf numFmtId="206" fontId="99" fillId="35" borderId="0" xfId="0" applyNumberFormat="1" applyFont="1" applyFill="1" applyAlignment="1">
      <alignment horizontal="center" vertical="center"/>
    </xf>
    <xf numFmtId="0" fontId="99" fillId="35" borderId="0" xfId="0" applyFont="1" applyFill="1" applyAlignment="1">
      <alignment horizontal="center" vertical="center"/>
    </xf>
    <xf numFmtId="206" fontId="99" fillId="35" borderId="54" xfId="0" applyNumberFormat="1" applyFont="1" applyFill="1" applyBorder="1" applyAlignment="1">
      <alignment horizontal="center" vertical="center" wrapText="1"/>
    </xf>
    <xf numFmtId="0" fontId="99" fillId="35" borderId="53" xfId="0" applyFont="1" applyFill="1" applyBorder="1" applyAlignment="1">
      <alignment horizontal="center" vertical="center"/>
    </xf>
    <xf numFmtId="202" fontId="16" fillId="35" borderId="0" xfId="0" applyNumberFormat="1" applyFont="1" applyFill="1"/>
    <xf numFmtId="200" fontId="16" fillId="35" borderId="61" xfId="106" applyNumberFormat="1" applyFont="1" applyFill="1" applyBorder="1" applyAlignment="1">
      <alignment horizontal="right" vertical="center"/>
    </xf>
    <xf numFmtId="200" fontId="16" fillId="35" borderId="20" xfId="106" applyNumberFormat="1" applyFont="1" applyFill="1" applyBorder="1" applyAlignment="1">
      <alignment horizontal="right" vertical="center"/>
    </xf>
    <xf numFmtId="0" fontId="99" fillId="0" borderId="19" xfId="0" applyNumberFormat="1" applyFont="1" applyFill="1" applyBorder="1" applyAlignment="1">
      <alignment horizontal="center"/>
    </xf>
    <xf numFmtId="0" fontId="99" fillId="0" borderId="19" xfId="0" applyFont="1" applyFill="1" applyBorder="1" applyAlignment="1">
      <alignment horizontal="center"/>
    </xf>
    <xf numFmtId="0" fontId="99" fillId="0" borderId="19" xfId="0" applyNumberFormat="1" applyFont="1" applyFill="1" applyBorder="1" applyAlignment="1"/>
    <xf numFmtId="0" fontId="99" fillId="0" borderId="19" xfId="0" applyFont="1" applyFill="1" applyBorder="1" applyAlignment="1">
      <alignment vertical="center" wrapText="1"/>
    </xf>
    <xf numFmtId="0" fontId="99" fillId="0" borderId="57" xfId="2458" applyFont="1" applyFill="1" applyBorder="1" applyAlignment="1">
      <alignment horizontal="center" vertical="center"/>
    </xf>
    <xf numFmtId="0" fontId="99" fillId="0" borderId="50" xfId="0" applyFont="1" applyBorder="1" applyAlignment="1">
      <alignment horizontal="center" vertical="center"/>
    </xf>
    <xf numFmtId="0" fontId="99" fillId="0" borderId="0" xfId="0" applyFont="1" applyFill="1"/>
    <xf numFmtId="0" fontId="99" fillId="0" borderId="49" xfId="0" applyFont="1" applyFill="1" applyBorder="1" applyAlignment="1">
      <alignment horizontal="center" vertical="center"/>
    </xf>
    <xf numFmtId="0" fontId="99" fillId="0" borderId="50" xfId="0" applyFont="1" applyFill="1" applyBorder="1" applyAlignment="1">
      <alignment horizontal="center" vertical="center"/>
    </xf>
    <xf numFmtId="202" fontId="99" fillId="0" borderId="30" xfId="0" applyNumberFormat="1" applyFont="1" applyFill="1" applyBorder="1"/>
    <xf numFmtId="0" fontId="99" fillId="0" borderId="30" xfId="0" applyFont="1" applyFill="1" applyBorder="1"/>
    <xf numFmtId="0" fontId="99" fillId="0" borderId="31" xfId="0" applyFont="1" applyFill="1" applyBorder="1"/>
    <xf numFmtId="0" fontId="99" fillId="0" borderId="0" xfId="0" applyFont="1" applyFill="1" applyBorder="1" applyAlignment="1">
      <alignment vertical="center"/>
    </xf>
    <xf numFmtId="200" fontId="99" fillId="0" borderId="30" xfId="0" applyNumberFormat="1" applyFont="1" applyFill="1" applyBorder="1"/>
    <xf numFmtId="0" fontId="99" fillId="0" borderId="31" xfId="821" applyFont="1" applyFill="1" applyBorder="1" applyAlignment="1">
      <alignment horizontal="center" vertical="center"/>
    </xf>
    <xf numFmtId="0" fontId="99" fillId="0" borderId="0" xfId="0" applyFont="1" applyFill="1" applyBorder="1" applyAlignment="1">
      <alignment vertical="center" wrapText="1"/>
    </xf>
    <xf numFmtId="0" fontId="99" fillId="0" borderId="0" xfId="0" applyFont="1" applyFill="1" applyBorder="1" applyAlignment="1">
      <alignment horizontal="left" vertical="center" wrapText="1"/>
    </xf>
    <xf numFmtId="199" fontId="99" fillId="0" borderId="30" xfId="0" applyNumberFormat="1" applyFont="1" applyFill="1" applyBorder="1" applyAlignment="1">
      <alignment horizontal="right" vertical="center"/>
    </xf>
    <xf numFmtId="0" fontId="99" fillId="0" borderId="31" xfId="0" applyFont="1" applyFill="1" applyBorder="1" applyAlignment="1">
      <alignment horizontal="center" vertical="center"/>
    </xf>
    <xf numFmtId="0" fontId="99" fillId="0" borderId="30" xfId="0" applyNumberFormat="1" applyFont="1" applyFill="1" applyBorder="1" applyAlignment="1">
      <alignment horizontal="center" vertical="center"/>
    </xf>
    <xf numFmtId="0" fontId="99" fillId="0" borderId="31" xfId="0" applyNumberFormat="1" applyFont="1" applyFill="1" applyBorder="1" applyAlignment="1">
      <alignment horizontal="center" vertical="center"/>
    </xf>
    <xf numFmtId="0" fontId="99" fillId="0" borderId="0" xfId="0" applyFont="1" applyBorder="1" applyAlignment="1">
      <alignment horizontal="center" vertical="center"/>
    </xf>
    <xf numFmtId="0" fontId="99" fillId="0" borderId="54" xfId="2456" applyFont="1" applyBorder="1" applyAlignment="1">
      <alignment horizontal="center" vertical="center"/>
    </xf>
    <xf numFmtId="49" fontId="99" fillId="0" borderId="54" xfId="2459" applyNumberFormat="1" applyFont="1" applyBorder="1" applyAlignment="1">
      <alignment horizontal="center" vertical="center" wrapText="1"/>
    </xf>
    <xf numFmtId="0" fontId="99" fillId="0" borderId="55" xfId="0" applyFont="1" applyBorder="1" applyAlignment="1">
      <alignment horizontal="center" vertical="center"/>
    </xf>
    <xf numFmtId="0" fontId="99" fillId="0" borderId="31" xfId="0" applyFont="1" applyBorder="1"/>
    <xf numFmtId="0" fontId="99" fillId="0" borderId="20" xfId="0" applyFont="1" applyBorder="1"/>
    <xf numFmtId="0" fontId="99" fillId="0" borderId="49" xfId="0" applyFont="1" applyBorder="1" applyAlignment="1">
      <alignment horizontal="center" vertical="center"/>
    </xf>
    <xf numFmtId="0" fontId="99" fillId="0" borderId="19" xfId="0" applyFont="1" applyBorder="1" applyAlignment="1">
      <alignment vertical="center"/>
    </xf>
    <xf numFmtId="199" fontId="99" fillId="0" borderId="15" xfId="0" applyNumberFormat="1" applyFont="1" applyFill="1" applyBorder="1" applyAlignment="1">
      <alignment horizontal="right" vertical="center"/>
    </xf>
    <xf numFmtId="0" fontId="99" fillId="0" borderId="19" xfId="0" applyFont="1" applyBorder="1" applyAlignment="1">
      <alignment vertical="center" wrapText="1"/>
    </xf>
    <xf numFmtId="206" fontId="99" fillId="0" borderId="15" xfId="0" applyNumberFormat="1" applyFont="1" applyFill="1" applyBorder="1" applyAlignment="1">
      <alignment horizontal="right" vertical="center"/>
    </xf>
    <xf numFmtId="0" fontId="99" fillId="0" borderId="0" xfId="0" applyFont="1"/>
    <xf numFmtId="206" fontId="99" fillId="0" borderId="15" xfId="0" applyNumberFormat="1" applyFont="1" applyBorder="1" applyAlignment="1">
      <alignment horizontal="right" vertical="center"/>
    </xf>
    <xf numFmtId="0" fontId="99" fillId="0" borderId="20" xfId="0" applyFont="1" applyFill="1" applyBorder="1" applyAlignment="1">
      <alignment horizontal="center" vertical="center"/>
    </xf>
    <xf numFmtId="201" fontId="99" fillId="0" borderId="15" xfId="0" applyNumberFormat="1" applyFont="1" applyFill="1" applyBorder="1" applyAlignment="1">
      <alignment horizontal="right" vertical="center"/>
    </xf>
    <xf numFmtId="200" fontId="99" fillId="0" borderId="15" xfId="0" applyNumberFormat="1" applyFont="1" applyFill="1" applyBorder="1" applyAlignment="1">
      <alignment horizontal="right" vertical="center"/>
    </xf>
    <xf numFmtId="0" fontId="99" fillId="0" borderId="20" xfId="0" applyNumberFormat="1" applyFont="1" applyFill="1" applyBorder="1" applyAlignment="1">
      <alignment horizontal="center" vertical="center"/>
    </xf>
    <xf numFmtId="0" fontId="99" fillId="0" borderId="15" xfId="0" applyFont="1" applyBorder="1"/>
    <xf numFmtId="0" fontId="99" fillId="35" borderId="50" xfId="0" applyFont="1" applyFill="1" applyBorder="1" applyAlignment="1">
      <alignment horizontal="center" vertical="center"/>
    </xf>
    <xf numFmtId="0" fontId="11" fillId="35" borderId="51" xfId="0" applyFont="1" applyFill="1" applyBorder="1" applyAlignment="1">
      <alignment horizontal="center" vertical="center"/>
    </xf>
    <xf numFmtId="201" fontId="99" fillId="35" borderId="28" xfId="0" applyNumberFormat="1" applyFont="1" applyFill="1" applyBorder="1" applyAlignment="1">
      <alignment horizontal="right" vertical="center"/>
    </xf>
    <xf numFmtId="199" fontId="99" fillId="35" borderId="19" xfId="0" applyNumberFormat="1" applyFont="1" applyFill="1" applyBorder="1" applyAlignment="1">
      <alignment horizontal="right" vertical="center"/>
    </xf>
    <xf numFmtId="202" fontId="99" fillId="35" borderId="29" xfId="0" applyNumberFormat="1" applyFont="1" applyFill="1" applyBorder="1"/>
    <xf numFmtId="200" fontId="99" fillId="35" borderId="0" xfId="106" applyNumberFormat="1" applyFont="1" applyFill="1" applyBorder="1" applyAlignment="1">
      <alignment horizontal="right" vertical="center"/>
    </xf>
    <xf numFmtId="0" fontId="17" fillId="0" borderId="0" xfId="0" applyFont="1" applyFill="1" applyAlignment="1">
      <alignment horizontal="left" vertical="center" wrapText="1"/>
    </xf>
    <xf numFmtId="0" fontId="17" fillId="0" borderId="19" xfId="0" applyFont="1" applyFill="1" applyBorder="1" applyAlignment="1">
      <alignment horizontal="left" vertical="center" wrapText="1"/>
    </xf>
    <xf numFmtId="0" fontId="99" fillId="0" borderId="19" xfId="0" applyFont="1" applyFill="1" applyBorder="1" applyAlignment="1">
      <alignment vertical="center"/>
    </xf>
    <xf numFmtId="0" fontId="99" fillId="0" borderId="19" xfId="0" applyFont="1" applyFill="1" applyBorder="1" applyAlignment="1">
      <alignment horizontal="left" vertical="center" wrapText="1"/>
    </xf>
    <xf numFmtId="200" fontId="99" fillId="0" borderId="30" xfId="831" applyNumberFormat="1" applyFont="1" applyFill="1" applyBorder="1" applyAlignment="1">
      <alignment horizontal="right" vertical="center"/>
    </xf>
    <xf numFmtId="202" fontId="99" fillId="0" borderId="30" xfId="831" applyNumberFormat="1" applyFont="1" applyFill="1" applyBorder="1"/>
    <xf numFmtId="200" fontId="99" fillId="0" borderId="32" xfId="831" applyNumberFormat="1" applyFont="1" applyFill="1" applyBorder="1" applyAlignment="1">
      <alignment horizontal="right" vertical="center"/>
    </xf>
    <xf numFmtId="202" fontId="99" fillId="0" borderId="32" xfId="831" applyNumberFormat="1" applyFont="1" applyFill="1" applyBorder="1"/>
    <xf numFmtId="0" fontId="99" fillId="0" borderId="30" xfId="0" applyFont="1" applyBorder="1" applyAlignment="1"/>
    <xf numFmtId="200" fontId="99" fillId="0" borderId="30" xfId="1822" applyNumberFormat="1" applyFont="1" applyFill="1" applyBorder="1"/>
    <xf numFmtId="202" fontId="99" fillId="0" borderId="30" xfId="1822" applyNumberFormat="1" applyFont="1" applyFill="1" applyBorder="1"/>
    <xf numFmtId="0" fontId="99" fillId="0" borderId="31" xfId="0" applyFont="1" applyBorder="1" applyAlignment="1">
      <alignment vertical="center"/>
    </xf>
    <xf numFmtId="0" fontId="99" fillId="0" borderId="31" xfId="0" applyFont="1" applyBorder="1" applyAlignment="1">
      <alignment vertical="center" wrapText="1"/>
    </xf>
    <xf numFmtId="0" fontId="99" fillId="0" borderId="31" xfId="0" applyFont="1" applyBorder="1" applyAlignment="1">
      <alignment horizontal="left" vertical="center" wrapText="1"/>
    </xf>
    <xf numFmtId="0" fontId="99" fillId="0" borderId="31" xfId="0" applyFont="1" applyFill="1" applyBorder="1" applyAlignment="1">
      <alignment vertical="center" wrapText="1"/>
    </xf>
    <xf numFmtId="0" fontId="99" fillId="0" borderId="48" xfId="0" applyFont="1" applyFill="1" applyBorder="1" applyAlignment="1">
      <alignment vertical="center" wrapText="1"/>
    </xf>
    <xf numFmtId="202" fontId="0" fillId="35" borderId="30" xfId="0" applyNumberFormat="1" applyFill="1" applyBorder="1"/>
    <xf numFmtId="200" fontId="0" fillId="35" borderId="31" xfId="0" applyNumberFormat="1" applyFill="1" applyBorder="1" applyAlignment="1">
      <alignment horizontal="right" vertical="center"/>
    </xf>
  </cellXfs>
  <cellStyles count="3112">
    <cellStyle name="?鹎%U龡&amp;H?_x0008__x001c__x001c_?_x0007__x0001__x0001_" xfId="118"/>
    <cellStyle name="_0202" xfId="120"/>
    <cellStyle name="_20100326高清市院遂宁检察院1080P配置清单26日改" xfId="112"/>
    <cellStyle name="_Book1" xfId="126"/>
    <cellStyle name="_Book1_1" xfId="109"/>
    <cellStyle name="_Book1_2" xfId="127"/>
    <cellStyle name="_Book1_3" xfId="129"/>
    <cellStyle name="_ET_STYLE_NoName_00_" xfId="104"/>
    <cellStyle name="_ET_STYLE_NoName_00__Book1" xfId="103"/>
    <cellStyle name="_ET_STYLE_NoName_00__Book1_1" xfId="133"/>
    <cellStyle name="_ET_STYLE_NoName_00__Sheet3" xfId="33"/>
    <cellStyle name="_分县1" xfId="139"/>
    <cellStyle name="_分县2" xfId="14"/>
    <cellStyle name="_计财部审批要件" xfId="114"/>
    <cellStyle name="_弱电系统设备配置报价清单" xfId="101"/>
    <cellStyle name="0,0_x000d_&#10;NA_x000d_&#10;" xfId="100"/>
    <cellStyle name="20% - Accent1" xfId="142"/>
    <cellStyle name="20% - Accent1 2" xfId="144"/>
    <cellStyle name="20% - Accent1 3" xfId="149"/>
    <cellStyle name="20% - Accent1 4" xfId="152"/>
    <cellStyle name="20% - Accent1 5" xfId="155"/>
    <cellStyle name="20% - Accent1 6" xfId="159"/>
    <cellStyle name="20% - Accent1 7" xfId="164"/>
    <cellStyle name="20% - Accent1 8" xfId="169"/>
    <cellStyle name="20% - Accent1 9" xfId="173"/>
    <cellStyle name="20% - Accent2" xfId="176"/>
    <cellStyle name="20% - Accent2 2" xfId="178"/>
    <cellStyle name="20% - Accent2 3" xfId="183"/>
    <cellStyle name="20% - Accent2 4" xfId="185"/>
    <cellStyle name="20% - Accent2 5" xfId="187"/>
    <cellStyle name="20% - Accent2 6" xfId="190"/>
    <cellStyle name="20% - Accent2 7" xfId="194"/>
    <cellStyle name="20% - Accent2 8" xfId="198"/>
    <cellStyle name="20% - Accent2 9" xfId="201"/>
    <cellStyle name="20% - Accent3" xfId="203"/>
    <cellStyle name="20% - Accent3 2" xfId="71"/>
    <cellStyle name="20% - Accent3 3" xfId="208"/>
    <cellStyle name="20% - Accent3 4" xfId="213"/>
    <cellStyle name="20% - Accent3 5" xfId="217"/>
    <cellStyle name="20% - Accent3 6" xfId="221"/>
    <cellStyle name="20% - Accent3 7" xfId="225"/>
    <cellStyle name="20% - Accent3 8" xfId="231"/>
    <cellStyle name="20% - Accent3 9" xfId="234"/>
    <cellStyle name="20% - Accent4" xfId="237"/>
    <cellStyle name="20% - Accent4 2" xfId="239"/>
    <cellStyle name="20% - Accent4 3" xfId="245"/>
    <cellStyle name="20% - Accent4 4" xfId="30"/>
    <cellStyle name="20% - Accent4 5" xfId="250"/>
    <cellStyle name="20% - Accent4 6" xfId="257"/>
    <cellStyle name="20% - Accent4 7" xfId="262"/>
    <cellStyle name="20% - Accent4 8" xfId="268"/>
    <cellStyle name="20% - Accent4 9" xfId="274"/>
    <cellStyle name="20% - Accent5" xfId="275"/>
    <cellStyle name="20% - Accent5 2" xfId="277"/>
    <cellStyle name="20% - Accent5 3" xfId="279"/>
    <cellStyle name="20% - Accent5 4" xfId="281"/>
    <cellStyle name="20% - Accent5 5" xfId="283"/>
    <cellStyle name="20% - Accent5 6" xfId="115"/>
    <cellStyle name="20% - Accent5 7" xfId="286"/>
    <cellStyle name="20% - Accent5 8" xfId="292"/>
    <cellStyle name="20% - Accent5 9" xfId="298"/>
    <cellStyle name="20% - Accent6" xfId="299"/>
    <cellStyle name="20% - Accent6 2" xfId="302"/>
    <cellStyle name="20% - Accent6 3" xfId="305"/>
    <cellStyle name="20% - Accent6 4" xfId="308"/>
    <cellStyle name="20% - Accent6 5" xfId="312"/>
    <cellStyle name="20% - Accent6 6" xfId="316"/>
    <cellStyle name="20% - Accent6 7" xfId="319"/>
    <cellStyle name="20% - Accent6 8" xfId="322"/>
    <cellStyle name="20% - Accent6 9" xfId="325"/>
    <cellStyle name="20% - 强调文字颜色 1 10" xfId="123"/>
    <cellStyle name="20% - 强调文字颜色 1 2" xfId="326"/>
    <cellStyle name="20% - 强调文字颜色 1 3" xfId="145"/>
    <cellStyle name="20% - 强调文字颜色 1 3 2" xfId="328"/>
    <cellStyle name="20% - 强调文字颜色 1 3 3" xfId="333"/>
    <cellStyle name="20% - 强调文字颜色 1 3 4" xfId="336"/>
    <cellStyle name="20% - 强调文字颜色 1 3 5" xfId="339"/>
    <cellStyle name="20% - 强调文字颜色 1 3 6" xfId="342"/>
    <cellStyle name="20% - 强调文字颜色 1 3 7" xfId="345"/>
    <cellStyle name="20% - 强调文字颜色 1 4" xfId="150"/>
    <cellStyle name="20% - 强调文字颜色 1 4 2" xfId="346"/>
    <cellStyle name="20% - 强调文字颜色 1 5" xfId="153"/>
    <cellStyle name="20% - 强调文字颜色 1 5 2" xfId="347"/>
    <cellStyle name="20% - 强调文字颜色 1 6" xfId="156"/>
    <cellStyle name="20% - 强调文字颜色 1 6 2" xfId="348"/>
    <cellStyle name="20% - 强调文字颜色 1 7" xfId="160"/>
    <cellStyle name="20% - 强调文字颜色 1 7 2" xfId="349"/>
    <cellStyle name="20% - 强调文字颜色 1 8" xfId="165"/>
    <cellStyle name="20% - 强调文字颜色 1 8 2" xfId="352"/>
    <cellStyle name="20% - 强调文字颜色 1 9" xfId="170"/>
    <cellStyle name="20% - 强调文字颜色 1 9 2" xfId="137"/>
    <cellStyle name="20% - 强调文字颜色 2 10" xfId="353"/>
    <cellStyle name="20% - 强调文字颜色 2 2" xfId="355"/>
    <cellStyle name="20% - 强调文字颜色 2 3" xfId="179"/>
    <cellStyle name="20% - 强调文字颜色 2 3 2" xfId="359"/>
    <cellStyle name="20% - 强调文字颜色 2 3 3" xfId="365"/>
    <cellStyle name="20% - 强调文字颜色 2 3 4" xfId="369"/>
    <cellStyle name="20% - 强调文字颜色 2 3 5" xfId="373"/>
    <cellStyle name="20% - 强调文字颜色 2 3 6" xfId="7"/>
    <cellStyle name="20% - 强调文字颜色 2 3 7" xfId="377"/>
    <cellStyle name="20% - 强调文字颜色 2 4" xfId="184"/>
    <cellStyle name="20% - 强调文字颜色 2 4 2" xfId="52"/>
    <cellStyle name="20% - 强调文字颜色 2 5" xfId="186"/>
    <cellStyle name="20% - 强调文字颜色 2 5 2" xfId="379"/>
    <cellStyle name="20% - 强调文字颜色 2 6" xfId="188"/>
    <cellStyle name="20% - 强调文字颜色 2 6 2" xfId="166"/>
    <cellStyle name="20% - 强调文字颜色 2 7" xfId="191"/>
    <cellStyle name="20% - 强调文字颜色 2 7 2" xfId="196"/>
    <cellStyle name="20% - 强调文字颜色 2 8" xfId="195"/>
    <cellStyle name="20% - 强调文字颜色 2 8 2" xfId="228"/>
    <cellStyle name="20% - 强调文字颜色 2 9" xfId="199"/>
    <cellStyle name="20% - 强调文字颜色 2 9 2" xfId="265"/>
    <cellStyle name="20% - 强调文字颜色 3 10" xfId="382"/>
    <cellStyle name="20% - 强调文字颜色 3 2" xfId="385"/>
    <cellStyle name="20% - 强调文字颜色 3 3" xfId="72"/>
    <cellStyle name="20% - 强调文字颜色 3 3 2" xfId="96"/>
    <cellStyle name="20% - 强调文字颜色 3 3 3" xfId="389"/>
    <cellStyle name="20% - 强调文字颜色 3 3 4" xfId="110"/>
    <cellStyle name="20% - 强调文字颜色 3 3 5" xfId="128"/>
    <cellStyle name="20% - 强调文字颜色 3 3 6" xfId="130"/>
    <cellStyle name="20% - 强调文字颜色 3 3 7" xfId="383"/>
    <cellStyle name="20% - 强调文字颜色 3 4" xfId="209"/>
    <cellStyle name="20% - 强调文字颜色 3 4 2" xfId="390"/>
    <cellStyle name="20% - 强调文字颜色 3 5" xfId="214"/>
    <cellStyle name="20% - 强调文字颜色 3 5 2" xfId="394"/>
    <cellStyle name="20% - 强调文字颜色 3 6" xfId="218"/>
    <cellStyle name="20% - 强调文字颜色 3 6 2" xfId="396"/>
    <cellStyle name="20% - 强调文字颜色 3 7" xfId="222"/>
    <cellStyle name="20% - 强调文字颜色 3 7 2" xfId="398"/>
    <cellStyle name="20% - 强调文字颜色 3 8" xfId="226"/>
    <cellStyle name="20% - 强调文字颜色 3 8 2" xfId="400"/>
    <cellStyle name="20% - 强调文字颜色 3 9" xfId="232"/>
    <cellStyle name="20% - 强调文字颜色 3 9 2" xfId="59"/>
    <cellStyle name="20% - 强调文字颜色 4 10" xfId="403"/>
    <cellStyle name="20% - 强调文字颜色 4 2" xfId="405"/>
    <cellStyle name="20% - 强调文字颜色 4 3" xfId="240"/>
    <cellStyle name="20% - 强调文字颜色 4 3 2" xfId="406"/>
    <cellStyle name="20% - 强调文字颜色 4 3 3" xfId="409"/>
    <cellStyle name="20% - 强调文字颜色 4 3 4" xfId="410"/>
    <cellStyle name="20% - 强调文字颜色 4 3 5" xfId="411"/>
    <cellStyle name="20% - 强调文字颜色 4 3 6" xfId="412"/>
    <cellStyle name="20% - 强调文字颜色 4 3 7" xfId="413"/>
    <cellStyle name="20% - 强调文字颜色 4 4" xfId="246"/>
    <cellStyle name="20% - 强调文字颜色 4 4 2" xfId="41"/>
    <cellStyle name="20% - 强调文字颜色 4 5" xfId="31"/>
    <cellStyle name="20% - 强调文字颜色 4 5 2" xfId="417"/>
    <cellStyle name="20% - 强调文字颜色 4 6" xfId="251"/>
    <cellStyle name="20% - 强调文字颜色 4 6 2" xfId="419"/>
    <cellStyle name="20% - 强调文字颜色 4 7" xfId="258"/>
    <cellStyle name="20% - 强调文字颜色 4 7 2" xfId="75"/>
    <cellStyle name="20% - 强调文字颜色 4 8" xfId="263"/>
    <cellStyle name="20% - 强调文字颜色 4 8 2" xfId="422"/>
    <cellStyle name="20% - 强调文字颜色 4 9" xfId="269"/>
    <cellStyle name="20% - 强调文字颜色 4 9 2" xfId="425"/>
    <cellStyle name="20% - 强调文字颜色 5 10" xfId="108"/>
    <cellStyle name="20% - 强调文字颜色 5 2" xfId="429"/>
    <cellStyle name="20% - 强调文字颜色 5 3" xfId="278"/>
    <cellStyle name="20% - 强调文字颜色 5 3 2" xfId="430"/>
    <cellStyle name="20% - 强调文字颜色 5 3 3" xfId="44"/>
    <cellStyle name="20% - 强调文字颜色 5 3 4" xfId="45"/>
    <cellStyle name="20% - 强调文字颜色 5 3 5" xfId="48"/>
    <cellStyle name="20% - 强调文字颜色 5 3 6" xfId="35"/>
    <cellStyle name="20% - 强调文字颜色 5 3 7" xfId="432"/>
    <cellStyle name="20% - 强调文字颜色 5 4" xfId="280"/>
    <cellStyle name="20% - 强调文字颜色 5 4 2" xfId="174"/>
    <cellStyle name="20% - 强调文字颜色 5 5" xfId="282"/>
    <cellStyle name="20% - 强调文字颜色 5 5 2" xfId="434"/>
    <cellStyle name="20% - 强调文字颜色 5 6" xfId="284"/>
    <cellStyle name="20% - 强调文字颜色 5 6 2" xfId="436"/>
    <cellStyle name="20% - 强调文字颜色 5 7" xfId="116"/>
    <cellStyle name="20% - 强调文字颜色 5 7 2" xfId="438"/>
    <cellStyle name="20% - 强调文字颜色 5 8" xfId="287"/>
    <cellStyle name="20% - 强调文字颜色 5 8 2" xfId="439"/>
    <cellStyle name="20% - 强调文字颜色 5 9" xfId="293"/>
    <cellStyle name="20% - 强调文字颜色 5 9 2" xfId="444"/>
    <cellStyle name="20% - 强调文字颜色 6 10" xfId="445"/>
    <cellStyle name="20% - 强调文字颜色 6 2" xfId="447"/>
    <cellStyle name="20% - 强调文字颜色 6 3" xfId="303"/>
    <cellStyle name="20% - 强调文字颜色 6 3 2" xfId="450"/>
    <cellStyle name="20% - 强调文字颜色 6 3 3" xfId="456"/>
    <cellStyle name="20% - 强调文字颜色 6 3 4" xfId="461"/>
    <cellStyle name="20% - 强调文字颜色 6 3 5" xfId="65"/>
    <cellStyle name="20% - 强调文字颜色 6 3 6" xfId="467"/>
    <cellStyle name="20% - 强调文字颜色 6 3 7" xfId="474"/>
    <cellStyle name="20% - 强调文字颜色 6 4" xfId="306"/>
    <cellStyle name="20% - 强调文字颜色 6 4 2" xfId="478"/>
    <cellStyle name="20% - 强调文字颜色 6 5" xfId="309"/>
    <cellStyle name="20% - 强调文字颜色 6 5 2" xfId="402"/>
    <cellStyle name="20% - 强调文字颜色 6 6" xfId="313"/>
    <cellStyle name="20% - 强调文字颜色 6 6 2" xfId="481"/>
    <cellStyle name="20% - 强调文字颜色 6 7" xfId="317"/>
    <cellStyle name="20% - 强调文字颜色 6 7 2" xfId="482"/>
    <cellStyle name="20% - 强调文字颜色 6 8" xfId="320"/>
    <cellStyle name="20% - 强调文字颜色 6 8 2" xfId="483"/>
    <cellStyle name="20% - 强调文字颜色 6 9" xfId="323"/>
    <cellStyle name="20% - 强调文字颜色 6 9 2" xfId="484"/>
    <cellStyle name="40% - Accent1" xfId="486"/>
    <cellStyle name="40% - Accent1 2" xfId="487"/>
    <cellStyle name="40% - Accent1 3" xfId="489"/>
    <cellStyle name="40% - Accent1 4" xfId="53"/>
    <cellStyle name="40% - Accent1 5" xfId="493"/>
    <cellStyle name="40% - Accent1 6" xfId="497"/>
    <cellStyle name="40% - Accent1 7" xfId="501"/>
    <cellStyle name="40% - Accent1 8" xfId="505"/>
    <cellStyle name="40% - Accent1 9" xfId="509"/>
    <cellStyle name="40% - Accent2" xfId="511"/>
    <cellStyle name="40% - Accent2 2" xfId="513"/>
    <cellStyle name="40% - Accent2 3" xfId="515"/>
    <cellStyle name="40% - Accent2 4" xfId="380"/>
    <cellStyle name="40% - Accent2 5" xfId="517"/>
    <cellStyle name="40% - Accent2 6" xfId="520"/>
    <cellStyle name="40% - Accent2 7" xfId="522"/>
    <cellStyle name="40% - Accent2 8" xfId="526"/>
    <cellStyle name="40% - Accent2 9" xfId="529"/>
    <cellStyle name="40% - Accent3" xfId="480"/>
    <cellStyle name="40% - Accent3 2" xfId="157"/>
    <cellStyle name="40% - Accent3 3" xfId="161"/>
    <cellStyle name="40% - Accent3 4" xfId="167"/>
    <cellStyle name="40% - Accent3 5" xfId="171"/>
    <cellStyle name="40% - Accent3 6" xfId="531"/>
    <cellStyle name="40% - Accent3 7" xfId="533"/>
    <cellStyle name="40% - Accent3 8" xfId="535"/>
    <cellStyle name="40% - Accent3 9" xfId="538"/>
    <cellStyle name="40% - Accent4" xfId="541"/>
    <cellStyle name="40% - Accent4 2" xfId="189"/>
    <cellStyle name="40% - Accent4 3" xfId="192"/>
    <cellStyle name="40% - Accent4 4" xfId="197"/>
    <cellStyle name="40% - Accent4 5" xfId="200"/>
    <cellStyle name="40% - Accent4 6" xfId="544"/>
    <cellStyle name="40% - Accent4 7" xfId="547"/>
    <cellStyle name="40% - Accent4 8" xfId="551"/>
    <cellStyle name="40% - Accent4 9" xfId="554"/>
    <cellStyle name="40% - Accent5" xfId="557"/>
    <cellStyle name="40% - Accent5 2" xfId="220"/>
    <cellStyle name="40% - Accent5 3" xfId="224"/>
    <cellStyle name="40% - Accent5 4" xfId="229"/>
    <cellStyle name="40% - Accent5 5" xfId="236"/>
    <cellStyle name="40% - Accent5 6" xfId="122"/>
    <cellStyle name="40% - Accent5 7" xfId="23"/>
    <cellStyle name="40% - Accent5 8" xfId="558"/>
    <cellStyle name="40% - Accent5 9" xfId="559"/>
    <cellStyle name="40% - Accent6" xfId="562"/>
    <cellStyle name="40% - Accent6 2" xfId="255"/>
    <cellStyle name="40% - Accent6 3" xfId="260"/>
    <cellStyle name="40% - Accent6 4" xfId="266"/>
    <cellStyle name="40% - Accent6 5" xfId="271"/>
    <cellStyle name="40% - Accent6 6" xfId="565"/>
    <cellStyle name="40% - Accent6 7" xfId="567"/>
    <cellStyle name="40% - Accent6 8" xfId="568"/>
    <cellStyle name="40% - Accent6 9" xfId="569"/>
    <cellStyle name="40% - 强调文字颜色 1 10" xfId="361"/>
    <cellStyle name="40% - 强调文字颜色 1 2" xfId="570"/>
    <cellStyle name="40% - 强调文字颜色 1 3" xfId="421"/>
    <cellStyle name="40% - 强调文字颜色 1 3 2" xfId="573"/>
    <cellStyle name="40% - 强调文字颜色 1 3 3" xfId="577"/>
    <cellStyle name="40% - 强调文字颜色 1 3 4" xfId="581"/>
    <cellStyle name="40% - 强调文字颜色 1 3 5" xfId="12"/>
    <cellStyle name="40% - 强调文字颜色 1 3 6" xfId="584"/>
    <cellStyle name="40% - 强调文字颜色 1 3 7" xfId="587"/>
    <cellStyle name="40% - 强调文字颜色 1 4" xfId="588"/>
    <cellStyle name="40% - 强调文字颜色 1 4 2" xfId="590"/>
    <cellStyle name="40% - 强调文字颜色 1 5" xfId="591"/>
    <cellStyle name="40% - 强调文字颜色 1 5 2" xfId="592"/>
    <cellStyle name="40% - 强调文字颜色 1 6" xfId="593"/>
    <cellStyle name="40% - 强调文字颜色 1 6 2" xfId="595"/>
    <cellStyle name="40% - 强调文字颜色 1 7" xfId="596"/>
    <cellStyle name="40% - 强调文字颜色 1 7 2" xfId="598"/>
    <cellStyle name="40% - 强调文字颜色 1 8" xfId="594"/>
    <cellStyle name="40% - 强调文字颜色 1 8 2" xfId="47"/>
    <cellStyle name="40% - 强调文字颜色 1 9" xfId="599"/>
    <cellStyle name="40% - 强调文字颜色 1 9 2" xfId="602"/>
    <cellStyle name="40% - 强调文字颜色 2 10" xfId="235"/>
    <cellStyle name="40% - 强调文字颜色 2 2" xfId="603"/>
    <cellStyle name="40% - 强调文字颜色 2 3" xfId="424"/>
    <cellStyle name="40% - 强调文字颜色 2 3 2" xfId="606"/>
    <cellStyle name="40% - 强调文字颜色 2 3 3" xfId="607"/>
    <cellStyle name="40% - 强调文字颜色 2 3 4" xfId="608"/>
    <cellStyle name="40% - 强调文字颜色 2 3 5" xfId="610"/>
    <cellStyle name="40% - 强调文字颜色 2 3 6" xfId="132"/>
    <cellStyle name="40% - 强调文字颜色 2 3 7" xfId="329"/>
    <cellStyle name="40% - 强调文字颜色 2 4" xfId="381"/>
    <cellStyle name="40% - 强调文字颜色 2 4 2" xfId="119"/>
    <cellStyle name="40% - 强调文字颜色 2 5" xfId="611"/>
    <cellStyle name="40% - 强调文字颜色 2 5 2" xfId="612"/>
    <cellStyle name="40% - 强调文字颜色 2 6" xfId="613"/>
    <cellStyle name="40% - 强调文字颜色 2 6 2" xfId="614"/>
    <cellStyle name="40% - 强调文字颜色 2 7" xfId="616"/>
    <cellStyle name="40% - 强调文字颜色 2 7 2" xfId="620"/>
    <cellStyle name="40% - 强调文字颜色 2 8" xfId="597"/>
    <cellStyle name="40% - 强调文字颜色 2 8 2" xfId="624"/>
    <cellStyle name="40% - 强调文字颜色 2 9" xfId="626"/>
    <cellStyle name="40% - 强调文字颜色 2 9 2" xfId="630"/>
    <cellStyle name="40% - 强调文字颜色 3 10" xfId="40"/>
    <cellStyle name="40% - 强调文字颜色 3 2" xfId="330"/>
    <cellStyle name="40% - 强调文字颜色 3 3" xfId="334"/>
    <cellStyle name="40% - 强调文字颜色 3 3 2" xfId="634"/>
    <cellStyle name="40% - 强调文字颜色 3 3 3" xfId="56"/>
    <cellStyle name="40% - 强调文字颜色 3 3 4" xfId="637"/>
    <cellStyle name="40% - 强调文字颜色 3 3 5" xfId="640"/>
    <cellStyle name="40% - 强调文字颜色 3 3 6" xfId="643"/>
    <cellStyle name="40% - 强调文字颜色 3 3 7" xfId="360"/>
    <cellStyle name="40% - 强调文字颜色 3 4" xfId="337"/>
    <cellStyle name="40% - 强调文字颜色 3 4 2" xfId="645"/>
    <cellStyle name="40% - 强调文字颜色 3 5" xfId="340"/>
    <cellStyle name="40% - 强调文字颜色 3 5 2" xfId="647"/>
    <cellStyle name="40% - 强调文字颜色 3 6" xfId="343"/>
    <cellStyle name="40% - 强调文字颜色 3 6 2" xfId="147"/>
    <cellStyle name="40% - 强调文字颜色 3 7" xfId="648"/>
    <cellStyle name="40% - 强调文字颜色 3 7 2" xfId="180"/>
    <cellStyle name="40% - 强调文字颜色 3 8" xfId="46"/>
    <cellStyle name="40% - 强调文字颜色 3 8 2" xfId="206"/>
    <cellStyle name="40% - 强调文字颜色 3 9" xfId="34"/>
    <cellStyle name="40% - 强调文字颜色 3 9 2" xfId="243"/>
    <cellStyle name="40% - 强调文字颜色 4 10" xfId="423"/>
    <cellStyle name="40% - 强调文字颜色 4 2" xfId="57"/>
    <cellStyle name="40% - 强调文字颜色 4 3" xfId="649"/>
    <cellStyle name="40% - 强调文字颜色 4 3 2" xfId="82"/>
    <cellStyle name="40% - 强调文字颜色 4 3 3" xfId="87"/>
    <cellStyle name="40% - 强调文字颜色 4 3 4" xfId="18"/>
    <cellStyle name="40% - 强调文字颜色 4 3 5" xfId="91"/>
    <cellStyle name="40% - 强调文字颜色 4 3 6" xfId="94"/>
    <cellStyle name="40% - 强调文字颜色 4 3 7" xfId="97"/>
    <cellStyle name="40% - 强调文字颜色 4 4" xfId="650"/>
    <cellStyle name="40% - 强调文字颜色 4 4 2" xfId="651"/>
    <cellStyle name="40% - 强调文字颜色 4 5" xfId="652"/>
    <cellStyle name="40% - 强调文字颜色 4 5 2" xfId="653"/>
    <cellStyle name="40% - 强调文字颜色 4 6" xfId="654"/>
    <cellStyle name="40% - 强调文字颜色 4 6 2" xfId="655"/>
    <cellStyle name="40% - 强调文字颜色 4 7" xfId="656"/>
    <cellStyle name="40% - 强调文字颜色 4 7 2" xfId="658"/>
    <cellStyle name="40% - 强调文字颜色 4 8" xfId="601"/>
    <cellStyle name="40% - 强调文字颜色 4 8 2" xfId="659"/>
    <cellStyle name="40% - 强调文字颜色 4 9" xfId="660"/>
    <cellStyle name="40% - 强调文字颜色 4 9 2" xfId="661"/>
    <cellStyle name="40% - 强调文字颜色 5 10" xfId="662"/>
    <cellStyle name="40% - 强调文字颜色 5 2" xfId="664"/>
    <cellStyle name="40% - 强调文字颜色 5 3" xfId="665"/>
    <cellStyle name="40% - 强调文字颜色 5 3 2" xfId="667"/>
    <cellStyle name="40% - 强调文字颜色 5 3 3" xfId="668"/>
    <cellStyle name="40% - 强调文字颜色 5 3 4" xfId="669"/>
    <cellStyle name="40% - 强调文字颜色 5 3 5" xfId="670"/>
    <cellStyle name="40% - 强调文字颜色 5 3 6" xfId="671"/>
    <cellStyle name="40% - 强调文字颜色 5 3 7" xfId="407"/>
    <cellStyle name="40% - 强调文字颜色 5 4" xfId="448"/>
    <cellStyle name="40% - 强调文字颜色 5 4 2" xfId="673"/>
    <cellStyle name="40% - 强调文字颜色 5 5" xfId="451"/>
    <cellStyle name="40% - 强调文字颜色 5 5 2" xfId="674"/>
    <cellStyle name="40% - 强调文字颜色 5 6" xfId="458"/>
    <cellStyle name="40% - 强调文字颜色 5 6 2" xfId="675"/>
    <cellStyle name="40% - 强调文字颜色 5 7" xfId="62"/>
    <cellStyle name="40% - 强调文字颜色 5 7 2" xfId="676"/>
    <cellStyle name="40% - 强调文字颜色 5 8" xfId="463"/>
    <cellStyle name="40% - 强调文字颜色 5 8 2" xfId="677"/>
    <cellStyle name="40% - 强调文字颜色 5 9" xfId="469"/>
    <cellStyle name="40% - 强调文字颜色 5 9 2" xfId="678"/>
    <cellStyle name="40% - 强调文字颜色 6 10" xfId="387"/>
    <cellStyle name="40% - 强调文字颜色 6 2" xfId="681"/>
    <cellStyle name="40% - 强调文字颜色 6 3" xfId="683"/>
    <cellStyle name="40% - 强调文字颜色 6 3 2" xfId="684"/>
    <cellStyle name="40% - 强调文字颜色 6 3 3" xfId="685"/>
    <cellStyle name="40% - 强调文字颜色 6 3 4" xfId="686"/>
    <cellStyle name="40% - 强调文字颜色 6 3 5" xfId="687"/>
    <cellStyle name="40% - 强调文字颜色 6 3 6" xfId="688"/>
    <cellStyle name="40% - 强调文字颜色 6 3 7" xfId="431"/>
    <cellStyle name="40% - 强调文字颜色 6 4" xfId="476"/>
    <cellStyle name="40% - 强调文字颜色 6 4 2" xfId="26"/>
    <cellStyle name="40% - 强调文字颜色 6 5" xfId="67"/>
    <cellStyle name="40% - 强调文字颜色 6 5 2" xfId="689"/>
    <cellStyle name="40% - 强调文字颜色 6 6" xfId="692"/>
    <cellStyle name="40% - 强调文字颜色 6 6 2" xfId="49"/>
    <cellStyle name="40% - 强调文字颜色 6 7" xfId="694"/>
    <cellStyle name="40% - 强调文字颜色 6 7 2" xfId="696"/>
    <cellStyle name="40% - 强调文字颜色 6 8" xfId="698"/>
    <cellStyle name="40% - 强调文字颜色 6 8 2" xfId="700"/>
    <cellStyle name="40% - 强调文字颜色 6 9" xfId="703"/>
    <cellStyle name="40% - 强调文字颜色 6 9 2" xfId="705"/>
    <cellStyle name="60% - Accent1" xfId="290"/>
    <cellStyle name="60% - Accent1 2" xfId="442"/>
    <cellStyle name="60% - Accent1 3" xfId="708"/>
    <cellStyle name="60% - Accent1 4" xfId="711"/>
    <cellStyle name="60% - Accent1 5" xfId="713"/>
    <cellStyle name="60% - Accent1 6" xfId="715"/>
    <cellStyle name="60% - Accent1 7" xfId="618"/>
    <cellStyle name="60% - Accent1 8" xfId="717"/>
    <cellStyle name="60% - Accent1 9" xfId="720"/>
    <cellStyle name="60% - Accent2" xfId="296"/>
    <cellStyle name="60% - Accent2 2" xfId="366"/>
    <cellStyle name="60% - Accent2 3" xfId="370"/>
    <cellStyle name="60% - Accent2 4" xfId="9"/>
    <cellStyle name="60% - Accent2 5" xfId="375"/>
    <cellStyle name="60% - Accent2 6" xfId="722"/>
    <cellStyle name="60% - Accent2 7" xfId="622"/>
    <cellStyle name="60% - Accent2 8" xfId="724"/>
    <cellStyle name="60% - Accent2 9" xfId="726"/>
    <cellStyle name="60% - Accent3" xfId="729"/>
    <cellStyle name="60% - Accent3 2" xfId="494"/>
    <cellStyle name="60% - Accent3 3" xfId="498"/>
    <cellStyle name="60% - Accent3 4" xfId="502"/>
    <cellStyle name="60% - Accent3 5" xfId="506"/>
    <cellStyle name="60% - Accent3 6" xfId="730"/>
    <cellStyle name="60% - Accent3 7" xfId="627"/>
    <cellStyle name="60% - Accent3 8" xfId="731"/>
    <cellStyle name="60% - Accent3 9" xfId="733"/>
    <cellStyle name="60% - Accent4" xfId="736"/>
    <cellStyle name="60% - Accent4 2" xfId="518"/>
    <cellStyle name="60% - Accent4 3" xfId="521"/>
    <cellStyle name="60% - Accent4 4" xfId="524"/>
    <cellStyle name="60% - Accent4 5" xfId="528"/>
    <cellStyle name="60% - Accent4 6" xfId="738"/>
    <cellStyle name="60% - Accent4 7" xfId="740"/>
    <cellStyle name="60% - Accent4 8" xfId="742"/>
    <cellStyle name="60% - Accent4 9" xfId="744"/>
    <cellStyle name="60% - Accent5" xfId="746"/>
    <cellStyle name="60% - Accent5 2" xfId="530"/>
    <cellStyle name="60% - Accent5 3" xfId="532"/>
    <cellStyle name="60% - Accent5 4" xfId="534"/>
    <cellStyle name="60% - Accent5 5" xfId="536"/>
    <cellStyle name="60% - Accent5 6" xfId="747"/>
    <cellStyle name="60% - Accent5 7" xfId="748"/>
    <cellStyle name="60% - Accent5 8" xfId="749"/>
    <cellStyle name="60% - Accent5 9" xfId="750"/>
    <cellStyle name="60% - Accent6" xfId="752"/>
    <cellStyle name="60% - Accent6 2" xfId="543"/>
    <cellStyle name="60% - Accent6 3" xfId="546"/>
    <cellStyle name="60% - Accent6 4" xfId="550"/>
    <cellStyle name="60% - Accent6 5" xfId="553"/>
    <cellStyle name="60% - Accent6 6" xfId="754"/>
    <cellStyle name="60% - Accent6 7" xfId="757"/>
    <cellStyle name="60% - Accent6 8" xfId="80"/>
    <cellStyle name="60% - Accent6 9" xfId="86"/>
    <cellStyle name="60% - 强调文字颜色 1 10" xfId="758"/>
    <cellStyle name="60% - 强调文字颜色 1 2" xfId="204"/>
    <cellStyle name="60% - 强调文字颜色 1 3" xfId="210"/>
    <cellStyle name="60% - 强调文字颜色 1 3 2" xfId="391"/>
    <cellStyle name="60% - 强调文字颜色 1 3 3" xfId="759"/>
    <cellStyle name="60% - 强调文字颜色 1 3 4" xfId="760"/>
    <cellStyle name="60% - 强调文字颜色 1 3 5" xfId="17"/>
    <cellStyle name="60% - 强调文字颜色 1 3 6" xfId="761"/>
    <cellStyle name="60% - 强调文字颜色 1 3 7" xfId="427"/>
    <cellStyle name="60% - 强调文字颜色 1 4" xfId="215"/>
    <cellStyle name="60% - 强调文字颜色 1 4 2" xfId="395"/>
    <cellStyle name="60% - 强调文字颜色 1 5" xfId="219"/>
    <cellStyle name="60% - 强调文字颜色 1 5 2" xfId="397"/>
    <cellStyle name="60% - 强调文字颜色 1 6" xfId="223"/>
    <cellStyle name="60% - 强调文字颜色 1 6 2" xfId="399"/>
    <cellStyle name="60% - 强调文字颜色 1 7" xfId="227"/>
    <cellStyle name="60% - 强调文字颜色 1 7 2" xfId="58"/>
    <cellStyle name="60% - 强调文字颜色 1 8" xfId="233"/>
    <cellStyle name="60% - 强调文字颜色 1 8 2" xfId="762"/>
    <cellStyle name="60% - 强调文字颜色 1 9" xfId="121"/>
    <cellStyle name="60% - 强调文字颜色 1 9 2" xfId="763"/>
    <cellStyle name="60% - 强调文字颜色 2 10" xfId="356"/>
    <cellStyle name="60% - 强调文字颜色 2 2" xfId="241"/>
    <cellStyle name="60% - 强调文字颜色 2 3" xfId="28"/>
    <cellStyle name="60% - 强调文字颜色 2 3 2" xfId="415"/>
    <cellStyle name="60% - 强调文字颜色 2 3 3" xfId="766"/>
    <cellStyle name="60% - 强调文字颜色 2 3 4" xfId="768"/>
    <cellStyle name="60% - 强调文字颜色 2 3 5" xfId="37"/>
    <cellStyle name="60% - 强调文字颜色 2 3 6" xfId="771"/>
    <cellStyle name="60% - 强调文字颜色 2 3 7" xfId="574"/>
    <cellStyle name="60% - 强调文字颜色 2 4" xfId="247"/>
    <cellStyle name="60% - 强调文字颜色 2 4 2" xfId="418"/>
    <cellStyle name="60% - 强调文字颜色 2 5" xfId="252"/>
    <cellStyle name="60% - 强调文字颜色 2 5 2" xfId="74"/>
    <cellStyle name="60% - 强调文字颜色 2 6" xfId="772"/>
    <cellStyle name="60% - 强调文字颜色 2 6 2" xfId="773"/>
    <cellStyle name="60% - 强调文字颜色 2 7" xfId="774"/>
    <cellStyle name="60% - 强调文字颜色 2 7 2" xfId="776"/>
    <cellStyle name="60% - 强调文字颜色 2 8" xfId="777"/>
    <cellStyle name="60% - 强调文字颜色 2 8 2" xfId="778"/>
    <cellStyle name="60% - 强调文字颜色 2 9" xfId="779"/>
    <cellStyle name="60% - 强调文字颜色 2 9 2" xfId="780"/>
    <cellStyle name="60% - 强调文字颜色 3 10" xfId="230"/>
    <cellStyle name="60% - 强调文字颜色 3 2" xfId="783"/>
    <cellStyle name="60% - 强调文字颜色 3 3" xfId="785"/>
    <cellStyle name="60% - 强调文字颜色 3 3 2" xfId="786"/>
    <cellStyle name="60% - 强调文字颜色 3 3 3" xfId="787"/>
    <cellStyle name="60% - 强调文字颜色 3 3 4" xfId="788"/>
    <cellStyle name="60% - 强调文字颜色 3 3 5" xfId="789"/>
    <cellStyle name="60% - 强调文字颜色 3 3 6" xfId="790"/>
    <cellStyle name="60% - 强调文字颜色 3 3 7" xfId="605"/>
    <cellStyle name="60% - 强调文字颜色 3 4" xfId="792"/>
    <cellStyle name="60% - 强调文字颜色 3 4 2" xfId="793"/>
    <cellStyle name="60% - 强调文字颜色 3 5" xfId="795"/>
    <cellStyle name="60% - 强调文字颜色 3 5 2" xfId="796"/>
    <cellStyle name="60% - 强调文字颜色 3 6" xfId="797"/>
    <cellStyle name="60% - 强调文字颜色 3 6 2" xfId="799"/>
    <cellStyle name="60% - 强调文字颜色 3 7" xfId="800"/>
    <cellStyle name="60% - 强调文字颜色 3 7 2" xfId="802"/>
    <cellStyle name="60% - 强调文字颜色 3 8" xfId="803"/>
    <cellStyle name="60% - 强调文字颜色 3 8 2" xfId="804"/>
    <cellStyle name="60% - 强调文字颜色 3 9" xfId="805"/>
    <cellStyle name="60% - 强调文字颜色 3 9 2" xfId="807"/>
    <cellStyle name="60% - 强调文字颜色 4 10" xfId="808"/>
    <cellStyle name="60% - 强调文字颜色 4 2" xfId="810"/>
    <cellStyle name="60% - 强调文字颜色 4 3" xfId="812"/>
    <cellStyle name="60% - 强调文字颜色 4 3 2" xfId="815"/>
    <cellStyle name="60% - 强调文字颜色 4 3 3" xfId="818"/>
    <cellStyle name="60% - 强调文字颜色 4 3 4" xfId="822"/>
    <cellStyle name="60% - 强调文字颜色 4 3 5" xfId="824"/>
    <cellStyle name="60% - 强调文字颜色 4 3 6" xfId="827"/>
    <cellStyle name="60% - 强调文字颜色 4 3 7" xfId="633"/>
    <cellStyle name="60% - 强调文字颜色 4 4" xfId="830"/>
    <cellStyle name="60% - 强调文字颜色 4 4 2" xfId="832"/>
    <cellStyle name="60% - 强调文字颜色 4 5" xfId="834"/>
    <cellStyle name="60% - 强调文字颜色 4 5 2" xfId="836"/>
    <cellStyle name="60% - 强调文字颜色 4 6" xfId="838"/>
    <cellStyle name="60% - 强调文字颜色 4 6 2" xfId="839"/>
    <cellStyle name="60% - 强调文字颜色 4 7" xfId="841"/>
    <cellStyle name="60% - 强调文字颜色 4 7 2" xfId="842"/>
    <cellStyle name="60% - 强调文字颜色 4 8" xfId="843"/>
    <cellStyle name="60% - 强调文字颜色 4 8 2" xfId="845"/>
    <cellStyle name="60% - 强调文字颜色 4 9" xfId="847"/>
    <cellStyle name="60% - 强调文字颜色 4 9 2" xfId="849"/>
    <cellStyle name="60% - 强调文字颜色 5 10" xfId="852"/>
    <cellStyle name="60% - 强调文字颜色 5 2" xfId="853"/>
    <cellStyle name="60% - 强调文字颜色 5 3" xfId="854"/>
    <cellStyle name="60% - 强调文字颜色 5 3 2" xfId="855"/>
    <cellStyle name="60% - 强调文字颜色 5 3 3" xfId="856"/>
    <cellStyle name="60% - 强调文字颜色 5 3 4" xfId="857"/>
    <cellStyle name="60% - 强调文字颜色 5 3 5" xfId="858"/>
    <cellStyle name="60% - 强调文字颜色 5 3 6" xfId="859"/>
    <cellStyle name="60% - 强调文字颜色 5 3 7" xfId="81"/>
    <cellStyle name="60% - 强调文字颜色 5 4" xfId="860"/>
    <cellStyle name="60% - 强调文字颜色 5 4 2" xfId="861"/>
    <cellStyle name="60% - 强调文字颜色 5 5" xfId="862"/>
    <cellStyle name="60% - 强调文字颜色 5 5 2" xfId="863"/>
    <cellStyle name="60% - 强调文字颜色 5 6" xfId="864"/>
    <cellStyle name="60% - 强调文字颜色 5 6 2" xfId="865"/>
    <cellStyle name="60% - 强调文字颜色 5 7" xfId="866"/>
    <cellStyle name="60% - 强调文字颜色 5 7 2" xfId="868"/>
    <cellStyle name="60% - 强调文字颜色 5 8" xfId="869"/>
    <cellStyle name="60% - 强调文字颜色 5 8 2" xfId="870"/>
    <cellStyle name="60% - 强调文字颜色 5 9" xfId="871"/>
    <cellStyle name="60% - 强调文字颜色 5 9 2" xfId="873"/>
    <cellStyle name="60% - 强调文字颜色 6 10" xfId="874"/>
    <cellStyle name="60% - 强调文字颜色 6 2" xfId="875"/>
    <cellStyle name="60% - 强调文字颜色 6 3" xfId="876"/>
    <cellStyle name="60% - 强调文字颜色 6 3 2" xfId="879"/>
    <cellStyle name="60% - 强调文字颜色 6 3 3" xfId="880"/>
    <cellStyle name="60% - 强调文字颜色 6 3 4" xfId="881"/>
    <cellStyle name="60% - 强调文字颜色 6 3 5" xfId="882"/>
    <cellStyle name="60% - 强调文字颜色 6 3 6" xfId="883"/>
    <cellStyle name="60% - 强调文字颜色 6 3 7" xfId="666"/>
    <cellStyle name="60% - 强调文字颜色 6 4" xfId="884"/>
    <cellStyle name="60% - 强调文字颜色 6 4 2" xfId="886"/>
    <cellStyle name="60% - 强调文字颜色 6 5" xfId="887"/>
    <cellStyle name="60% - 强调文字颜色 6 5 2" xfId="93"/>
    <cellStyle name="60% - 强调文字颜色 6 6" xfId="888"/>
    <cellStyle name="60% - 强调文字颜色 6 6 2" xfId="889"/>
    <cellStyle name="60% - 强调文字颜色 6 7" xfId="891"/>
    <cellStyle name="60% - 强调文字颜色 6 7 2" xfId="893"/>
    <cellStyle name="60% - 强调文字颜色 6 8" xfId="895"/>
    <cellStyle name="60% - 强调文字颜色 6 8 2" xfId="897"/>
    <cellStyle name="60% - 强调文字颜色 6 9" xfId="899"/>
    <cellStyle name="60% - 强调文字颜色 6 9 2" xfId="902"/>
    <cellStyle name="6mal" xfId="903"/>
    <cellStyle name="Accent1" xfId="905"/>
    <cellStyle name="Accent1 - 20%" xfId="141"/>
    <cellStyle name="Accent1 - 20% 2" xfId="143"/>
    <cellStyle name="Accent1 - 20% 3" xfId="148"/>
    <cellStyle name="Accent1 - 20% 4" xfId="151"/>
    <cellStyle name="Accent1 - 20% 5" xfId="154"/>
    <cellStyle name="Accent1 - 20% 6" xfId="158"/>
    <cellStyle name="Accent1 - 20% 7" xfId="163"/>
    <cellStyle name="Accent1 - 20% 8" xfId="168"/>
    <cellStyle name="Accent1 - 20% 9" xfId="172"/>
    <cellStyle name="Accent1 - 40%" xfId="908"/>
    <cellStyle name="Accent1 - 40% 2" xfId="910"/>
    <cellStyle name="Accent1 - 40% 3" xfId="912"/>
    <cellStyle name="Accent1 - 40% 4" xfId="914"/>
    <cellStyle name="Accent1 - 40% 5" xfId="918"/>
    <cellStyle name="Accent1 - 40% 6" xfId="921"/>
    <cellStyle name="Accent1 - 40% 7" xfId="924"/>
    <cellStyle name="Accent1 - 40% 8" xfId="927"/>
    <cellStyle name="Accent1 - 40% 9" xfId="930"/>
    <cellStyle name="Accent1 - 60%" xfId="932"/>
    <cellStyle name="Accent1 - 60% 2" xfId="933"/>
    <cellStyle name="Accent1 - 60% 3" xfId="934"/>
    <cellStyle name="Accent1 - 60% 4" xfId="935"/>
    <cellStyle name="Accent1 - 60% 5" xfId="936"/>
    <cellStyle name="Accent1 - 60% 6" xfId="938"/>
    <cellStyle name="Accent1 - 60% 7" xfId="939"/>
    <cellStyle name="Accent1 - 60% 8" xfId="940"/>
    <cellStyle name="Accent1 - 60% 9" xfId="941"/>
    <cellStyle name="Accent1 2" xfId="942"/>
    <cellStyle name="Accent1 3" xfId="943"/>
    <cellStyle name="Accent1 4" xfId="944"/>
    <cellStyle name="Accent1 5" xfId="945"/>
    <cellStyle name="Accent1 6" xfId="946"/>
    <cellStyle name="Accent1 7" xfId="947"/>
    <cellStyle name="Accent1 8" xfId="948"/>
    <cellStyle name="Accent1 9" xfId="949"/>
    <cellStyle name="Accent1_公安安全支出补充表5.14" xfId="950"/>
    <cellStyle name="Accent2" xfId="952"/>
    <cellStyle name="Accent2 - 20%" xfId="954"/>
    <cellStyle name="Accent2 - 20% 2" xfId="955"/>
    <cellStyle name="Accent2 - 20% 3" xfId="957"/>
    <cellStyle name="Accent2 - 20% 4" xfId="958"/>
    <cellStyle name="Accent2 - 20% 5" xfId="959"/>
    <cellStyle name="Accent2 - 20% 6" xfId="960"/>
    <cellStyle name="Accent2 - 20% 7" xfId="961"/>
    <cellStyle name="Accent2 - 20% 8" xfId="962"/>
    <cellStyle name="Accent2 - 20% 9" xfId="963"/>
    <cellStyle name="Accent2 - 40%" xfId="15"/>
    <cellStyle name="Accent2 - 40% 2" xfId="966"/>
    <cellStyle name="Accent2 - 40% 3" xfId="969"/>
    <cellStyle name="Accent2 - 40% 4" xfId="971"/>
    <cellStyle name="Accent2 - 40% 5" xfId="973"/>
    <cellStyle name="Accent2 - 40% 6" xfId="976"/>
    <cellStyle name="Accent2 - 40% 7" xfId="977"/>
    <cellStyle name="Accent2 - 40% 8" xfId="978"/>
    <cellStyle name="Accent2 - 40% 9" xfId="979"/>
    <cellStyle name="Accent2 - 60%" xfId="980"/>
    <cellStyle name="Accent2 - 60% 2" xfId="981"/>
    <cellStyle name="Accent2 - 60% 3" xfId="982"/>
    <cellStyle name="Accent2 - 60% 4" xfId="983"/>
    <cellStyle name="Accent2 - 60% 5" xfId="984"/>
    <cellStyle name="Accent2 - 60% 6" xfId="985"/>
    <cellStyle name="Accent2 - 60% 7" xfId="986"/>
    <cellStyle name="Accent2 - 60% 8" xfId="987"/>
    <cellStyle name="Accent2 - 60% 9" xfId="988"/>
    <cellStyle name="Accent2 2" xfId="989"/>
    <cellStyle name="Accent2 3" xfId="990"/>
    <cellStyle name="Accent2 4" xfId="992"/>
    <cellStyle name="Accent2 5" xfId="994"/>
    <cellStyle name="Accent2 6" xfId="996"/>
    <cellStyle name="Accent2 7" xfId="998"/>
    <cellStyle name="Accent2 8" xfId="1000"/>
    <cellStyle name="Accent2 9" xfId="1002"/>
    <cellStyle name="Accent2_公安安全支出补充表5.14" xfId="1003"/>
    <cellStyle name="Accent3" xfId="1008"/>
    <cellStyle name="Accent3 - 20%" xfId="1010"/>
    <cellStyle name="Accent3 - 20% 2" xfId="1011"/>
    <cellStyle name="Accent3 - 20% 3" xfId="1012"/>
    <cellStyle name="Accent3 - 20% 4" xfId="1013"/>
    <cellStyle name="Accent3 - 20% 5" xfId="1014"/>
    <cellStyle name="Accent3 - 20% 6" xfId="1015"/>
    <cellStyle name="Accent3 - 20% 7" xfId="1016"/>
    <cellStyle name="Accent3 - 20% 8" xfId="1017"/>
    <cellStyle name="Accent3 - 20% 9" xfId="1018"/>
    <cellStyle name="Accent3 - 40%" xfId="1020"/>
    <cellStyle name="Accent3 - 40% 2" xfId="1022"/>
    <cellStyle name="Accent3 - 40% 3" xfId="1024"/>
    <cellStyle name="Accent3 - 40% 4" xfId="1026"/>
    <cellStyle name="Accent3 - 40% 5" xfId="1028"/>
    <cellStyle name="Accent3 - 40% 6" xfId="1030"/>
    <cellStyle name="Accent3 - 40% 7" xfId="1031"/>
    <cellStyle name="Accent3 - 40% 8" xfId="1033"/>
    <cellStyle name="Accent3 - 40% 9" xfId="1034"/>
    <cellStyle name="Accent3 - 60%" xfId="1036"/>
    <cellStyle name="Accent3 - 60% 2" xfId="1039"/>
    <cellStyle name="Accent3 - 60% 3" xfId="1042"/>
    <cellStyle name="Accent3 - 60% 4" xfId="1045"/>
    <cellStyle name="Accent3 - 60% 5" xfId="1047"/>
    <cellStyle name="Accent3 - 60% 6" xfId="1049"/>
    <cellStyle name="Accent3 - 60% 7" xfId="1051"/>
    <cellStyle name="Accent3 - 60% 8" xfId="1054"/>
    <cellStyle name="Accent3 - 60% 9" xfId="1057"/>
    <cellStyle name="Accent3 2" xfId="1059"/>
    <cellStyle name="Accent3 3" xfId="1061"/>
    <cellStyle name="Accent3 4" xfId="1063"/>
    <cellStyle name="Accent3 5" xfId="1065"/>
    <cellStyle name="Accent3 6" xfId="1067"/>
    <cellStyle name="Accent3 7" xfId="1069"/>
    <cellStyle name="Accent3 8" xfId="1071"/>
    <cellStyle name="Accent3 9" xfId="1074"/>
    <cellStyle name="Accent3_公安安全支出补充表5.14" xfId="1077"/>
    <cellStyle name="Accent4" xfId="1080"/>
    <cellStyle name="Accent4 - 20%" xfId="1082"/>
    <cellStyle name="Accent4 - 20% 2" xfId="1083"/>
    <cellStyle name="Accent4 - 20% 3" xfId="801"/>
    <cellStyle name="Accent4 - 20% 4" xfId="1084"/>
    <cellStyle name="Accent4 - 20% 5" xfId="1085"/>
    <cellStyle name="Accent4 - 20% 6" xfId="1086"/>
    <cellStyle name="Accent4 - 20% 7" xfId="1087"/>
    <cellStyle name="Accent4 - 20% 8" xfId="619"/>
    <cellStyle name="Accent4 - 20% 9" xfId="1088"/>
    <cellStyle name="Accent4 - 40%" xfId="1090"/>
    <cellStyle name="Accent4 - 40% 2" xfId="846"/>
    <cellStyle name="Accent4 - 40% 3" xfId="867"/>
    <cellStyle name="Accent4 - 40% 4" xfId="1091"/>
    <cellStyle name="Accent4 - 40% 5" xfId="1092"/>
    <cellStyle name="Accent4 - 40% 6" xfId="1093"/>
    <cellStyle name="Accent4 - 40% 7" xfId="1094"/>
    <cellStyle name="Accent4 - 40% 8" xfId="657"/>
    <cellStyle name="Accent4 - 40% 9" xfId="1095"/>
    <cellStyle name="Accent4 - 60%" xfId="1098"/>
    <cellStyle name="Accent4 - 60% 2" xfId="1099"/>
    <cellStyle name="Accent4 - 60% 3" xfId="1101"/>
    <cellStyle name="Accent4 - 60% 4" xfId="1102"/>
    <cellStyle name="Accent4 - 60% 5" xfId="1104"/>
    <cellStyle name="Accent4 - 60% 6" xfId="1105"/>
    <cellStyle name="Accent4 - 60% 7" xfId="1107"/>
    <cellStyle name="Accent4 - 60% 8" xfId="695"/>
    <cellStyle name="Accent4 - 60% 9" xfId="1108"/>
    <cellStyle name="Accent4 2" xfId="1109"/>
    <cellStyle name="Accent4 3" xfId="1110"/>
    <cellStyle name="Accent4 4" xfId="1111"/>
    <cellStyle name="Accent4 5" xfId="1114"/>
    <cellStyle name="Accent4 6" xfId="1117"/>
    <cellStyle name="Accent4 7" xfId="1120"/>
    <cellStyle name="Accent4 8" xfId="1123"/>
    <cellStyle name="Accent4 9" xfId="1126"/>
    <cellStyle name="Accent4_公安安全支出补充表5.14" xfId="1127"/>
    <cellStyle name="Accent5" xfId="1129"/>
    <cellStyle name="Accent5 - 20%" xfId="1130"/>
    <cellStyle name="Accent5 - 20% 2" xfId="1132"/>
    <cellStyle name="Accent5 - 20% 3" xfId="1133"/>
    <cellStyle name="Accent5 - 20% 4" xfId="1134"/>
    <cellStyle name="Accent5 - 20% 5" xfId="1135"/>
    <cellStyle name="Accent5 - 20% 6" xfId="1136"/>
    <cellStyle name="Accent5 - 20% 7" xfId="1137"/>
    <cellStyle name="Accent5 - 20% 8" xfId="1138"/>
    <cellStyle name="Accent5 - 20% 9" xfId="1139"/>
    <cellStyle name="Accent5 - 40%" xfId="1140"/>
    <cellStyle name="Accent5 - 40% 2" xfId="1142"/>
    <cellStyle name="Accent5 - 40% 3" xfId="1144"/>
    <cellStyle name="Accent5 - 40% 4" xfId="1146"/>
    <cellStyle name="Accent5 - 40% 5" xfId="1148"/>
    <cellStyle name="Accent5 - 40% 6" xfId="289"/>
    <cellStyle name="Accent5 - 40% 7" xfId="295"/>
    <cellStyle name="Accent5 - 40% 8" xfId="728"/>
    <cellStyle name="Accent5 - 40% 9" xfId="735"/>
    <cellStyle name="Accent5 - 60%" xfId="1150"/>
    <cellStyle name="Accent5 - 60% 2" xfId="609"/>
    <cellStyle name="Accent5 - 60% 3" xfId="131"/>
    <cellStyle name="Accent5 - 60% 4" xfId="327"/>
    <cellStyle name="Accent5 - 60% 5" xfId="332"/>
    <cellStyle name="Accent5 - 60% 6" xfId="335"/>
    <cellStyle name="Accent5 - 60% 7" xfId="338"/>
    <cellStyle name="Accent5 - 60% 8" xfId="341"/>
    <cellStyle name="Accent5 - 60% 9" xfId="344"/>
    <cellStyle name="Accent5 2" xfId="1151"/>
    <cellStyle name="Accent5 3" xfId="1152"/>
    <cellStyle name="Accent5 4" xfId="1153"/>
    <cellStyle name="Accent5 5" xfId="1156"/>
    <cellStyle name="Accent5 6" xfId="1159"/>
    <cellStyle name="Accent5 7" xfId="1162"/>
    <cellStyle name="Accent5 8" xfId="1165"/>
    <cellStyle name="Accent5 9" xfId="1168"/>
    <cellStyle name="Accent5_公安安全支出补充表5.14" xfId="1169"/>
    <cellStyle name="Accent6" xfId="1171"/>
    <cellStyle name="Accent6 - 20%" xfId="564"/>
    <cellStyle name="Accent6 - 20% 2" xfId="1172"/>
    <cellStyle name="Accent6 - 20% 3" xfId="1173"/>
    <cellStyle name="Accent6 - 20% 4" xfId="1175"/>
    <cellStyle name="Accent6 - 20% 5" xfId="1176"/>
    <cellStyle name="Accent6 - 20% 6" xfId="1177"/>
    <cellStyle name="Accent6 - 20% 7" xfId="1019"/>
    <cellStyle name="Accent6 - 20% 8" xfId="1179"/>
    <cellStyle name="Accent6 - 20% 9" xfId="1180"/>
    <cellStyle name="Accent6 - 40%" xfId="1181"/>
    <cellStyle name="Accent6 - 40% 2" xfId="1182"/>
    <cellStyle name="Accent6 - 40% 3" xfId="1183"/>
    <cellStyle name="Accent6 - 40% 4" xfId="1184"/>
    <cellStyle name="Accent6 - 40% 5" xfId="1185"/>
    <cellStyle name="Accent6 - 40% 6" xfId="1186"/>
    <cellStyle name="Accent6 - 40% 7" xfId="1187"/>
    <cellStyle name="Accent6 - 40% 8" xfId="1188"/>
    <cellStyle name="Accent6 - 40% 9" xfId="1189"/>
    <cellStyle name="Accent6 - 60%" xfId="1190"/>
    <cellStyle name="Accent6 - 60% 2" xfId="1191"/>
    <cellStyle name="Accent6 - 60% 3" xfId="1192"/>
    <cellStyle name="Accent6 - 60% 4" xfId="1193"/>
    <cellStyle name="Accent6 - 60% 5" xfId="1194"/>
    <cellStyle name="Accent6 - 60% 6" xfId="1195"/>
    <cellStyle name="Accent6 - 60% 7" xfId="1197"/>
    <cellStyle name="Accent6 - 60% 8" xfId="1199"/>
    <cellStyle name="Accent6 - 60% 9" xfId="1201"/>
    <cellStyle name="Accent6 2" xfId="1203"/>
    <cellStyle name="Accent6 3" xfId="1205"/>
    <cellStyle name="Accent6 4" xfId="1207"/>
    <cellStyle name="Accent6 5" xfId="1208"/>
    <cellStyle name="Accent6 6" xfId="1210"/>
    <cellStyle name="Accent6 7" xfId="1211"/>
    <cellStyle name="Accent6 8" xfId="1212"/>
    <cellStyle name="Accent6 9" xfId="1213"/>
    <cellStyle name="Accent6_公安安全支出补充表5.14" xfId="1216"/>
    <cellStyle name="args.style" xfId="1217"/>
    <cellStyle name="Bad" xfId="1219"/>
    <cellStyle name="Bad 2" xfId="1222"/>
    <cellStyle name="Bad 3" xfId="1226"/>
    <cellStyle name="Bad 4" xfId="1230"/>
    <cellStyle name="Bad 5" xfId="1234"/>
    <cellStyle name="Bad 6" xfId="1238"/>
    <cellStyle name="Bad 7" xfId="1242"/>
    <cellStyle name="Bad 8" xfId="1244"/>
    <cellStyle name="Bad 9" xfId="1246"/>
    <cellStyle name="Calc Currency (0)" xfId="1248"/>
    <cellStyle name="Calculation" xfId="1250"/>
    <cellStyle name="Calculation 2" xfId="1251"/>
    <cellStyle name="Calculation 3" xfId="1252"/>
    <cellStyle name="Calculation 4" xfId="1253"/>
    <cellStyle name="Calculation 5" xfId="1254"/>
    <cellStyle name="Calculation 6" xfId="1255"/>
    <cellStyle name="Calculation 7" xfId="1256"/>
    <cellStyle name="Calculation 8" xfId="699"/>
    <cellStyle name="Calculation 9" xfId="1257"/>
    <cellStyle name="Check Cell" xfId="1259"/>
    <cellStyle name="Check Cell 2" xfId="1261"/>
    <cellStyle name="Check Cell 3" xfId="1262"/>
    <cellStyle name="Check Cell 4" xfId="1263"/>
    <cellStyle name="Check Cell 5" xfId="1264"/>
    <cellStyle name="Check Cell 6" xfId="1266"/>
    <cellStyle name="Check Cell 7" xfId="1267"/>
    <cellStyle name="Check Cell 8" xfId="1268"/>
    <cellStyle name="Check Cell 9" xfId="1269"/>
    <cellStyle name="ColLevel_0" xfId="1270"/>
    <cellStyle name="Comma [0]" xfId="1273"/>
    <cellStyle name="comma zerodec" xfId="1275"/>
    <cellStyle name="Comma_!!!GO" xfId="1278"/>
    <cellStyle name="Currency [0]" xfId="1279"/>
    <cellStyle name="Currency_!!!GO" xfId="1280"/>
    <cellStyle name="Currency1" xfId="1282"/>
    <cellStyle name="Date" xfId="1283"/>
    <cellStyle name="Dollar (zero dec)" xfId="1284"/>
    <cellStyle name="Explanatory Text" xfId="549"/>
    <cellStyle name="Explanatory Text 2" xfId="1286"/>
    <cellStyle name="Explanatory Text 3" xfId="1289"/>
    <cellStyle name="Explanatory Text 4" xfId="1291"/>
    <cellStyle name="Explanatory Text 5" xfId="1293"/>
    <cellStyle name="Explanatory Text 6" xfId="1294"/>
    <cellStyle name="Explanatory Text 7" xfId="1295"/>
    <cellStyle name="Explanatory Text 8" xfId="1296"/>
    <cellStyle name="Explanatory Text 9" xfId="1297"/>
    <cellStyle name="Fixed" xfId="1299"/>
    <cellStyle name="Good" xfId="1301"/>
    <cellStyle name="Good 2" xfId="1304"/>
    <cellStyle name="Good 3" xfId="1305"/>
    <cellStyle name="Good 4" xfId="1306"/>
    <cellStyle name="Good 5" xfId="1307"/>
    <cellStyle name="Good 6" xfId="904"/>
    <cellStyle name="Good 7" xfId="951"/>
    <cellStyle name="Good 8" xfId="1007"/>
    <cellStyle name="Good 9" xfId="1079"/>
    <cellStyle name="Grey" xfId="1310"/>
    <cellStyle name="Header1" xfId="1311"/>
    <cellStyle name="Header2" xfId="1312"/>
    <cellStyle name="Heading 1" xfId="1315"/>
    <cellStyle name="Heading 1 2" xfId="1317"/>
    <cellStyle name="Heading 1 3" xfId="1318"/>
    <cellStyle name="Heading 1 4" xfId="1319"/>
    <cellStyle name="Heading 1 5" xfId="1320"/>
    <cellStyle name="Heading 1 6" xfId="1322"/>
    <cellStyle name="Heading 1 7" xfId="1323"/>
    <cellStyle name="Heading 1 8" xfId="1324"/>
    <cellStyle name="Heading 1 9" xfId="1326"/>
    <cellStyle name="Heading 2" xfId="1327"/>
    <cellStyle name="Heading 2 2" xfId="1329"/>
    <cellStyle name="Heading 2 3" xfId="1330"/>
    <cellStyle name="Heading 2 4" xfId="1331"/>
    <cellStyle name="Heading 2 5" xfId="1332"/>
    <cellStyle name="Heading 2 6" xfId="1333"/>
    <cellStyle name="Heading 2 7" xfId="1334"/>
    <cellStyle name="Heading 2 8" xfId="1335"/>
    <cellStyle name="Heading 2 9" xfId="1336"/>
    <cellStyle name="Heading 3" xfId="1337"/>
    <cellStyle name="Heading 3 2" xfId="99"/>
    <cellStyle name="Heading 3 3" xfId="1338"/>
    <cellStyle name="Heading 3 4" xfId="1339"/>
    <cellStyle name="Heading 3 5" xfId="1340"/>
    <cellStyle name="Heading 3 6" xfId="1341"/>
    <cellStyle name="Heading 3 7" xfId="1344"/>
    <cellStyle name="Heading 3 8" xfId="1346"/>
    <cellStyle name="Heading 3 9" xfId="1349"/>
    <cellStyle name="Heading 4" xfId="205"/>
    <cellStyle name="Heading 4 2" xfId="1350"/>
    <cellStyle name="Heading 4 3" xfId="1351"/>
    <cellStyle name="Heading 4 4" xfId="1352"/>
    <cellStyle name="Heading 4 5" xfId="1353"/>
    <cellStyle name="Heading 4 6" xfId="1356"/>
    <cellStyle name="Heading 4 7" xfId="1360"/>
    <cellStyle name="Heading 4 8" xfId="1215"/>
    <cellStyle name="Heading 4 9" xfId="1362"/>
    <cellStyle name="HEADING1" xfId="1363"/>
    <cellStyle name="HEADING2" xfId="1365"/>
    <cellStyle name="Input" xfId="1366"/>
    <cellStyle name="Input [yellow]" xfId="1369"/>
    <cellStyle name="Input 2" xfId="1371"/>
    <cellStyle name="Input 3" xfId="1373"/>
    <cellStyle name="Input 4" xfId="1375"/>
    <cellStyle name="Input 5" xfId="1377"/>
    <cellStyle name="Input 6" xfId="386"/>
    <cellStyle name="Input 7" xfId="107"/>
    <cellStyle name="Input 8" xfId="1378"/>
    <cellStyle name="Input 9" xfId="1379"/>
    <cellStyle name="Input Cells" xfId="1380"/>
    <cellStyle name="Linked Cell" xfId="1382"/>
    <cellStyle name="Linked Cell 2" xfId="1384"/>
    <cellStyle name="Linked Cell 3" xfId="1386"/>
    <cellStyle name="Linked Cell 4" xfId="1388"/>
    <cellStyle name="Linked Cell 5" xfId="1390"/>
    <cellStyle name="Linked Cell 6" xfId="1391"/>
    <cellStyle name="Linked Cell 7" xfId="1392"/>
    <cellStyle name="Linked Cell 8" xfId="1393"/>
    <cellStyle name="Linked Cell 9" xfId="1394"/>
    <cellStyle name="Linked Cells" xfId="1395"/>
    <cellStyle name="Millares [0]_96 Risk" xfId="1396"/>
    <cellStyle name="Millares_96 Risk" xfId="1399"/>
    <cellStyle name="Milliers [0]_!!!GO" xfId="1400"/>
    <cellStyle name="Milliers_!!!GO" xfId="1401"/>
    <cellStyle name="Moneda [0]_96 Risk" xfId="1402"/>
    <cellStyle name="Moneda_96 Risk" xfId="1403"/>
    <cellStyle name="Mon閠aire [0]_!!!GO" xfId="600"/>
    <cellStyle name="Mon閠aire_!!!GO" xfId="1405"/>
    <cellStyle name="Neutral" xfId="1406"/>
    <cellStyle name="Neutral 2" xfId="1407"/>
    <cellStyle name="Neutral 3" xfId="1408"/>
    <cellStyle name="Neutral 4" xfId="1409"/>
    <cellStyle name="Neutral 5" xfId="1410"/>
    <cellStyle name="Neutral 6" xfId="1411"/>
    <cellStyle name="Neutral 7" xfId="1412"/>
    <cellStyle name="Neutral 8" xfId="1413"/>
    <cellStyle name="Neutral 9" xfId="1414"/>
    <cellStyle name="New Times Roman" xfId="1415"/>
    <cellStyle name="no dec" xfId="455"/>
    <cellStyle name="Norma,_laroux_4_营业在建 (2)_E21" xfId="1416"/>
    <cellStyle name="Normal - Style1" xfId="540"/>
    <cellStyle name="Normal_!!!GO" xfId="1418"/>
    <cellStyle name="Normal_3H8" xfId="106"/>
    <cellStyle name="Note" xfId="1420"/>
    <cellStyle name="Note 2" xfId="1423"/>
    <cellStyle name="Note 3" xfId="1425"/>
    <cellStyle name="Note 4" xfId="1427"/>
    <cellStyle name="Note 5" xfId="1429"/>
    <cellStyle name="Note 6" xfId="1431"/>
    <cellStyle name="Note 7" xfId="1432"/>
    <cellStyle name="Note 8" xfId="1433"/>
    <cellStyle name="Note 9" xfId="1434"/>
    <cellStyle name="Output" xfId="1436"/>
    <cellStyle name="Output 2" xfId="1438"/>
    <cellStyle name="Output 3" xfId="1439"/>
    <cellStyle name="Output 4" xfId="1440"/>
    <cellStyle name="Output 5" xfId="1441"/>
    <cellStyle name="Output 6" xfId="1444"/>
    <cellStyle name="Output 7" xfId="1446"/>
    <cellStyle name="Output 8" xfId="1449"/>
    <cellStyle name="Output 9" xfId="1452"/>
    <cellStyle name="per.style" xfId="734"/>
    <cellStyle name="Percent [2]" xfId="1454"/>
    <cellStyle name="Percent_!!!GO" xfId="1455"/>
    <cellStyle name="Pourcentage_pldt" xfId="1422"/>
    <cellStyle name="PSChar" xfId="1456"/>
    <cellStyle name="PSDate" xfId="1459"/>
    <cellStyle name="PSDec" xfId="113"/>
    <cellStyle name="PSHeading" xfId="1460"/>
    <cellStyle name="PSInt" xfId="1462"/>
    <cellStyle name="PSSpacer" xfId="1100"/>
    <cellStyle name="RowLevel_0" xfId="1465"/>
    <cellStyle name="sstot" xfId="1466"/>
    <cellStyle name="Standard_AREAS" xfId="1467"/>
    <cellStyle name="t" xfId="1470"/>
    <cellStyle name="t_HVAC Equipment (3)" xfId="1472"/>
    <cellStyle name="Title" xfId="1474"/>
    <cellStyle name="Title 2" xfId="1475"/>
    <cellStyle name="Title 3" xfId="1477"/>
    <cellStyle name="Title 4" xfId="1478"/>
    <cellStyle name="Title 5" xfId="1479"/>
    <cellStyle name="Title 6" xfId="1480"/>
    <cellStyle name="Title 7" xfId="1482"/>
    <cellStyle name="Title 8" xfId="1485"/>
    <cellStyle name="Title 9" xfId="1489"/>
    <cellStyle name="Total" xfId="1491"/>
    <cellStyle name="Warning Text" xfId="1492"/>
    <cellStyle name="Warning Text 2" xfId="1494"/>
    <cellStyle name="Warning Text 3" xfId="1496"/>
    <cellStyle name="Warning Text 4" xfId="1497"/>
    <cellStyle name="Warning Text 5" xfId="1499"/>
    <cellStyle name="Warning Text 6" xfId="1502"/>
    <cellStyle name="Warning Text 7" xfId="1505"/>
    <cellStyle name="Warning Text 8" xfId="1508"/>
    <cellStyle name="Warning Text 9" xfId="1512"/>
    <cellStyle name="百分比" xfId="24" builtinId="5"/>
    <cellStyle name="百分比 10" xfId="1513"/>
    <cellStyle name="百分比 10 2" xfId="1514"/>
    <cellStyle name="百分比 2" xfId="1515"/>
    <cellStyle name="百分比 2 2" xfId="1516"/>
    <cellStyle name="百分比 2 3" xfId="1517"/>
    <cellStyle name="百分比 2 4" xfId="1518"/>
    <cellStyle name="百分比 2 5" xfId="1519"/>
    <cellStyle name="百分比 2 6" xfId="1521"/>
    <cellStyle name="百分比 2 7" xfId="1522"/>
    <cellStyle name="百分比 2 8" xfId="1523"/>
    <cellStyle name="百分比 2 9" xfId="1524"/>
    <cellStyle name="百分比 3" xfId="1525"/>
    <cellStyle name="百分比 3 2" xfId="1526"/>
    <cellStyle name="百分比 3 3" xfId="1527"/>
    <cellStyle name="百分比 3 4" xfId="1528"/>
    <cellStyle name="百分比 3 5" xfId="1529"/>
    <cellStyle name="百分比 3 6" xfId="1530"/>
    <cellStyle name="百分比 3 7" xfId="1531"/>
    <cellStyle name="百分比 3 8" xfId="1532"/>
    <cellStyle name="百分比 3 9" xfId="1534"/>
    <cellStyle name="百分比 4" xfId="1535"/>
    <cellStyle name="百分比 4 2" xfId="1537"/>
    <cellStyle name="百分比 4 3" xfId="1539"/>
    <cellStyle name="百分比 4 4" xfId="1541"/>
    <cellStyle name="百分比 4 5" xfId="1543"/>
    <cellStyle name="百分比 4 6" xfId="1545"/>
    <cellStyle name="百分比 4 7" xfId="1547"/>
    <cellStyle name="百分比 4 8" xfId="1549"/>
    <cellStyle name="百分比 4 9" xfId="1551"/>
    <cellStyle name="百分比 5" xfId="1552"/>
    <cellStyle name="百分比 5 2" xfId="1554"/>
    <cellStyle name="百分比 6" xfId="1555"/>
    <cellStyle name="百分比 6 2" xfId="1557"/>
    <cellStyle name="百分比 7" xfId="1558"/>
    <cellStyle name="百分比 7 2" xfId="1560"/>
    <cellStyle name="百分比 8" xfId="1561"/>
    <cellStyle name="百分比 8 2" xfId="1563"/>
    <cellStyle name="百分比 9" xfId="1564"/>
    <cellStyle name="百分比 9 2" xfId="1567"/>
    <cellStyle name="捠壿 [0.00]_Region Orders (2)" xfId="1097"/>
    <cellStyle name="捠壿_Region Orders (2)" xfId="1568"/>
    <cellStyle name="编号" xfId="1569"/>
    <cellStyle name="标题 1 10" xfId="1570"/>
    <cellStyle name="标题 1 2" xfId="1571"/>
    <cellStyle name="标题 1 3" xfId="623"/>
    <cellStyle name="标题 1 3 2" xfId="1572"/>
    <cellStyle name="标题 1 3 3" xfId="1573"/>
    <cellStyle name="标题 1 3 4" xfId="1574"/>
    <cellStyle name="标题 1 3 5" xfId="1575"/>
    <cellStyle name="标题 1 3 6" xfId="1576"/>
    <cellStyle name="标题 1 3 7" xfId="1577"/>
    <cellStyle name="标题 1 4" xfId="1578"/>
    <cellStyle name="标题 1 4 2" xfId="1579"/>
    <cellStyle name="标题 1 5" xfId="1580"/>
    <cellStyle name="标题 1 5 2" xfId="42"/>
    <cellStyle name="标题 1 6" xfId="1581"/>
    <cellStyle name="标题 1 6 2" xfId="1584"/>
    <cellStyle name="标题 1 7" xfId="1585"/>
    <cellStyle name="标题 1 7 2" xfId="1587"/>
    <cellStyle name="标题 1 8" xfId="351"/>
    <cellStyle name="标题 1 8 2" xfId="1588"/>
    <cellStyle name="标题 1 9" xfId="1590"/>
    <cellStyle name="标题 1 9 2" xfId="1591"/>
    <cellStyle name="标题 10" xfId="1592"/>
    <cellStyle name="标题 10 2" xfId="1081"/>
    <cellStyle name="标题 11" xfId="1594"/>
    <cellStyle name="标题 11 2" xfId="1443"/>
    <cellStyle name="标题 12" xfId="1595"/>
    <cellStyle name="标题 12 2" xfId="1089"/>
    <cellStyle name="标题 13" xfId="1596"/>
    <cellStyle name="标题 2 10" xfId="1597"/>
    <cellStyle name="标题 2 2" xfId="1598"/>
    <cellStyle name="标题 2 3" xfId="629"/>
    <cellStyle name="标题 2 3 2" xfId="1599"/>
    <cellStyle name="标题 2 3 3" xfId="1600"/>
    <cellStyle name="标题 2 3 4" xfId="1601"/>
    <cellStyle name="标题 2 3 5" xfId="1602"/>
    <cellStyle name="标题 2 3 6" xfId="1603"/>
    <cellStyle name="标题 2 3 7" xfId="1604"/>
    <cellStyle name="标题 2 4" xfId="1607"/>
    <cellStyle name="标题 2 4 2" xfId="1608"/>
    <cellStyle name="标题 2 5" xfId="1611"/>
    <cellStyle name="标题 2 5 2" xfId="1612"/>
    <cellStyle name="标题 2 6" xfId="1615"/>
    <cellStyle name="标题 2 6 2" xfId="1616"/>
    <cellStyle name="标题 2 7" xfId="1619"/>
    <cellStyle name="标题 2 7 2" xfId="1622"/>
    <cellStyle name="标题 2 8" xfId="136"/>
    <cellStyle name="标题 2 8 2" xfId="1624"/>
    <cellStyle name="标题 2 9" xfId="1627"/>
    <cellStyle name="标题 2 9 2" xfId="1628"/>
    <cellStyle name="标题 3 10" xfId="1321"/>
    <cellStyle name="标题 3 2" xfId="1629"/>
    <cellStyle name="标题 3 3" xfId="1631"/>
    <cellStyle name="标题 3 3 2" xfId="1633"/>
    <cellStyle name="标题 3 3 3" xfId="1634"/>
    <cellStyle name="标题 3 3 4" xfId="1635"/>
    <cellStyle name="标题 3 3 5" xfId="1636"/>
    <cellStyle name="标题 3 3 6" xfId="1464"/>
    <cellStyle name="标题 3 3 7" xfId="1638"/>
    <cellStyle name="标题 3 4" xfId="1640"/>
    <cellStyle name="标题 3 4 2" xfId="1641"/>
    <cellStyle name="标题 3 5" xfId="1643"/>
    <cellStyle name="标题 3 5 2" xfId="1644"/>
    <cellStyle name="标题 3 6" xfId="1646"/>
    <cellStyle name="标题 3 6 2" xfId="1647"/>
    <cellStyle name="标题 3 7" xfId="1649"/>
    <cellStyle name="标题 3 7 2" xfId="1650"/>
    <cellStyle name="标题 3 8" xfId="1652"/>
    <cellStyle name="标题 3 8 2" xfId="1653"/>
    <cellStyle name="标题 3 9" xfId="1655"/>
    <cellStyle name="标题 3 9 2" xfId="1657"/>
    <cellStyle name="标题 4 10" xfId="1658"/>
    <cellStyle name="标题 4 2" xfId="1660"/>
    <cellStyle name="标题 4 3" xfId="1662"/>
    <cellStyle name="标题 4 3 2" xfId="1664"/>
    <cellStyle name="标题 4 3 3" xfId="1076"/>
    <cellStyle name="标题 4 3 4" xfId="1666"/>
    <cellStyle name="标题 4 3 5" xfId="1668"/>
    <cellStyle name="标题 4 3 6" xfId="1670"/>
    <cellStyle name="标题 4 3 7" xfId="1672"/>
    <cellStyle name="标题 4 4" xfId="1673"/>
    <cellStyle name="标题 4 4 2" xfId="1675"/>
    <cellStyle name="标题 4 5" xfId="1676"/>
    <cellStyle name="标题 4 5 2" xfId="1677"/>
    <cellStyle name="标题 4 6" xfId="1678"/>
    <cellStyle name="标题 4 6 2" xfId="1679"/>
    <cellStyle name="标题 4 7" xfId="1680"/>
    <cellStyle name="标题 4 7 2" xfId="1681"/>
    <cellStyle name="标题 4 8" xfId="1682"/>
    <cellStyle name="标题 4 8 2" xfId="1684"/>
    <cellStyle name="标题 4 9" xfId="1685"/>
    <cellStyle name="标题 4 9 2" xfId="1687"/>
    <cellStyle name="标题 5" xfId="1689"/>
    <cellStyle name="标题 5 2" xfId="1690"/>
    <cellStyle name="标题 5 3" xfId="1691"/>
    <cellStyle name="标题 5 4" xfId="1692"/>
    <cellStyle name="标题 5 5" xfId="1693"/>
    <cellStyle name="标题 5 6" xfId="1370"/>
    <cellStyle name="标题 5 7" xfId="1372"/>
    <cellStyle name="标题 5 8" xfId="1374"/>
    <cellStyle name="标题 5 9" xfId="1376"/>
    <cellStyle name="标题 6" xfId="1694"/>
    <cellStyle name="标题 6 2" xfId="1695"/>
    <cellStyle name="标题 6 3" xfId="1696"/>
    <cellStyle name="标题 6 4" xfId="1697"/>
    <cellStyle name="标题 6 5" xfId="1698"/>
    <cellStyle name="标题 6 6" xfId="1699"/>
    <cellStyle name="标题 6 7" xfId="1700"/>
    <cellStyle name="标题 7" xfId="1701"/>
    <cellStyle name="标题 7 2" xfId="1702"/>
    <cellStyle name="标题 8" xfId="1703"/>
    <cellStyle name="标题 8 2" xfId="1705"/>
    <cellStyle name="标题 9" xfId="1706"/>
    <cellStyle name="标题 9 2" xfId="1709"/>
    <cellStyle name="标题1" xfId="1712"/>
    <cellStyle name="表标题" xfId="1713"/>
    <cellStyle name="表标题 2" xfId="1715"/>
    <cellStyle name="表标题 3" xfId="1716"/>
    <cellStyle name="表标题 4" xfId="1717"/>
    <cellStyle name="表标题 5" xfId="1719"/>
    <cellStyle name="表标题 6" xfId="1721"/>
    <cellStyle name="表标题 7" xfId="1723"/>
    <cellStyle name="表标题 8" xfId="1725"/>
    <cellStyle name="表标题 9" xfId="1727"/>
    <cellStyle name="部门" xfId="1728"/>
    <cellStyle name="差 10" xfId="1729"/>
    <cellStyle name="差 2" xfId="1511"/>
    <cellStyle name="差 3" xfId="1732"/>
    <cellStyle name="差 3 2" xfId="1735"/>
    <cellStyle name="差 3 3" xfId="1737"/>
    <cellStyle name="差 3 4" xfId="1738"/>
    <cellStyle name="差 3 5" xfId="1739"/>
    <cellStyle name="差 3 6" xfId="1740"/>
    <cellStyle name="差 3 7" xfId="1741"/>
    <cellStyle name="差 4" xfId="1744"/>
    <cellStyle name="差 4 2" xfId="1746"/>
    <cellStyle name="差 5" xfId="1749"/>
    <cellStyle name="差 5 2" xfId="1751"/>
    <cellStyle name="差 6" xfId="1753"/>
    <cellStyle name="差 6 2" xfId="1755"/>
    <cellStyle name="差 7" xfId="1756"/>
    <cellStyle name="差 7 2" xfId="1757"/>
    <cellStyle name="差 8" xfId="1758"/>
    <cellStyle name="差 8 2" xfId="1759"/>
    <cellStyle name="差 9" xfId="1761"/>
    <cellStyle name="差 9 2" xfId="1763"/>
    <cellStyle name="差_~4190974" xfId="1764"/>
    <cellStyle name="差_~4190974 2" xfId="1765"/>
    <cellStyle name="差_~4190974 3" xfId="1766"/>
    <cellStyle name="差_~4190974 4" xfId="1768"/>
    <cellStyle name="差_~4190974 5" xfId="1769"/>
    <cellStyle name="差_~4190974 6" xfId="1770"/>
    <cellStyle name="差_~4190974 7" xfId="1398"/>
    <cellStyle name="差_~4190974 8" xfId="1772"/>
    <cellStyle name="差_~4190974 9" xfId="77"/>
    <cellStyle name="差_~5676413" xfId="1488"/>
    <cellStyle name="差_~5676413 2" xfId="1773"/>
    <cellStyle name="差_~5676413 3" xfId="1774"/>
    <cellStyle name="差_~5676413 4" xfId="1775"/>
    <cellStyle name="差_~5676413 5" xfId="1469"/>
    <cellStyle name="差_~5676413 6" xfId="1776"/>
    <cellStyle name="差_~5676413 7" xfId="1777"/>
    <cellStyle name="差_~5676413 8" xfId="1778"/>
    <cellStyle name="差_~5676413 9" xfId="1779"/>
    <cellStyle name="差_00省级(打印)" xfId="1781"/>
    <cellStyle name="差_00省级(打印) 2" xfId="1487"/>
    <cellStyle name="差_00省级(打印) 3" xfId="1783"/>
    <cellStyle name="差_00省级(打印) 4" xfId="1277"/>
    <cellStyle name="差_00省级(打印) 5" xfId="1785"/>
    <cellStyle name="差_00省级(打印) 6" xfId="1787"/>
    <cellStyle name="差_00省级(打印) 7" xfId="1789"/>
    <cellStyle name="差_00省级(打印) 8" xfId="1790"/>
    <cellStyle name="差_00省级(打印) 9" xfId="1791"/>
    <cellStyle name="差_00省级(定稿)" xfId="1792"/>
    <cellStyle name="差_00省级(定稿) 2" xfId="1606"/>
    <cellStyle name="差_00省级(定稿) 3" xfId="1610"/>
    <cellStyle name="差_00省级(定稿) 4" xfId="1614"/>
    <cellStyle name="差_00省级(定稿) 5" xfId="1618"/>
    <cellStyle name="差_00省级(定稿) 6" xfId="135"/>
    <cellStyle name="差_00省级(定稿) 7" xfId="1626"/>
    <cellStyle name="差_00省级(定稿) 8" xfId="1794"/>
    <cellStyle name="差_00省级(定稿) 9" xfId="1796"/>
    <cellStyle name="差_03昭通" xfId="1797"/>
    <cellStyle name="差_03昭通 2" xfId="993"/>
    <cellStyle name="差_03昭通 3" xfId="995"/>
    <cellStyle name="差_03昭通 4" xfId="997"/>
    <cellStyle name="差_03昭通 5" xfId="999"/>
    <cellStyle name="差_03昭通 6" xfId="1001"/>
    <cellStyle name="差_03昭通 7" xfId="1798"/>
    <cellStyle name="差_03昭通 8" xfId="1799"/>
    <cellStyle name="差_03昭通 9" xfId="892"/>
    <cellStyle name="差_0502通海县" xfId="1800"/>
    <cellStyle name="差_0502通海县 2" xfId="1801"/>
    <cellStyle name="差_0502通海县 3" xfId="1802"/>
    <cellStyle name="差_0502通海县 4" xfId="1803"/>
    <cellStyle name="差_0502通海县 5" xfId="1804"/>
    <cellStyle name="差_0502通海县 6" xfId="1805"/>
    <cellStyle name="差_0502通海县 7" xfId="1806"/>
    <cellStyle name="差_0502通海县 8" xfId="22"/>
    <cellStyle name="差_0502通海县 9" xfId="1807"/>
    <cellStyle name="差_05玉溪" xfId="1809"/>
    <cellStyle name="差_05玉溪 2" xfId="1811"/>
    <cellStyle name="差_05玉溪 3" xfId="1812"/>
    <cellStyle name="差_05玉溪 4" xfId="1813"/>
    <cellStyle name="差_05玉溪 5" xfId="1814"/>
    <cellStyle name="差_05玉溪 6" xfId="1815"/>
    <cellStyle name="差_05玉溪 7" xfId="1817"/>
    <cellStyle name="差_05玉溪 8" xfId="1819"/>
    <cellStyle name="差_05玉溪 9" xfId="1821"/>
    <cellStyle name="差_0605石屏县" xfId="1823"/>
    <cellStyle name="差_0605石屏县 2" xfId="1824"/>
    <cellStyle name="差_0605石屏县 3" xfId="1826"/>
    <cellStyle name="差_0605石屏县 4" xfId="1827"/>
    <cellStyle name="差_0605石屏县 5" xfId="1828"/>
    <cellStyle name="差_0605石屏县 6" xfId="1829"/>
    <cellStyle name="差_0605石屏县 7" xfId="1830"/>
    <cellStyle name="差_0605石屏县 8" xfId="1831"/>
    <cellStyle name="差_0605石屏县 9" xfId="1833"/>
    <cellStyle name="差_1003牟定县" xfId="441"/>
    <cellStyle name="差_1003牟定县 2" xfId="249"/>
    <cellStyle name="差_1003牟定县 3" xfId="256"/>
    <cellStyle name="差_1003牟定县 4" xfId="261"/>
    <cellStyle name="差_1003牟定县 5" xfId="267"/>
    <cellStyle name="差_1003牟定县 6" xfId="273"/>
    <cellStyle name="差_1003牟定县 7" xfId="1834"/>
    <cellStyle name="差_1003牟定县 8" xfId="1835"/>
    <cellStyle name="差_1003牟定县 9" xfId="1836"/>
    <cellStyle name="差_1110洱源县" xfId="1637"/>
    <cellStyle name="差_1110洱源县 2" xfId="890"/>
    <cellStyle name="差_1110洱源县 3" xfId="894"/>
    <cellStyle name="差_1110洱源县 4" xfId="898"/>
    <cellStyle name="差_1110洱源县 5" xfId="872"/>
    <cellStyle name="差_1110洱源县 6" xfId="1837"/>
    <cellStyle name="差_1110洱源县 7" xfId="1838"/>
    <cellStyle name="差_1110洱源县 8" xfId="1839"/>
    <cellStyle name="差_1110洱源县 9" xfId="1840"/>
    <cellStyle name="差_11大理" xfId="1841"/>
    <cellStyle name="差_11大理 2" xfId="1844"/>
    <cellStyle name="差_11大理 3" xfId="1846"/>
    <cellStyle name="差_11大理 4" xfId="1848"/>
    <cellStyle name="差_11大理 5" xfId="1850"/>
    <cellStyle name="差_11大理 6" xfId="782"/>
    <cellStyle name="差_11大理 7" xfId="784"/>
    <cellStyle name="差_11大理 8" xfId="791"/>
    <cellStyle name="差_11大理 9" xfId="794"/>
    <cellStyle name="差_2、土地面积、人口、粮食产量基本情况" xfId="1851"/>
    <cellStyle name="差_2、土地面积、人口、粮食产量基本情况 2" xfId="1853"/>
    <cellStyle name="差_2、土地面积、人口、粮食产量基本情况 3" xfId="1856"/>
    <cellStyle name="差_2、土地面积、人口、粮食产量基本情况 4" xfId="1858"/>
    <cellStyle name="差_2、土地面积、人口、粮食产量基本情况 5" xfId="1860"/>
    <cellStyle name="差_2、土地面积、人口、粮食产量基本情况 6" xfId="1862"/>
    <cellStyle name="差_2、土地面积、人口、粮食产量基本情况 7" xfId="1864"/>
    <cellStyle name="差_2、土地面积、人口、粮食产量基本情况 8" xfId="1867"/>
    <cellStyle name="差_2、土地面积、人口、粮食产量基本情况 9" xfId="1868"/>
    <cellStyle name="差_2006年分析表" xfId="1760"/>
    <cellStyle name="差_2006年基础数据" xfId="907"/>
    <cellStyle name="差_2006年基础数据 2" xfId="909"/>
    <cellStyle name="差_2006年基础数据 3" xfId="911"/>
    <cellStyle name="差_2006年基础数据 4" xfId="913"/>
    <cellStyle name="差_2006年基础数据 5" xfId="917"/>
    <cellStyle name="差_2006年基础数据 6" xfId="920"/>
    <cellStyle name="差_2006年基础数据 7" xfId="923"/>
    <cellStyle name="差_2006年基础数据 8" xfId="926"/>
    <cellStyle name="差_2006年基础数据 9" xfId="929"/>
    <cellStyle name="差_2006年全省财力计算表（中央、决算）" xfId="1209"/>
    <cellStyle name="差_2006年全省财力计算表（中央、决算） 2" xfId="1870"/>
    <cellStyle name="差_2006年全省财力计算表（中央、决算） 3" xfId="1871"/>
    <cellStyle name="差_2006年全省财力计算表（中央、决算） 4" xfId="1872"/>
    <cellStyle name="差_2006年全省财力计算表（中央、决算） 5" xfId="1873"/>
    <cellStyle name="差_2006年全省财力计算表（中央、决算） 6" xfId="1874"/>
    <cellStyle name="差_2006年全省财力计算表（中央、决算） 7" xfId="1875"/>
    <cellStyle name="差_2006年全省财力计算表（中央、决算） 8" xfId="1876"/>
    <cellStyle name="差_2006年全省财力计算表（中央、决算） 9" xfId="1877"/>
    <cellStyle name="差_2006年水利统计指标统计表" xfId="1879"/>
    <cellStyle name="差_2006年水利统计指标统计表 2" xfId="1881"/>
    <cellStyle name="差_2006年水利统计指标统计表 3" xfId="1882"/>
    <cellStyle name="差_2006年水利统计指标统计表 4" xfId="1883"/>
    <cellStyle name="差_2006年水利统计指标统计表 5" xfId="1884"/>
    <cellStyle name="差_2006年水利统计指标统计表 6" xfId="589"/>
    <cellStyle name="差_2006年水利统计指标统计表 7" xfId="1885"/>
    <cellStyle name="差_2006年水利统计指标统计表 8" xfId="1886"/>
    <cellStyle name="差_2006年水利统计指标统计表 9" xfId="1887"/>
    <cellStyle name="差_2006年在职人员情况" xfId="1106"/>
    <cellStyle name="差_2006年在职人员情况 2" xfId="580"/>
    <cellStyle name="差_2006年在职人员情况 3" xfId="11"/>
    <cellStyle name="差_2006年在职人员情况 4" xfId="583"/>
    <cellStyle name="差_2006年在职人员情况 5" xfId="586"/>
    <cellStyle name="差_2006年在职人员情况 6" xfId="1889"/>
    <cellStyle name="差_2006年在职人员情况 7" xfId="1890"/>
    <cellStyle name="差_2006年在职人员情况 8" xfId="1891"/>
    <cellStyle name="差_2006年在职人员情况 9" xfId="1892"/>
    <cellStyle name="差_2007年检察院案件数" xfId="1006"/>
    <cellStyle name="差_2007年检察院案件数 2" xfId="1058"/>
    <cellStyle name="差_2007年检察院案件数 3" xfId="1060"/>
    <cellStyle name="差_2007年检察院案件数 4" xfId="1062"/>
    <cellStyle name="差_2007年检察院案件数 5" xfId="1064"/>
    <cellStyle name="差_2007年检察院案件数 6" xfId="1066"/>
    <cellStyle name="差_2007年检察院案件数 7" xfId="1068"/>
    <cellStyle name="差_2007年检察院案件数 8" xfId="1070"/>
    <cellStyle name="差_2007年检察院案件数 9" xfId="1073"/>
    <cellStyle name="差_2007年可用财力" xfId="1893"/>
    <cellStyle name="差_2007年人员分部门统计表" xfId="1894"/>
    <cellStyle name="差_2007年人员分部门统计表 2" xfId="1895"/>
    <cellStyle name="差_2007年人员分部门统计表 3" xfId="885"/>
    <cellStyle name="差_2007年人员分部门统计表 4" xfId="1896"/>
    <cellStyle name="差_2007年人员分部门统计表 5" xfId="1897"/>
    <cellStyle name="差_2007年人员分部门统计表 6" xfId="1898"/>
    <cellStyle name="差_2007年人员分部门统计表 7" xfId="1899"/>
    <cellStyle name="差_2007年人员分部门统计表 8" xfId="672"/>
    <cellStyle name="差_2007年人员分部门统计表 9" xfId="1900"/>
    <cellStyle name="差_2007年政法部门业务指标" xfId="1903"/>
    <cellStyle name="差_2007年政法部门业务指标 2" xfId="1905"/>
    <cellStyle name="差_2007年政法部门业务指标 3" xfId="1907"/>
    <cellStyle name="差_2007年政法部门业务指标 4" xfId="1909"/>
    <cellStyle name="差_2007年政法部门业务指标 5" xfId="1911"/>
    <cellStyle name="差_2007年政法部门业务指标 6" xfId="1912"/>
    <cellStyle name="差_2007年政法部门业务指标 7" xfId="1914"/>
    <cellStyle name="差_2007年政法部门业务指标 8" xfId="1915"/>
    <cellStyle name="差_2007年政法部门业务指标 9" xfId="1328"/>
    <cellStyle name="差_2008年县级公安保障标准落实奖励经费分配测算" xfId="1463"/>
    <cellStyle name="差_2008云南省分县市中小学教职工统计表（教育厅提供）" xfId="272"/>
    <cellStyle name="差_2008云南省分县市中小学教职工统计表（教育厅提供） 2" xfId="1916"/>
    <cellStyle name="差_2008云南省分县市中小学教职工统计表（教育厅提供） 3" xfId="1917"/>
    <cellStyle name="差_2008云南省分县市中小学教职工统计表（教育厅提供） 4" xfId="1919"/>
    <cellStyle name="差_2008云南省分县市中小学教职工统计表（教育厅提供） 5" xfId="1920"/>
    <cellStyle name="差_2008云南省分县市中小学教职工统计表（教育厅提供） 6" xfId="1921"/>
    <cellStyle name="差_2008云南省分县市中小学教职工统计表（教育厅提供） 7" xfId="1202"/>
    <cellStyle name="差_2008云南省分县市中小学教职工统计表（教育厅提供） 8" xfId="1204"/>
    <cellStyle name="差_2008云南省分县市中小学教职工统计表（教育厅提供） 9" xfId="1206"/>
    <cellStyle name="差_2009年一般性转移支付标准工资" xfId="182"/>
    <cellStyle name="差_2009年一般性转移支付标准工资 2" xfId="51"/>
    <cellStyle name="差_2009年一般性转移支付标准工资 3" xfId="492"/>
    <cellStyle name="差_2009年一般性转移支付标准工资 4" xfId="496"/>
    <cellStyle name="差_2009年一般性转移支付标准工资 5" xfId="500"/>
    <cellStyle name="差_2009年一般性转移支付标准工资 6" xfId="504"/>
    <cellStyle name="差_2009年一般性转移支付标准工资 7" xfId="508"/>
    <cellStyle name="差_2009年一般性转移支付标准工资 8" xfId="1309"/>
    <cellStyle name="差_2009年一般性转移支付标准工资 9" xfId="1922"/>
    <cellStyle name="差_2009年一般性转移支付标准工资_~4190974" xfId="1924"/>
    <cellStyle name="差_2009年一般性转移支付标准工资_~4190974 2" xfId="1925"/>
    <cellStyle name="差_2009年一般性转移支付标准工资_~4190974 3" xfId="1926"/>
    <cellStyle name="差_2009年一般性转移支付标准工资_~4190974 4" xfId="1927"/>
    <cellStyle name="差_2009年一般性转移支付标准工资_~4190974 5" xfId="1928"/>
    <cellStyle name="差_2009年一般性转移支付标准工资_~4190974 6" xfId="1929"/>
    <cellStyle name="差_2009年一般性转移支付标准工资_~4190974 7" xfId="1930"/>
    <cellStyle name="差_2009年一般性转移支付标准工资_~4190974 8" xfId="1931"/>
    <cellStyle name="差_2009年一般性转移支付标准工资_~4190974 9" xfId="1932"/>
    <cellStyle name="差_2009年一般性转移支付标准工资_~5676413" xfId="1933"/>
    <cellStyle name="差_2009年一般性转移支付标准工资_~5676413 2" xfId="1935"/>
    <cellStyle name="差_2009年一般性转移支付标准工资_~5676413 3" xfId="1937"/>
    <cellStyle name="差_2009年一般性转移支付标准工资_~5676413 4" xfId="1939"/>
    <cellStyle name="差_2009年一般性转移支付标准工资_~5676413 5" xfId="1941"/>
    <cellStyle name="差_2009年一般性转移支付标准工资_~5676413 6" xfId="1943"/>
    <cellStyle name="差_2009年一般性转移支付标准工资_~5676413 7" xfId="1944"/>
    <cellStyle name="差_2009年一般性转移支付标准工资_~5676413 8" xfId="1945"/>
    <cellStyle name="差_2009年一般性转移支付标准工资_~5676413 9" xfId="1946"/>
    <cellStyle name="差_2009年一般性转移支付标准工资_不用软件计算9.1不考虑经费管理评价xl" xfId="1948"/>
    <cellStyle name="差_2009年一般性转移支付标准工资_不用软件计算9.1不考虑经费管理评价xl 2" xfId="1950"/>
    <cellStyle name="差_2009年一般性转移支付标准工资_不用软件计算9.1不考虑经费管理评价xl 3" xfId="1952"/>
    <cellStyle name="差_2009年一般性转移支付标准工资_不用软件计算9.1不考虑经费管理评价xl 4" xfId="1954"/>
    <cellStyle name="差_2009年一般性转移支付标准工资_不用软件计算9.1不考虑经费管理评价xl 5" xfId="1956"/>
    <cellStyle name="差_2009年一般性转移支付标准工资_不用软件计算9.1不考虑经费管理评价xl 6" xfId="1957"/>
    <cellStyle name="差_2009年一般性转移支付标准工资_不用软件计算9.1不考虑经费管理评价xl 7" xfId="1958"/>
    <cellStyle name="差_2009年一般性转移支付标准工资_不用软件计算9.1不考虑经费管理评价xl 8" xfId="1959"/>
    <cellStyle name="差_2009年一般性转移支付标准工资_不用软件计算9.1不考虑经费管理评价xl 9" xfId="1960"/>
    <cellStyle name="差_2009年一般性转移支付标准工资_地方配套按人均增幅控制8.30xl" xfId="1962"/>
    <cellStyle name="差_2009年一般性转移支付标准工资_地方配套按人均增幅控制8.30xl 2" xfId="1963"/>
    <cellStyle name="差_2009年一般性转移支付标准工资_地方配套按人均增幅控制8.30xl 3" xfId="1965"/>
    <cellStyle name="差_2009年一般性转移支付标准工资_地方配套按人均增幅控制8.30xl 4" xfId="1967"/>
    <cellStyle name="差_2009年一般性转移支付标准工资_地方配套按人均增幅控制8.30xl 5" xfId="1969"/>
    <cellStyle name="差_2009年一般性转移支付标准工资_地方配套按人均增幅控制8.30xl 6" xfId="1971"/>
    <cellStyle name="差_2009年一般性转移支付标准工资_地方配套按人均增幅控制8.30xl 7" xfId="1272"/>
    <cellStyle name="差_2009年一般性转移支付标准工资_地方配套按人均增幅控制8.30xl 8" xfId="1708"/>
    <cellStyle name="差_2009年一般性转移支付标准工资_地方配套按人均增幅控制8.30xl 9" xfId="1973"/>
    <cellStyle name="差_2009年一般性转移支付标准工资_地方配套按人均增幅控制8.30一般预算平均增幅、人均可用财力平均增幅两次控制、社会治安系数调整、案件数调整xl" xfId="1265"/>
    <cellStyle name="差_2009年一般性转移支付标准工资_地方配套按人均增幅控制8.30一般预算平均增幅、人均可用财力平均增幅两次控制、社会治安系数调整、案件数调整xl 2" xfId="1974"/>
    <cellStyle name="差_2009年一般性转移支付标准工资_地方配套按人均增幅控制8.30一般预算平均增幅、人均可用财力平均增幅两次控制、社会治安系数调整、案件数调整xl 3" xfId="1975"/>
    <cellStyle name="差_2009年一般性转移支付标准工资_地方配套按人均增幅控制8.30一般预算平均增幅、人均可用财力平均增幅两次控制、社会治安系数调整、案件数调整xl 4" xfId="1976"/>
    <cellStyle name="差_2009年一般性转移支付标准工资_地方配套按人均增幅控制8.30一般预算平均增幅、人均可用财力平均增幅两次控制、社会治安系数调整、案件数调整xl 5" xfId="1977"/>
    <cellStyle name="差_2009年一般性转移支付标准工资_地方配套按人均增幅控制8.30一般预算平均增幅、人均可用财力平均增幅两次控制、社会治安系数调整、案件数调整xl 6" xfId="1978"/>
    <cellStyle name="差_2009年一般性转移支付标准工资_地方配套按人均增幅控制8.30一般预算平均增幅、人均可用财力平均增幅两次控制、社会治安系数调整、案件数调整xl 7" xfId="1979"/>
    <cellStyle name="差_2009年一般性转移支付标准工资_地方配套按人均增幅控制8.30一般预算平均增幅、人均可用财力平均增幅两次控制、社会治安系数调整、案件数调整xl 8" xfId="1980"/>
    <cellStyle name="差_2009年一般性转移支付标准工资_地方配套按人均增幅控制8.30一般预算平均增幅、人均可用财力平均增幅两次控制、社会治安系数调整、案件数调整xl 9" xfId="1981"/>
    <cellStyle name="差_2009年一般性转移支付标准工资_地方配套按人均增幅控制8.31（调整结案率后）xl" xfId="1032"/>
    <cellStyle name="差_2009年一般性转移支付标准工资_地方配套按人均增幅控制8.31（调整结案率后）xl 2" xfId="1983"/>
    <cellStyle name="差_2009年一般性转移支付标准工资_地方配套按人均增幅控制8.31（调整结案率后）xl 3" xfId="1985"/>
    <cellStyle name="差_2009年一般性转移支付标准工资_地方配套按人均增幅控制8.31（调整结案率后）xl 4" xfId="1987"/>
    <cellStyle name="差_2009年一般性转移支付标准工资_地方配套按人均增幅控制8.31（调整结案率后）xl 5" xfId="1989"/>
    <cellStyle name="差_2009年一般性转移支付标准工资_地方配套按人均增幅控制8.31（调整结案率后）xl 6" xfId="1991"/>
    <cellStyle name="差_2009年一般性转移支付标准工资_地方配套按人均增幅控制8.31（调整结案率后）xl 7" xfId="20"/>
    <cellStyle name="差_2009年一般性转移支付标准工资_地方配套按人均增幅控制8.31（调整结案率后）xl 8" xfId="1993"/>
    <cellStyle name="差_2009年一般性转移支付标准工资_地方配套按人均增幅控制8.31（调整结案率后）xl 9" xfId="1994"/>
    <cellStyle name="差_2009年一般性转移支付标准工资_奖励补助测算5.22测试" xfId="1995"/>
    <cellStyle name="差_2009年一般性转移支付标准工资_奖励补助测算5.22测试 2" xfId="1072"/>
    <cellStyle name="差_2009年一般性转移支付标准工资_奖励补助测算5.22测试 3" xfId="1996"/>
    <cellStyle name="差_2009年一般性转移支付标准工资_奖励补助测算5.22测试 4" xfId="1997"/>
    <cellStyle name="差_2009年一般性转移支付标准工资_奖励补助测算5.22测试 5" xfId="896"/>
    <cellStyle name="差_2009年一般性转移支付标准工资_奖励补助测算5.22测试 6" xfId="1998"/>
    <cellStyle name="差_2009年一般性转移支付标准工资_奖励补助测算5.22测试 7" xfId="1999"/>
    <cellStyle name="差_2009年一般性转移支付标准工资_奖励补助测算5.22测试 8" xfId="2000"/>
    <cellStyle name="差_2009年一般性转移支付标准工资_奖励补助测算5.22测试 9" xfId="2002"/>
    <cellStyle name="差_2009年一般性转移支付标准工资_奖励补助测算5.23新" xfId="2006"/>
    <cellStyle name="差_2009年一般性转移支付标准工资_奖励补助测算5.23新 2" xfId="2008"/>
    <cellStyle name="差_2009年一般性转移支付标准工资_奖励补助测算5.23新 3" xfId="4"/>
    <cellStyle name="差_2009年一般性转移支付标准工资_奖励补助测算5.23新 4" xfId="2010"/>
    <cellStyle name="差_2009年一般性转移支付标准工资_奖励补助测算5.23新 5" xfId="2012"/>
    <cellStyle name="差_2009年一般性转移支付标准工资_奖励补助测算5.23新 6" xfId="2014"/>
    <cellStyle name="差_2009年一般性转移支付标准工资_奖励补助测算5.23新 7" xfId="2016"/>
    <cellStyle name="差_2009年一般性转移支付标准工资_奖励补助测算5.23新 8" xfId="2018"/>
    <cellStyle name="差_2009年一般性转移支付标准工资_奖励补助测算5.23新 9" xfId="2019"/>
    <cellStyle name="差_2009年一般性转移支付标准工资_奖励补助测算5.24冯铸" xfId="2020"/>
    <cellStyle name="差_2009年一般性转移支付标准工资_奖励补助测算5.24冯铸 2" xfId="1196"/>
    <cellStyle name="差_2009年一般性转移支付标准工资_奖励补助测算5.24冯铸 3" xfId="1198"/>
    <cellStyle name="差_2009年一般性转移支付标准工资_奖励补助测算5.24冯铸 4" xfId="1200"/>
    <cellStyle name="差_2009年一般性转移支付标准工资_奖励补助测算5.24冯铸 5" xfId="1419"/>
    <cellStyle name="差_2009年一般性转移支付标准工资_奖励补助测算5.24冯铸 6" xfId="2021"/>
    <cellStyle name="差_2009年一般性转移支付标准工资_奖励补助测算5.24冯铸 7" xfId="2022"/>
    <cellStyle name="差_2009年一般性转移支付标准工资_奖励补助测算5.24冯铸 8" xfId="2023"/>
    <cellStyle name="差_2009年一般性转移支付标准工资_奖励补助测算5.24冯铸 9" xfId="2024"/>
    <cellStyle name="差_2009年一般性转移支付标准工资_奖励补助测算7.23" xfId="2025"/>
    <cellStyle name="差_2009年一般性转移支付标准工资_奖励补助测算7.23 2" xfId="2026"/>
    <cellStyle name="差_2009年一般性转移支付标准工资_奖励补助测算7.23 3" xfId="2027"/>
    <cellStyle name="差_2009年一般性转移支付标准工资_奖励补助测算7.23 4" xfId="2029"/>
    <cellStyle name="差_2009年一般性转移支付标准工资_奖励补助测算7.23 5" xfId="2030"/>
    <cellStyle name="差_2009年一般性转移支付标准工资_奖励补助测算7.23 6" xfId="2032"/>
    <cellStyle name="差_2009年一般性转移支付标准工资_奖励补助测算7.23 7" xfId="2033"/>
    <cellStyle name="差_2009年一般性转移支付标准工资_奖励补助测算7.23 8" xfId="2035"/>
    <cellStyle name="差_2009年一般性转移支付标准工资_奖励补助测算7.23 9" xfId="2036"/>
    <cellStyle name="差_2009年一般性转移支付标准工资_奖励补助测算7.25" xfId="2038"/>
    <cellStyle name="差_2009年一般性转移支付标准工资_奖励补助测算7.25 (version 1) (version 1)" xfId="2039"/>
    <cellStyle name="差_2009年一般性转移支付标准工资_奖励补助测算7.25 (version 1) (version 1) 2" xfId="102"/>
    <cellStyle name="差_2009年一般性转移支付标准工资_奖励补助测算7.25 (version 1) (version 1) 3" xfId="2040"/>
    <cellStyle name="差_2009年一般性转移支付标准工资_奖励补助测算7.25 (version 1) (version 1) 4" xfId="2041"/>
    <cellStyle name="差_2009年一般性转移支付标准工资_奖励补助测算7.25 (version 1) (version 1) 5" xfId="2042"/>
    <cellStyle name="差_2009年一般性转移支付标准工资_奖励补助测算7.25 (version 1) (version 1) 6" xfId="2043"/>
    <cellStyle name="差_2009年一般性转移支付标准工资_奖励补助测算7.25 (version 1) (version 1) 7" xfId="2044"/>
    <cellStyle name="差_2009年一般性转移支付标准工资_奖励补助测算7.25 (version 1) (version 1) 8" xfId="2045"/>
    <cellStyle name="差_2009年一般性转移支付标准工资_奖励补助测算7.25 (version 1) (version 1) 9" xfId="2046"/>
    <cellStyle name="差_2009年一般性转移支付标准工资_奖励补助测算7.25 2" xfId="2047"/>
    <cellStyle name="差_2009年一般性转移支付标准工资_奖励补助测算7.25 3" xfId="2048"/>
    <cellStyle name="差_2009年一般性转移支付标准工资_奖励补助测算7.25 4" xfId="69"/>
    <cellStyle name="差_2009年一般性转移支付标准工资_奖励补助测算7.25 5" xfId="2049"/>
    <cellStyle name="差_2009年一般性转移支付标准工资_奖励补助测算7.25 6" xfId="2051"/>
    <cellStyle name="差_2009年一般性转移支付标准工资_奖励补助测算7.25 7" xfId="2052"/>
    <cellStyle name="差_2009年一般性转移支付标准工资_奖励补助测算7.25 8" xfId="2053"/>
    <cellStyle name="差_2009年一般性转移支付标准工资_奖励补助测算7.25 9" xfId="2054"/>
    <cellStyle name="差_530623_2006年县级财政报表附表" xfId="2056"/>
    <cellStyle name="差_530623_2006年县级财政报表附表 2" xfId="454"/>
    <cellStyle name="差_530623_2006年县级财政报表附表 3" xfId="460"/>
    <cellStyle name="差_530623_2006年县级财政报表附表 4" xfId="64"/>
    <cellStyle name="差_530623_2006年县级财政报表附表 5" xfId="466"/>
    <cellStyle name="差_530623_2006年县级财政报表附表 6" xfId="473"/>
    <cellStyle name="差_530623_2006年县级财政报表附表 7" xfId="2060"/>
    <cellStyle name="差_530623_2006年县级财政报表附表 8" xfId="2063"/>
    <cellStyle name="差_530623_2006年县级财政报表附表 9" xfId="1583"/>
    <cellStyle name="差_530629_2006年县级财政报表附表" xfId="2064"/>
    <cellStyle name="差_530629_2006年县级财政报表附表 2" xfId="2065"/>
    <cellStyle name="差_530629_2006年县级财政报表附表 3" xfId="2066"/>
    <cellStyle name="差_530629_2006年县级财政报表附表 4" xfId="2067"/>
    <cellStyle name="差_530629_2006年县级财政报表附表 5" xfId="2068"/>
    <cellStyle name="差_530629_2006年县级财政报表附表 6" xfId="2069"/>
    <cellStyle name="差_530629_2006年县级财政报表附表 7" xfId="2070"/>
    <cellStyle name="差_530629_2006年县级财政报表附表 8" xfId="1762"/>
    <cellStyle name="差_530629_2006年县级财政报表附表 9" xfId="2071"/>
    <cellStyle name="差_5334_2006年迪庆县级财政报表附表" xfId="2072"/>
    <cellStyle name="差_5334_2006年迪庆县级财政报表附表 2" xfId="2073"/>
    <cellStyle name="差_5334_2006年迪庆县级财政报表附表 3" xfId="2074"/>
    <cellStyle name="差_5334_2006年迪庆县级财政报表附表 4" xfId="2075"/>
    <cellStyle name="差_5334_2006年迪庆县级财政报表附表 5" xfId="2076"/>
    <cellStyle name="差_5334_2006年迪庆县级财政报表附表 6" xfId="2077"/>
    <cellStyle name="差_5334_2006年迪庆县级财政报表附表 7" xfId="2078"/>
    <cellStyle name="差_5334_2006年迪庆县级财政报表附表 8" xfId="2080"/>
    <cellStyle name="差_5334_2006年迪庆县级财政报表附表 9" xfId="2081"/>
    <cellStyle name="差_Book1" xfId="2083"/>
    <cellStyle name="差_Book1 2" xfId="1113"/>
    <cellStyle name="差_Book1 3" xfId="1116"/>
    <cellStyle name="差_Book1 4" xfId="1119"/>
    <cellStyle name="差_Book1 5" xfId="1122"/>
    <cellStyle name="差_Book1 6" xfId="1125"/>
    <cellStyle name="差_Book1 7" xfId="2085"/>
    <cellStyle name="差_Book1 8" xfId="2087"/>
    <cellStyle name="差_Book1 9" xfId="901"/>
    <cellStyle name="差_Book1_1" xfId="1448"/>
    <cellStyle name="差_Book1_1 2" xfId="2089"/>
    <cellStyle name="差_Book1_1 3" xfId="848"/>
    <cellStyle name="差_Book1_1 4" xfId="2090"/>
    <cellStyle name="差_Book1_1 5" xfId="2091"/>
    <cellStyle name="差_Book1_1 6" xfId="1404"/>
    <cellStyle name="差_Book1_1 7" xfId="2092"/>
    <cellStyle name="差_Book1_1 8" xfId="242"/>
    <cellStyle name="差_Book1_1 9" xfId="32"/>
    <cellStyle name="差_Book2" xfId="68"/>
    <cellStyle name="差_Book2 2" xfId="1155"/>
    <cellStyle name="差_Book2 3" xfId="1158"/>
    <cellStyle name="差_Book2 4" xfId="1161"/>
    <cellStyle name="差_Book2 5" xfId="1164"/>
    <cellStyle name="差_Book2 6" xfId="1167"/>
    <cellStyle name="差_Book2 7" xfId="2094"/>
    <cellStyle name="差_Book2 8" xfId="2096"/>
    <cellStyle name="差_Book2 9" xfId="2098"/>
    <cellStyle name="差_M01-2(州市补助收入)" xfId="991"/>
    <cellStyle name="差_M01-2(州市补助收入) 2" xfId="1832"/>
    <cellStyle name="差_M01-2(州市补助收入) 3" xfId="2099"/>
    <cellStyle name="差_M01-2(州市补助收入) 4" xfId="2100"/>
    <cellStyle name="差_M01-2(州市补助收入) 5" xfId="1021"/>
    <cellStyle name="差_M01-2(州市补助收入) 6" xfId="1023"/>
    <cellStyle name="差_M01-2(州市补助收入) 7" xfId="1025"/>
    <cellStyle name="差_M01-2(州市补助收入) 8" xfId="1027"/>
    <cellStyle name="差_M01-2(州市补助收入) 9" xfId="1029"/>
    <cellStyle name="差_M03" xfId="212"/>
    <cellStyle name="差_M03 2" xfId="393"/>
    <cellStyle name="差_M03 3" xfId="2102"/>
    <cellStyle name="差_M03 4" xfId="2104"/>
    <cellStyle name="差_M03 5" xfId="1843"/>
    <cellStyle name="差_M03 6" xfId="1845"/>
    <cellStyle name="差_M03 7" xfId="1847"/>
    <cellStyle name="差_M03 8" xfId="1849"/>
    <cellStyle name="差_M03 9" xfId="781"/>
    <cellStyle name="差_不用软件计算9.1不考虑经费管理评价xl" xfId="2105"/>
    <cellStyle name="差_不用软件计算9.1不考虑经费管理评价xl 2" xfId="1816"/>
    <cellStyle name="差_不用软件计算9.1不考虑经费管理评价xl 3" xfId="1818"/>
    <cellStyle name="差_不用软件计算9.1不考虑经费管理评价xl 4" xfId="1820"/>
    <cellStyle name="差_不用软件计算9.1不考虑经费管理评价xl 5" xfId="1218"/>
    <cellStyle name="差_不用软件计算9.1不考虑经费管理评价xl 6" xfId="2106"/>
    <cellStyle name="差_不用软件计算9.1不考虑经费管理评价xl 7" xfId="2107"/>
    <cellStyle name="差_不用软件计算9.1不考虑经费管理评价xl 8" xfId="2108"/>
    <cellStyle name="差_不用软件计算9.1不考虑经费管理评价xl 9" xfId="2109"/>
    <cellStyle name="差_财政供养人员" xfId="2110"/>
    <cellStyle name="差_财政供养人员 2" xfId="2112"/>
    <cellStyle name="差_财政供养人员 3" xfId="2114"/>
    <cellStyle name="差_财政供养人员 4" xfId="2116"/>
    <cellStyle name="差_财政供养人员 5" xfId="2118"/>
    <cellStyle name="差_财政供养人员 6" xfId="2120"/>
    <cellStyle name="差_财政供养人员 7" xfId="2122"/>
    <cellStyle name="差_财政供养人员 8" xfId="2124"/>
    <cellStyle name="差_财政供养人员 9" xfId="2126"/>
    <cellStyle name="差_财政支出对上级的依赖程度" xfId="2129"/>
    <cellStyle name="差_城建部门" xfId="2130"/>
    <cellStyle name="差_地方配套按人均增幅控制8.30xl" xfId="477"/>
    <cellStyle name="差_地方配套按人均增幅控制8.30xl 2" xfId="27"/>
    <cellStyle name="差_地方配套按人均增幅控制8.30xl 3" xfId="2131"/>
    <cellStyle name="差_地方配套按人均增幅控制8.30xl 4" xfId="2132"/>
    <cellStyle name="差_地方配套按人均增幅控制8.30xl 5" xfId="1686"/>
    <cellStyle name="差_地方配套按人均增幅控制8.30xl 6" xfId="2133"/>
    <cellStyle name="差_地方配套按人均增幅控制8.30xl 7" xfId="2134"/>
    <cellStyle name="差_地方配套按人均增幅控制8.30xl 8" xfId="2135"/>
    <cellStyle name="差_地方配套按人均增幅控制8.30xl 9" xfId="2136"/>
    <cellStyle name="差_地方配套按人均增幅控制8.30一般预算平均增幅、人均可用财力平均增幅两次控制、社会治安系数调整、案件数调整xl" xfId="2088"/>
    <cellStyle name="差_地方配套按人均增幅控制8.30一般预算平均增幅、人均可用财力平均增幅两次控制、社会治安系数调整、案件数调整xl 2" xfId="2137"/>
    <cellStyle name="差_地方配套按人均增幅控制8.30一般预算平均增幅、人均可用财力平均增幅两次控制、社会治安系数调整、案件数调整xl 3" xfId="2138"/>
    <cellStyle name="差_地方配套按人均增幅控制8.30一般预算平均增幅、人均可用财力平均增幅两次控制、社会治安系数调整、案件数调整xl 4" xfId="2139"/>
    <cellStyle name="差_地方配套按人均增幅控制8.30一般预算平均增幅、人均可用财力平均增幅两次控制、社会治安系数调整、案件数调整xl 5" xfId="2141"/>
    <cellStyle name="差_地方配套按人均增幅控制8.30一般预算平均增幅、人均可用财力平均增幅两次控制、社会治安系数调整、案件数调整xl 6" xfId="2143"/>
    <cellStyle name="差_地方配套按人均增幅控制8.30一般预算平均增幅、人均可用财力平均增幅两次控制、社会治安系数调整、案件数调整xl 7" xfId="2145"/>
    <cellStyle name="差_地方配套按人均增幅控制8.30一般预算平均增幅、人均可用财力平均增幅两次控制、社会治安系数调整、案件数调整xl 8" xfId="2147"/>
    <cellStyle name="差_地方配套按人均增幅控制8.30一般预算平均增幅、人均可用财力平均增幅两次控制、社会治安系数调整、案件数调整xl 9" xfId="2149"/>
    <cellStyle name="差_地方配套按人均增幅控制8.31（调整结案率后）xl" xfId="2151"/>
    <cellStyle name="差_地方配套按人均增幅控制8.31（调整结案率后）xl 2" xfId="2152"/>
    <cellStyle name="差_地方配套按人均增幅控制8.31（调整结案率后）xl 3" xfId="2153"/>
    <cellStyle name="差_地方配套按人均增幅控制8.31（调整结案率后）xl 4" xfId="1096"/>
    <cellStyle name="差_地方配套按人均增幅控制8.31（调整结案率后）xl 5" xfId="1249"/>
    <cellStyle name="差_地方配套按人均增幅控制8.31（调整结案率后）xl 6" xfId="2154"/>
    <cellStyle name="差_地方配套按人均增幅控制8.31（调整结案率后）xl 7" xfId="2155"/>
    <cellStyle name="差_地方配套按人均增幅控制8.31（调整结案率后）xl 8" xfId="2156"/>
    <cellStyle name="差_地方配套按人均增幅控制8.31（调整结案率后）xl 9" xfId="2157"/>
    <cellStyle name="差_第五部分(才淼、饶永宏）" xfId="2158"/>
    <cellStyle name="差_第五部分(才淼、饶永宏） 2" xfId="1053"/>
    <cellStyle name="差_第五部分(才淼、饶永宏） 3" xfId="1056"/>
    <cellStyle name="差_第五部分(才淼、饶永宏） 4" xfId="2159"/>
    <cellStyle name="差_第五部分(才淼、饶永宏） 5" xfId="2160"/>
    <cellStyle name="差_第五部分(才淼、饶永宏） 6" xfId="2161"/>
    <cellStyle name="差_第五部分(才淼、饶永宏） 7" xfId="2162"/>
    <cellStyle name="差_第五部分(才淼、饶永宏） 8" xfId="2163"/>
    <cellStyle name="差_第五部分(才淼、饶永宏） 9" xfId="1260"/>
    <cellStyle name="差_第一部分：综合全" xfId="1674"/>
    <cellStyle name="差_高中教师人数（教育厅1.6日提供）" xfId="710"/>
    <cellStyle name="差_高中教师人数（教育厅1.6日提供） 2" xfId="311"/>
    <cellStyle name="差_高中教师人数（教育厅1.6日提供） 3" xfId="315"/>
    <cellStyle name="差_高中教师人数（教育厅1.6日提供） 4" xfId="318"/>
    <cellStyle name="差_高中教师人数（教育厅1.6日提供） 5" xfId="321"/>
    <cellStyle name="差_高中教师人数（教育厅1.6日提供） 6" xfId="324"/>
    <cellStyle name="差_高中教师人数（教育厅1.6日提供） 7" xfId="2165"/>
    <cellStyle name="差_高中教师人数（教育厅1.6日提供） 8" xfId="2166"/>
    <cellStyle name="差_高中教师人数（教育厅1.6日提供） 9" xfId="2167"/>
    <cellStyle name="差_汇总" xfId="2168"/>
    <cellStyle name="差_汇总 2" xfId="2169"/>
    <cellStyle name="差_汇总 3" xfId="2170"/>
    <cellStyle name="差_汇总 4" xfId="437"/>
    <cellStyle name="差_汇总 5" xfId="2171"/>
    <cellStyle name="差_汇总 6" xfId="2172"/>
    <cellStyle name="差_汇总 7" xfId="2173"/>
    <cellStyle name="差_汇总 8" xfId="1734"/>
    <cellStyle name="差_汇总 9" xfId="1736"/>
    <cellStyle name="差_汇总-县级财政报表附表" xfId="519"/>
    <cellStyle name="差_汇总-县级财政报表附表 2" xfId="2174"/>
    <cellStyle name="差_汇总-县级财政报表附表 3" xfId="2175"/>
    <cellStyle name="差_汇总-县级财政报表附表 4" xfId="2177"/>
    <cellStyle name="差_汇总-县级财政报表附表 5" xfId="2178"/>
    <cellStyle name="差_汇总-县级财政报表附表 6" xfId="2179"/>
    <cellStyle name="差_汇总-县级财政报表附表 7" xfId="2180"/>
    <cellStyle name="差_汇总-县级财政报表附表 8" xfId="2181"/>
    <cellStyle name="差_汇总-县级财政报表附表 9" xfId="2182"/>
    <cellStyle name="差_基础数据分析" xfId="2028"/>
    <cellStyle name="差_基础数据分析 2" xfId="2184"/>
    <cellStyle name="差_基础数据分析 3" xfId="2186"/>
    <cellStyle name="差_基础数据分析 4" xfId="2188"/>
    <cellStyle name="差_基础数据分析 5" xfId="2190"/>
    <cellStyle name="差_基础数据分析 6" xfId="2191"/>
    <cellStyle name="差_基础数据分析 7" xfId="2192"/>
    <cellStyle name="差_基础数据分析 8" xfId="2193"/>
    <cellStyle name="差_基础数据分析 9" xfId="2194"/>
    <cellStyle name="差_检验表" xfId="2195"/>
    <cellStyle name="差_检验表（调整后）" xfId="2125"/>
    <cellStyle name="差_奖励补助测算5.22测试" xfId="1288"/>
    <cellStyle name="差_奖励补助测算5.22测试 2" xfId="2196"/>
    <cellStyle name="差_奖励补助测算5.22测试 3" xfId="2197"/>
    <cellStyle name="差_奖励补助测算5.22测试 4" xfId="1902"/>
    <cellStyle name="差_奖励补助测算5.22测试 5" xfId="2198"/>
    <cellStyle name="差_奖励补助测算5.22测试 6" xfId="2199"/>
    <cellStyle name="差_奖励补助测算5.22测试 7" xfId="2200"/>
    <cellStyle name="差_奖励补助测算5.22测试 8" xfId="2201"/>
    <cellStyle name="差_奖励补助测算5.22测试 9" xfId="2202"/>
    <cellStyle name="差_奖励补助测算5.23新" xfId="878"/>
    <cellStyle name="差_奖励补助测算5.23新 2" xfId="707"/>
    <cellStyle name="差_奖励补助测算5.23新 3" xfId="709"/>
    <cellStyle name="差_奖励补助测算5.23新 4" xfId="712"/>
    <cellStyle name="差_奖励补助测算5.23新 5" xfId="714"/>
    <cellStyle name="差_奖励补助测算5.23新 6" xfId="617"/>
    <cellStyle name="差_奖励补助测算5.23新 7" xfId="716"/>
    <cellStyle name="差_奖励补助测算5.23新 8" xfId="719"/>
    <cellStyle name="差_奖励补助测算5.23新 9" xfId="2204"/>
    <cellStyle name="差_奖励补助测算5.24冯铸" xfId="2206"/>
    <cellStyle name="差_奖励补助测算5.24冯铸 2" xfId="1225"/>
    <cellStyle name="差_奖励补助测算5.24冯铸 3" xfId="1229"/>
    <cellStyle name="差_奖励补助测算5.24冯铸 4" xfId="1233"/>
    <cellStyle name="差_奖励补助测算5.24冯铸 5" xfId="1237"/>
    <cellStyle name="差_奖励补助测算5.24冯铸 6" xfId="1241"/>
    <cellStyle name="差_奖励补助测算5.24冯铸 7" xfId="1243"/>
    <cellStyle name="差_奖励补助测算5.24冯铸 8" xfId="1245"/>
    <cellStyle name="差_奖励补助测算5.24冯铸 9" xfId="1009"/>
    <cellStyle name="差_奖励补助测算7.23" xfId="2208"/>
    <cellStyle name="差_奖励补助测算7.23 2" xfId="8"/>
    <cellStyle name="差_奖励补助测算7.23 3" xfId="374"/>
    <cellStyle name="差_奖励补助测算7.23 4" xfId="721"/>
    <cellStyle name="差_奖励补助测算7.23 5" xfId="621"/>
    <cellStyle name="差_奖励补助测算7.23 6" xfId="723"/>
    <cellStyle name="差_奖励补助测算7.23 7" xfId="725"/>
    <cellStyle name="差_奖励补助测算7.23 8" xfId="2209"/>
    <cellStyle name="差_奖励补助测算7.23 9" xfId="2210"/>
    <cellStyle name="差_奖励补助测算7.25" xfId="2212"/>
    <cellStyle name="差_奖励补助测算7.25 (version 1) (version 1)" xfId="2213"/>
    <cellStyle name="差_奖励补助测算7.25 (version 1) (version 1) 2" xfId="1258"/>
    <cellStyle name="差_奖励补助测算7.25 (version 1) (version 1) 3" xfId="2214"/>
    <cellStyle name="差_奖励补助测算7.25 (version 1) (version 1) 4" xfId="2215"/>
    <cellStyle name="差_奖励补助测算7.25 (version 1) (version 1) 5" xfId="2216"/>
    <cellStyle name="差_奖励补助测算7.25 (version 1) (version 1) 6" xfId="2217"/>
    <cellStyle name="差_奖励补助测算7.25 (version 1) (version 1) 7" xfId="2218"/>
    <cellStyle name="差_奖励补助测算7.25 (version 1) (version 1) 8" xfId="2219"/>
    <cellStyle name="差_奖励补助测算7.25 (version 1) (version 1) 9" xfId="2220"/>
    <cellStyle name="差_奖励补助测算7.25 2" xfId="523"/>
    <cellStyle name="差_奖励补助测算7.25 3" xfId="527"/>
    <cellStyle name="差_奖励补助测算7.25 4" xfId="737"/>
    <cellStyle name="差_奖励补助测算7.25 5" xfId="739"/>
    <cellStyle name="差_奖励补助测算7.25 6" xfId="741"/>
    <cellStyle name="差_奖励补助测算7.25 7" xfId="743"/>
    <cellStyle name="差_奖励补助测算7.25 8" xfId="2221"/>
    <cellStyle name="差_奖励补助测算7.25 9" xfId="2222"/>
    <cellStyle name="差_教师绩效工资测算表（离退休按各地上报数测算）2009年1月1日" xfId="1901"/>
    <cellStyle name="差_教育厅提供义务教育及高中教师人数（2009年1月6日）" xfId="2224"/>
    <cellStyle name="差_教育厅提供义务教育及高中教师人数（2009年1月6日） 2" xfId="2225"/>
    <cellStyle name="差_教育厅提供义务教育及高中教师人数（2009年1月6日） 3" xfId="2226"/>
    <cellStyle name="差_教育厅提供义务教育及高中教师人数（2009年1月6日） 4" xfId="2227"/>
    <cellStyle name="差_教育厅提供义务教育及高中教师人数（2009年1月6日） 5" xfId="2228"/>
    <cellStyle name="差_教育厅提供义务教育及高中教师人数（2009年1月6日） 6" xfId="2229"/>
    <cellStyle name="差_教育厅提供义务教育及高中教师人数（2009年1月6日） 7" xfId="2230"/>
    <cellStyle name="差_教育厅提供义务教育及高中教师人数（2009年1月6日） 8" xfId="2231"/>
    <cellStyle name="差_教育厅提供义务教育及高中教师人数（2009年1月6日） 9" xfId="2232"/>
    <cellStyle name="差_历年教师人数" xfId="2234"/>
    <cellStyle name="差_丽江汇总" xfId="2235"/>
    <cellStyle name="差_三季度－表二" xfId="2237"/>
    <cellStyle name="差_三季度－表二 2" xfId="2239"/>
    <cellStyle name="差_三季度－表二 3" xfId="2241"/>
    <cellStyle name="差_三季度－表二 4" xfId="2243"/>
    <cellStyle name="差_三季度－表二 5" xfId="2244"/>
    <cellStyle name="差_三季度－表二 6" xfId="2245"/>
    <cellStyle name="差_三季度－表二 7" xfId="2246"/>
    <cellStyle name="差_三季度－表二 8" xfId="2247"/>
    <cellStyle name="差_三季度－表二 9" xfId="2249"/>
    <cellStyle name="差_卫生部门" xfId="2251"/>
    <cellStyle name="差_卫生部门 2" xfId="2253"/>
    <cellStyle name="差_卫生部门 3" xfId="2255"/>
    <cellStyle name="差_卫生部门 4" xfId="2258"/>
    <cellStyle name="差_卫生部门 5" xfId="965"/>
    <cellStyle name="差_卫生部门 6" xfId="968"/>
    <cellStyle name="差_卫生部门 7" xfId="970"/>
    <cellStyle name="差_卫生部门 8" xfId="972"/>
    <cellStyle name="差_卫生部门 9" xfId="975"/>
    <cellStyle name="差_文体广播部门" xfId="2259"/>
    <cellStyle name="差_下半年禁毒办案经费分配2544.3万元" xfId="615"/>
    <cellStyle name="差_下半年禁吸戒毒经费1000万元" xfId="604"/>
    <cellStyle name="差_下半年禁吸戒毒经费1000万元 2" xfId="1498"/>
    <cellStyle name="差_下半年禁吸戒毒经费1000万元 3" xfId="1501"/>
    <cellStyle name="差_下半年禁吸戒毒经费1000万元 4" xfId="1504"/>
    <cellStyle name="差_下半年禁吸戒毒经费1000万元 5" xfId="1507"/>
    <cellStyle name="差_下半年禁吸戒毒经费1000万元 6" xfId="1510"/>
    <cellStyle name="差_下半年禁吸戒毒经费1000万元 7" xfId="1731"/>
    <cellStyle name="差_下半年禁吸戒毒经费1000万元 8" xfId="1743"/>
    <cellStyle name="差_下半年禁吸戒毒经费1000万元 9" xfId="1748"/>
    <cellStyle name="差_县级公安机关公用经费标准奖励测算方案（定稿）" xfId="2261"/>
    <cellStyle name="差_县级公安机关公用经费标准奖励测算方案（定稿） 2" xfId="2262"/>
    <cellStyle name="差_县级公安机关公用经费标准奖励测算方案（定稿） 3" xfId="2263"/>
    <cellStyle name="差_县级公安机关公用经费标准奖励测算方案（定稿） 4" xfId="2264"/>
    <cellStyle name="差_县级公安机关公用经费标准奖励测算方案（定稿） 5" xfId="2265"/>
    <cellStyle name="差_县级公安机关公用经费标准奖励测算方案（定稿） 6" xfId="2266"/>
    <cellStyle name="差_县级公安机关公用经费标准奖励测算方案（定稿） 7" xfId="1656"/>
    <cellStyle name="差_县级公安机关公用经费标准奖励测算方案（定稿） 8" xfId="2267"/>
    <cellStyle name="差_县级公安机关公用经费标准奖励测算方案（定稿） 9" xfId="2269"/>
    <cellStyle name="差_县级基础数据" xfId="2270"/>
    <cellStyle name="差_业务工作量指标" xfId="301"/>
    <cellStyle name="差_业务工作量指标 2" xfId="449"/>
    <cellStyle name="差_业务工作量指标 3" xfId="453"/>
    <cellStyle name="差_业务工作量指标 4" xfId="459"/>
    <cellStyle name="差_业务工作量指标 5" xfId="63"/>
    <cellStyle name="差_业务工作量指标 6" xfId="465"/>
    <cellStyle name="差_业务工作量指标 7" xfId="472"/>
    <cellStyle name="差_业务工作量指标 8" xfId="2059"/>
    <cellStyle name="差_业务工作量指标 9" xfId="2062"/>
    <cellStyle name="差_义务教育阶段教职工人数（教育厅提供最终）" xfId="1131"/>
    <cellStyle name="差_义务教育阶段教职工人数（教育厅提供最终） 2" xfId="2272"/>
    <cellStyle name="差_义务教育阶段教职工人数（教育厅提供最终） 3" xfId="2275"/>
    <cellStyle name="差_义务教育阶段教职工人数（教育厅提供最终） 4" xfId="1221"/>
    <cellStyle name="差_义务教育阶段教职工人数（教育厅提供最终） 5" xfId="1224"/>
    <cellStyle name="差_义务教育阶段教职工人数（教育厅提供最终） 6" xfId="1228"/>
    <cellStyle name="差_义务教育阶段教职工人数（教育厅提供最终） 7" xfId="1232"/>
    <cellStyle name="差_义务教育阶段教职工人数（教育厅提供最终） 8" xfId="1236"/>
    <cellStyle name="差_义务教育阶段教职工人数（教育厅提供最终） 9" xfId="1240"/>
    <cellStyle name="差_云南农村义务教育统计表" xfId="2277"/>
    <cellStyle name="差_云南农村义务教育统计表 2" xfId="2278"/>
    <cellStyle name="差_云南农村义务教育统计表 3" xfId="2279"/>
    <cellStyle name="差_云南农村义务教育统计表 4" xfId="2280"/>
    <cellStyle name="差_云南农村义务教育统计表 5" xfId="2281"/>
    <cellStyle name="差_云南农村义务教育统计表 6" xfId="1904"/>
    <cellStyle name="差_云南农村义务教育统计表 7" xfId="1906"/>
    <cellStyle name="差_云南农村义务教育统计表 8" xfId="1908"/>
    <cellStyle name="差_云南农村义务教育统计表 9" xfId="1910"/>
    <cellStyle name="差_云南省2008年中小学教师人数统计表" xfId="471"/>
    <cellStyle name="差_云南省2008年中小学教职工情况（教育厅提供20090101加工整理）" xfId="2283"/>
    <cellStyle name="差_云南省2008年中小学教职工情况（教育厅提供20090101加工整理） 2" xfId="770"/>
    <cellStyle name="差_云南省2008年中小学教职工情况（教育厅提供20090101加工整理） 3" xfId="572"/>
    <cellStyle name="差_云南省2008年中小学教职工情况（教育厅提供20090101加工整理） 4" xfId="576"/>
    <cellStyle name="差_云南省2008年中小学教职工情况（教育厅提供20090101加工整理） 5" xfId="579"/>
    <cellStyle name="差_云南省2008年中小学教职工情况（教育厅提供20090101加工整理） 6" xfId="10"/>
    <cellStyle name="差_云南省2008年中小学教职工情况（教育厅提供20090101加工整理） 7" xfId="582"/>
    <cellStyle name="差_云南省2008年中小学教职工情况（教育厅提供20090101加工整理） 8" xfId="585"/>
    <cellStyle name="差_云南省2008年中小学教职工情况（教育厅提供20090101加工整理） 9" xfId="1888"/>
    <cellStyle name="差_云南省2008年转移支付测算——州市本级考核部分及政策性测算" xfId="1825"/>
    <cellStyle name="差_云南省2008年转移支付测算——州市本级考核部分及政策性测算 2" xfId="2284"/>
    <cellStyle name="差_云南省2008年转移支付测算——州市本级考核部分及政策性测算 3" xfId="2285"/>
    <cellStyle name="差_云南省2008年转移支付测算——州市本级考核部分及政策性测算 4" xfId="2286"/>
    <cellStyle name="差_云南省2008年转移支付测算——州市本级考核部分及政策性测算 5" xfId="2287"/>
    <cellStyle name="差_云南省2008年转移支付测算——州市本级考核部分及政策性测算 6" xfId="2288"/>
    <cellStyle name="差_云南省2008年转移支付测算——州市本级考核部分及政策性测算 7" xfId="2289"/>
    <cellStyle name="差_云南省2008年转移支付测算——州市本级考核部分及政策性测算 8" xfId="2290"/>
    <cellStyle name="差_云南省2008年转移支付测算——州市本级考核部分及政策性测算 9" xfId="2291"/>
    <cellStyle name="差_指标四" xfId="2292"/>
    <cellStyle name="差_指标四 2" xfId="2293"/>
    <cellStyle name="差_指标四 3" xfId="2294"/>
    <cellStyle name="差_指标四 4" xfId="2295"/>
    <cellStyle name="差_指标四 5" xfId="2296"/>
    <cellStyle name="差_指标四 6" xfId="2297"/>
    <cellStyle name="差_指标四 7" xfId="2252"/>
    <cellStyle name="差_指标四 8" xfId="2254"/>
    <cellStyle name="差_指标四 9" xfId="2257"/>
    <cellStyle name="差_指标五" xfId="2300"/>
    <cellStyle name="常规" xfId="0" builtinId="0"/>
    <cellStyle name="常规 10" xfId="1300"/>
    <cellStyle name="常规 10 2" xfId="1303"/>
    <cellStyle name="常规 11" xfId="2301"/>
    <cellStyle name="常规 11 2" xfId="2274"/>
    <cellStyle name="常规 12" xfId="2303"/>
    <cellStyle name="常规 12 2" xfId="2031"/>
    <cellStyle name="常规 13" xfId="2304"/>
    <cellStyle name="常规 13 2" xfId="2305"/>
    <cellStyle name="常规 14" xfId="2306"/>
    <cellStyle name="常规 14 2" xfId="2050"/>
    <cellStyle name="常规 15" xfId="814"/>
    <cellStyle name="常规 15 2" xfId="1520"/>
    <cellStyle name="常规 16" xfId="817"/>
    <cellStyle name="常规 17" xfId="821"/>
    <cellStyle name="常规 17 2" xfId="1544"/>
    <cellStyle name="常规 17 3" xfId="1546"/>
    <cellStyle name="常规 17 4" xfId="1548"/>
    <cellStyle name="常规 18" xfId="825"/>
    <cellStyle name="常规 19" xfId="828"/>
    <cellStyle name="常规 19 2" xfId="2307"/>
    <cellStyle name="常规 2" xfId="1355"/>
    <cellStyle name="常规 2 10" xfId="2309"/>
    <cellStyle name="常规 2 11" xfId="2311"/>
    <cellStyle name="常规 2 12" xfId="2128"/>
    <cellStyle name="常规 2 13" xfId="2313"/>
    <cellStyle name="常规 2 14" xfId="2315"/>
    <cellStyle name="常规 2 15" xfId="2317"/>
    <cellStyle name="常规 2 16" xfId="2319"/>
    <cellStyle name="常规 2 2" xfId="2320"/>
    <cellStyle name="常规 2 2 10" xfId="2321"/>
    <cellStyle name="常规 2 2 2" xfId="2322"/>
    <cellStyle name="常规 2 2 2 2" xfId="1397"/>
    <cellStyle name="常规 2 2 2 3" xfId="1771"/>
    <cellStyle name="常规 2 2 2 4" xfId="76"/>
    <cellStyle name="常规 2 2 2 5" xfId="60"/>
    <cellStyle name="常规 2 2 2 6" xfId="89"/>
    <cellStyle name="常规 2 2 2 7" xfId="90"/>
    <cellStyle name="常规 2 2 2 8" xfId="92"/>
    <cellStyle name="常规 2 2 2 9" xfId="95"/>
    <cellStyle name="常规 2 2 3" xfId="2323"/>
    <cellStyle name="常规 2 2 4" xfId="2324"/>
    <cellStyle name="常规 2 2 5" xfId="2325"/>
    <cellStyle name="常规 2 2 6" xfId="1536"/>
    <cellStyle name="常规 2 2 7" xfId="1538"/>
    <cellStyle name="常规 2 2 8" xfId="1540"/>
    <cellStyle name="常规 2 2 9" xfId="1542"/>
    <cellStyle name="常规 2 2_Book1" xfId="1623"/>
    <cellStyle name="常规 2 3" xfId="2326"/>
    <cellStyle name="常规 2 3 2" xfId="2327"/>
    <cellStyle name="常规 2 3 3" xfId="2328"/>
    <cellStyle name="常规 2 3 4" xfId="1471"/>
    <cellStyle name="常规 2 3 5" xfId="2329"/>
    <cellStyle name="常规 2 3 6" xfId="1553"/>
    <cellStyle name="常规 2 3 7" xfId="2330"/>
    <cellStyle name="常规 2 3 8" xfId="2331"/>
    <cellStyle name="常规 2 3 9" xfId="2332"/>
    <cellStyle name="常规 2 4" xfId="2333"/>
    <cellStyle name="常规 2 4 2" xfId="2334"/>
    <cellStyle name="常规 2 4 3" xfId="2335"/>
    <cellStyle name="常规 2 4 4" xfId="2336"/>
    <cellStyle name="常规 2 4 5" xfId="2337"/>
    <cellStyle name="常规 2 4 6" xfId="1556"/>
    <cellStyle name="常规 2 4 7" xfId="2338"/>
    <cellStyle name="常规 2 4 8" xfId="2339"/>
    <cellStyle name="常规 2 4 9" xfId="2340"/>
    <cellStyle name="常规 2 5" xfId="2341"/>
    <cellStyle name="常规 2 5 2" xfId="2342"/>
    <cellStyle name="常规 2 5 3" xfId="2343"/>
    <cellStyle name="常规 2 5 4" xfId="2344"/>
    <cellStyle name="常规 2 5 5" xfId="2346"/>
    <cellStyle name="常规 2 5 6" xfId="1559"/>
    <cellStyle name="常规 2 5 7" xfId="2347"/>
    <cellStyle name="常规 2 5 8" xfId="2348"/>
    <cellStyle name="常规 2 5 9" xfId="2349"/>
    <cellStyle name="常规 2 6" xfId="2350"/>
    <cellStyle name="常规 2 6 2" xfId="1961"/>
    <cellStyle name="常规 2 6 3" xfId="2351"/>
    <cellStyle name="常规 2 6 4" xfId="2352"/>
    <cellStyle name="常规 2 6 5" xfId="2353"/>
    <cellStyle name="常规 2 6 6" xfId="1562"/>
    <cellStyle name="常规 2 6 7" xfId="2354"/>
    <cellStyle name="常规 2 6 8" xfId="83"/>
    <cellStyle name="常规 2 6 9" xfId="88"/>
    <cellStyle name="常规 2 7" xfId="1704"/>
    <cellStyle name="常规 2 7 2" xfId="125"/>
    <cellStyle name="常规 2 7 3" xfId="2356"/>
    <cellStyle name="常规 2 7 4" xfId="2359"/>
    <cellStyle name="常规 2 7 5" xfId="2362"/>
    <cellStyle name="常规 2 7 6" xfId="1566"/>
    <cellStyle name="常规 2 7 7" xfId="2364"/>
    <cellStyle name="常规 2 7 8" xfId="2366"/>
    <cellStyle name="常规 2 7 9" xfId="2368"/>
    <cellStyle name="常规 2 8" xfId="2370"/>
    <cellStyle name="常规 2 8 2" xfId="2372"/>
    <cellStyle name="常规 2 8 3" xfId="2374"/>
    <cellStyle name="常规 2 8 4" xfId="2377"/>
    <cellStyle name="常规 2 8 5" xfId="2380"/>
    <cellStyle name="常规 2 8 6" xfId="2382"/>
    <cellStyle name="常规 2 8 7" xfId="2384"/>
    <cellStyle name="常规 2 8 8" xfId="2386"/>
    <cellStyle name="常规 2 8 9" xfId="2388"/>
    <cellStyle name="常规 2 9" xfId="2390"/>
    <cellStyle name="常规 2_Book1" xfId="1714"/>
    <cellStyle name="常规 20" xfId="813"/>
    <cellStyle name="常规 21" xfId="816"/>
    <cellStyle name="常规 22" xfId="820"/>
    <cellStyle name="常规 23" xfId="823"/>
    <cellStyle name="常规 24" xfId="826"/>
    <cellStyle name="常规 25" xfId="632"/>
    <cellStyle name="常规 26" xfId="55"/>
    <cellStyle name="常规 27" xfId="636"/>
    <cellStyle name="常规 28" xfId="639"/>
    <cellStyle name="常规 29" xfId="642"/>
    <cellStyle name="常规 3" xfId="1359"/>
    <cellStyle name="常规 3 10" xfId="2392"/>
    <cellStyle name="常规 3 11" xfId="2394"/>
    <cellStyle name="常规 3 2" xfId="1964"/>
    <cellStyle name="常规 3 2 2" xfId="2395"/>
    <cellStyle name="常规 3 2 3" xfId="953"/>
    <cellStyle name="常规 3 2 4" xfId="2396"/>
    <cellStyle name="常规 3 2 5" xfId="384"/>
    <cellStyle name="常规 3 2 6" xfId="70"/>
    <cellStyle name="常规 3 2 7" xfId="207"/>
    <cellStyle name="常规 3 2 8" xfId="211"/>
    <cellStyle name="常规 3 2 9" xfId="216"/>
    <cellStyle name="常规 3 3" xfId="1966"/>
    <cellStyle name="常规 3 3 2" xfId="2397"/>
    <cellStyle name="常规 3 3 3" xfId="2398"/>
    <cellStyle name="常规 3 3 4" xfId="1473"/>
    <cellStyle name="常规 3 3 5" xfId="404"/>
    <cellStyle name="常规 3 3 6" xfId="238"/>
    <cellStyle name="常规 3 3 7" xfId="244"/>
    <cellStyle name="常规 3 3 8" xfId="29"/>
    <cellStyle name="常规 3 3 9" xfId="248"/>
    <cellStyle name="常规 3 4" xfId="1968"/>
    <cellStyle name="常规 3 5" xfId="1970"/>
    <cellStyle name="常规 3 6" xfId="1271"/>
    <cellStyle name="常规 3 7" xfId="1707"/>
    <cellStyle name="常规 3 8" xfId="1972"/>
    <cellStyle name="常规 3 9" xfId="2399"/>
    <cellStyle name="常规 3_Book1" xfId="1325"/>
    <cellStyle name="常规 30" xfId="631"/>
    <cellStyle name="常规 31" xfId="54"/>
    <cellStyle name="常规 32" xfId="635"/>
    <cellStyle name="常规 33" xfId="638"/>
    <cellStyle name="常规 34" xfId="641"/>
    <cellStyle name="常规 35" xfId="358"/>
    <cellStyle name="常规 36" xfId="364"/>
    <cellStyle name="常规 37" xfId="368"/>
    <cellStyle name="常规 38" xfId="372"/>
    <cellStyle name="常规 39" xfId="6"/>
    <cellStyle name="常规 4" xfId="1214"/>
    <cellStyle name="常规 4 2" xfId="2400"/>
    <cellStyle name="常规 4 3" xfId="2401"/>
    <cellStyle name="常规 4 4" xfId="2402"/>
    <cellStyle name="常规 4 5" xfId="2403"/>
    <cellStyle name="常规 4 6" xfId="2404"/>
    <cellStyle name="常规 4 7" xfId="2405"/>
    <cellStyle name="常规 4 8" xfId="2406"/>
    <cellStyle name="常规 4 9" xfId="2407"/>
    <cellStyle name="常规 40" xfId="357"/>
    <cellStyle name="常规 41" xfId="363"/>
    <cellStyle name="常规 42" xfId="367"/>
    <cellStyle name="常规 43" xfId="371"/>
    <cellStyle name="常规 44" xfId="5"/>
    <cellStyle name="常规 45" xfId="376"/>
    <cellStyle name="常规 5" xfId="1361"/>
    <cellStyle name="常规 5 10" xfId="2409"/>
    <cellStyle name="常规 5 2" xfId="2268"/>
    <cellStyle name="常规 5 2 2" xfId="2410"/>
    <cellStyle name="常规 5 2 3" xfId="2411"/>
    <cellStyle name="常规 5 2 4" xfId="2412"/>
    <cellStyle name="常规 5 2 5" xfId="1421"/>
    <cellStyle name="常规 5 2 6" xfId="1424"/>
    <cellStyle name="常规 5 2 7" xfId="1426"/>
    <cellStyle name="常规 5 2 8" xfId="1428"/>
    <cellStyle name="常规 5 2 9" xfId="1430"/>
    <cellStyle name="常规 5 3" xfId="2413"/>
    <cellStyle name="常规 5 4" xfId="2414"/>
    <cellStyle name="常规 5 5" xfId="1934"/>
    <cellStyle name="常规 5 6" xfId="1936"/>
    <cellStyle name="常规 5 7" xfId="1938"/>
    <cellStyle name="常规 5 8" xfId="1940"/>
    <cellStyle name="常规 5 9" xfId="1942"/>
    <cellStyle name="常规 5_Book1" xfId="2415"/>
    <cellStyle name="常规 6" xfId="2416"/>
    <cellStyle name="常规 6 2" xfId="2418"/>
    <cellStyle name="常规 6 3" xfId="2421"/>
    <cellStyle name="常规 6 4" xfId="2423"/>
    <cellStyle name="常规 6 5" xfId="39"/>
    <cellStyle name="常规 6 6" xfId="2425"/>
    <cellStyle name="常规 6 7" xfId="2426"/>
    <cellStyle name="常规 6 8" xfId="2427"/>
    <cellStyle name="常规 6 9" xfId="1947"/>
    <cellStyle name="常规 65" xfId="831"/>
    <cellStyle name="常规 7" xfId="2428"/>
    <cellStyle name="常规 7 2" xfId="2429"/>
    <cellStyle name="常规 7 3" xfId="2430"/>
    <cellStyle name="常规 7 4" xfId="2431"/>
    <cellStyle name="常规 7 5" xfId="2432"/>
    <cellStyle name="常规 7 6" xfId="1435"/>
    <cellStyle name="常规 7 7" xfId="2433"/>
    <cellStyle name="常规 7 8" xfId="2434"/>
    <cellStyle name="常规 7 9" xfId="2435"/>
    <cellStyle name="常规 73" xfId="3111"/>
    <cellStyle name="常规 76" xfId="1822"/>
    <cellStyle name="常规 8" xfId="2437"/>
    <cellStyle name="常规 8 2" xfId="2440"/>
    <cellStyle name="常规 8 3" xfId="2443"/>
    <cellStyle name="常规 8 4" xfId="2446"/>
    <cellStyle name="常规 8 5" xfId="2448"/>
    <cellStyle name="常规 8 6" xfId="2449"/>
    <cellStyle name="常规 8 7" xfId="2450"/>
    <cellStyle name="常规 8 8" xfId="1490"/>
    <cellStyle name="常规 8 9" xfId="2451"/>
    <cellStyle name="常规 80" xfId="644"/>
    <cellStyle name="常规 9" xfId="2453"/>
    <cellStyle name="常规 9 2" xfId="420"/>
    <cellStyle name="常规_2001-2002年报表制度" xfId="416"/>
    <cellStyle name="常规_2010年2月投资月报" xfId="2456"/>
    <cellStyle name="常规_2011年全省各市主要指标排位" xfId="2457"/>
    <cellStyle name="常规_Sheet1" xfId="2458"/>
    <cellStyle name="常规_册子——贸易(2016年9月)" xfId="2248"/>
    <cellStyle name="常规_分市5" xfId="254"/>
    <cellStyle name="常规_农业产值" xfId="2459"/>
    <cellStyle name="常规_农业生产情况" xfId="2460"/>
    <cellStyle name="分级显示行_1_13区汇总" xfId="2461"/>
    <cellStyle name="分级显示列_1_Book1" xfId="1632"/>
    <cellStyle name="归盒啦_95" xfId="1381"/>
    <cellStyle name="好 10" xfId="1354"/>
    <cellStyle name="好 2" xfId="2462"/>
    <cellStyle name="好 3" xfId="2463"/>
    <cellStyle name="好 3 2" xfId="2464"/>
    <cellStyle name="好 3 3" xfId="680"/>
    <cellStyle name="好 3 4" xfId="682"/>
    <cellStyle name="好 3 5" xfId="475"/>
    <cellStyle name="好 3 6" xfId="66"/>
    <cellStyle name="好 3 7" xfId="691"/>
    <cellStyle name="好 4" xfId="2465"/>
    <cellStyle name="好 4 2" xfId="2302"/>
    <cellStyle name="好 5" xfId="2466"/>
    <cellStyle name="好 5 2" xfId="2467"/>
    <cellStyle name="好 6" xfId="2468"/>
    <cellStyle name="好 6 2" xfId="2470"/>
    <cellStyle name="好 7" xfId="2471"/>
    <cellStyle name="好 7 2" xfId="2472"/>
    <cellStyle name="好 8" xfId="2473"/>
    <cellStyle name="好 8 2" xfId="2475"/>
    <cellStyle name="好 9" xfId="2476"/>
    <cellStyle name="好 9 2" xfId="2478"/>
    <cellStyle name="好_~4190974" xfId="2479"/>
    <cellStyle name="好_~4190974 2" xfId="2260"/>
    <cellStyle name="好_~4190974 3" xfId="2480"/>
    <cellStyle name="好_~4190974 4" xfId="2111"/>
    <cellStyle name="好_~4190974 5" xfId="2113"/>
    <cellStyle name="好_~4190974 6" xfId="2115"/>
    <cellStyle name="好_~4190974 7" xfId="2117"/>
    <cellStyle name="好_~4190974 8" xfId="2119"/>
    <cellStyle name="好_~4190974 9" xfId="2121"/>
    <cellStyle name="好_~5676413" xfId="2483"/>
    <cellStyle name="好_~5676413 2" xfId="2"/>
    <cellStyle name="好_~5676413 3" xfId="2485"/>
    <cellStyle name="好_~5676413 4" xfId="2487"/>
    <cellStyle name="好_~5676413 5" xfId="2489"/>
    <cellStyle name="好_~5676413 6" xfId="2491"/>
    <cellStyle name="好_~5676413 7" xfId="1458"/>
    <cellStyle name="好_~5676413 8" xfId="2493"/>
    <cellStyle name="好_~5676413 9" xfId="2495"/>
    <cellStyle name="好_00省级(打印)" xfId="1711"/>
    <cellStyle name="好_00省级(打印) 2" xfId="916"/>
    <cellStyle name="好_00省级(打印) 3" xfId="919"/>
    <cellStyle name="好_00省级(打印) 4" xfId="922"/>
    <cellStyle name="好_00省级(打印) 5" xfId="925"/>
    <cellStyle name="好_00省级(打印) 6" xfId="928"/>
    <cellStyle name="好_00省级(打印) 7" xfId="2496"/>
    <cellStyle name="好_00省级(打印) 8" xfId="2497"/>
    <cellStyle name="好_00省级(打印) 9" xfId="2498"/>
    <cellStyle name="好_00省级(定稿)" xfId="2500"/>
    <cellStyle name="好_00省级(定稿) 2" xfId="2501"/>
    <cellStyle name="好_00省级(定稿) 3" xfId="2502"/>
    <cellStyle name="好_00省级(定稿) 4" xfId="2503"/>
    <cellStyle name="好_00省级(定稿) 5" xfId="2504"/>
    <cellStyle name="好_00省级(定稿) 6" xfId="2371"/>
    <cellStyle name="好_00省级(定稿) 7" xfId="2373"/>
    <cellStyle name="好_00省级(定稿) 8" xfId="2376"/>
    <cellStyle name="好_00省级(定稿) 9" xfId="2379"/>
    <cellStyle name="好_03昭通" xfId="1343"/>
    <cellStyle name="好_03昭通 2" xfId="2507"/>
    <cellStyle name="好_03昭通 3" xfId="2005"/>
    <cellStyle name="好_03昭通 4" xfId="2510"/>
    <cellStyle name="好_03昭通 5" xfId="2512"/>
    <cellStyle name="好_03昭通 6" xfId="2514"/>
    <cellStyle name="好_03昭通 7" xfId="354"/>
    <cellStyle name="好_03昭通 8" xfId="177"/>
    <cellStyle name="好_03昭通 9" xfId="181"/>
    <cellStyle name="好_0502通海县" xfId="1103"/>
    <cellStyle name="好_0502通海县 2" xfId="2515"/>
    <cellStyle name="好_0502通海县 3" xfId="2516"/>
    <cellStyle name="好_0502通海县 4" xfId="2517"/>
    <cellStyle name="好_0502通海县 5" xfId="2518"/>
    <cellStyle name="好_0502通海县 6" xfId="1383"/>
    <cellStyle name="好_0502通海县 7" xfId="1385"/>
    <cellStyle name="好_0502通海县 8" xfId="1387"/>
    <cellStyle name="好_0502通海县 9" xfId="1389"/>
    <cellStyle name="好_05玉溪" xfId="2519"/>
    <cellStyle name="好_05玉溪 2" xfId="2282"/>
    <cellStyle name="好_05玉溪 3" xfId="2520"/>
    <cellStyle name="好_05玉溪 4" xfId="2521"/>
    <cellStyle name="好_05玉溪 5" xfId="2522"/>
    <cellStyle name="好_05玉溪 6" xfId="2523"/>
    <cellStyle name="好_05玉溪 7" xfId="2524"/>
    <cellStyle name="好_05玉溪 8" xfId="2526"/>
    <cellStyle name="好_05玉溪 9" xfId="2528"/>
    <cellStyle name="好_0605石屏县" xfId="2529"/>
    <cellStyle name="好_0605石屏县 2" xfId="2530"/>
    <cellStyle name="好_0605石屏县 3" xfId="2531"/>
    <cellStyle name="好_0605石屏县 4" xfId="2532"/>
    <cellStyle name="好_0605石屏县 5" xfId="2533"/>
    <cellStyle name="好_0605石屏县 6" xfId="1285"/>
    <cellStyle name="好_0605石屏县 7" xfId="1287"/>
    <cellStyle name="好_0605石屏县 8" xfId="1290"/>
    <cellStyle name="好_0605石屏县 9" xfId="1292"/>
    <cellStyle name="好_1003牟定县" xfId="2534"/>
    <cellStyle name="好_1003牟定县 2" xfId="2535"/>
    <cellStyle name="好_1003牟定县 3" xfId="1141"/>
    <cellStyle name="好_1003牟定县 4" xfId="1143"/>
    <cellStyle name="好_1003牟定县 5" xfId="1145"/>
    <cellStyle name="好_1003牟定县 6" xfId="1147"/>
    <cellStyle name="好_1003牟定县 7" xfId="288"/>
    <cellStyle name="好_1003牟定县 8" xfId="294"/>
    <cellStyle name="好_1003牟定县 9" xfId="727"/>
    <cellStyle name="好_1110洱源县" xfId="2536"/>
    <cellStyle name="好_1110洱源县 2" xfId="2537"/>
    <cellStyle name="好_1110洱源县 3" xfId="2538"/>
    <cellStyle name="好_1110洱源县 4" xfId="2539"/>
    <cellStyle name="好_1110洱源县 5" xfId="2417"/>
    <cellStyle name="好_1110洱源县 6" xfId="2420"/>
    <cellStyle name="好_1110洱源县 7" xfId="2422"/>
    <cellStyle name="好_1110洱源县 8" xfId="38"/>
    <cellStyle name="好_1110洱源县 9" xfId="2424"/>
    <cellStyle name="好_11大理" xfId="2034"/>
    <cellStyle name="好_11大理 2" xfId="470"/>
    <cellStyle name="好_11大理 3" xfId="2058"/>
    <cellStyle name="好_11大理 4" xfId="2061"/>
    <cellStyle name="好_11大理 5" xfId="1582"/>
    <cellStyle name="好_11大理 6" xfId="2540"/>
    <cellStyle name="好_11大理 7" xfId="2541"/>
    <cellStyle name="好_11大理 8" xfId="2542"/>
    <cellStyle name="好_11大理 9" xfId="2543"/>
    <cellStyle name="好_2、土地面积、人口、粮食产量基本情况" xfId="2544"/>
    <cellStyle name="好_2、土地面积、人口、粮食产量基本情况 2" xfId="2546"/>
    <cellStyle name="好_2、土地面积、人口、粮食产量基本情况 3" xfId="2548"/>
    <cellStyle name="好_2、土地面积、人口、粮食产量基本情况 4" xfId="2550"/>
    <cellStyle name="好_2、土地面积、人口、粮食产量基本情况 5" xfId="2553"/>
    <cellStyle name="好_2、土地面积、人口、粮食产量基本情况 6" xfId="2554"/>
    <cellStyle name="好_2、土地面积、人口、粮食产量基本情况 7" xfId="2555"/>
    <cellStyle name="好_2、土地面积、人口、粮食产量基本情况 8" xfId="440"/>
    <cellStyle name="好_2、土地面积、人口、粮食产量基本情况 9" xfId="706"/>
    <cellStyle name="好_2006年分析表" xfId="663"/>
    <cellStyle name="好_2006年基础数据" xfId="2556"/>
    <cellStyle name="好_2006年基础数据 2" xfId="2558"/>
    <cellStyle name="好_2006年基础数据 3" xfId="2559"/>
    <cellStyle name="好_2006年基础数据 4" xfId="2560"/>
    <cellStyle name="好_2006年基础数据 5" xfId="1808"/>
    <cellStyle name="好_2006年基础数据 6" xfId="2562"/>
    <cellStyle name="好_2006年基础数据 7" xfId="140"/>
    <cellStyle name="好_2006年基础数据 8" xfId="175"/>
    <cellStyle name="好_2006年基础数据 9" xfId="202"/>
    <cellStyle name="好_2006年全省财力计算表（中央、决算）" xfId="2563"/>
    <cellStyle name="好_2006年全省财力计算表（中央、决算） 2" xfId="2564"/>
    <cellStyle name="好_2006年全省财力计算表（中央、决算） 3" xfId="2565"/>
    <cellStyle name="好_2006年全省财力计算表（中央、决算） 4" xfId="2469"/>
    <cellStyle name="好_2006年全省财力计算表（中央、决算） 5" xfId="2566"/>
    <cellStyle name="好_2006年全省财力计算表（中央、决算） 6" xfId="2567"/>
    <cellStyle name="好_2006年全省财力计算表（中央、决算） 7" xfId="835"/>
    <cellStyle name="好_2006年全省财力计算表（中央、决算） 8" xfId="2568"/>
    <cellStyle name="好_2006年全省财力计算表（中央、决算） 9" xfId="2570"/>
    <cellStyle name="好_2006年水利统计指标统计表" xfId="2571"/>
    <cellStyle name="好_2006年水利统计指标统计表 2" xfId="2572"/>
    <cellStyle name="好_2006年水利统计指标统计表 3" xfId="2573"/>
    <cellStyle name="好_2006年水利统计指标统计表 4" xfId="2575"/>
    <cellStyle name="好_2006年水利统计指标统计表 5" xfId="2577"/>
    <cellStyle name="好_2006年水利统计指标统计表 6" xfId="2579"/>
    <cellStyle name="好_2006年水利统计指标统计表 7" xfId="2581"/>
    <cellStyle name="好_2006年水利统计指标统计表 8" xfId="2583"/>
    <cellStyle name="好_2006年水利统计指标统计表 9" xfId="2586"/>
    <cellStyle name="好_2006年在职人员情况" xfId="2587"/>
    <cellStyle name="好_2006年在职人员情况 2" xfId="2589"/>
    <cellStyle name="好_2006年在职人员情况 3" xfId="2591"/>
    <cellStyle name="好_2006年在职人员情况 4" xfId="2593"/>
    <cellStyle name="好_2006年在职人员情况 5" xfId="2595"/>
    <cellStyle name="好_2006年在职人员情况 6" xfId="2439"/>
    <cellStyle name="好_2006年在职人员情况 7" xfId="2442"/>
    <cellStyle name="好_2006年在职人员情况 8" xfId="2445"/>
    <cellStyle name="好_2006年在职人员情况 9" xfId="2447"/>
    <cellStyle name="好_2007年检察院案件数" xfId="2596"/>
    <cellStyle name="好_2007年检察院案件数 2" xfId="2597"/>
    <cellStyle name="好_2007年检察院案件数 3" xfId="2271"/>
    <cellStyle name="好_2007年检察院案件数 4" xfId="2273"/>
    <cellStyle name="好_2007年检察院案件数 5" xfId="1220"/>
    <cellStyle name="好_2007年检察院案件数 6" xfId="1223"/>
    <cellStyle name="好_2007年检察院案件数 7" xfId="1227"/>
    <cellStyle name="好_2007年检察院案件数 8" xfId="1231"/>
    <cellStyle name="好_2007年检察院案件数 9" xfId="1235"/>
    <cellStyle name="好_2007年可用财力" xfId="2599"/>
    <cellStyle name="好_2007年人员分部门统计表" xfId="2600"/>
    <cellStyle name="好_2007年人员分部门统计表 2" xfId="2601"/>
    <cellStyle name="好_2007年人员分部门统计表 3" xfId="2602"/>
    <cellStyle name="好_2007年人员分部门统计表 4" xfId="446"/>
    <cellStyle name="好_2007年人员分部门统计表 5" xfId="300"/>
    <cellStyle name="好_2007年人员分部门统计表 6" xfId="304"/>
    <cellStyle name="好_2007年人员分部门统计表 7" xfId="307"/>
    <cellStyle name="好_2007年人员分部门统计表 8" xfId="310"/>
    <cellStyle name="好_2007年人员分部门统计表 9" xfId="314"/>
    <cellStyle name="好_2007年政法部门业务指标" xfId="625"/>
    <cellStyle name="好_2007年政法部门业务指标 2" xfId="628"/>
    <cellStyle name="好_2007年政法部门业务指标 3" xfId="1605"/>
    <cellStyle name="好_2007年政法部门业务指标 4" xfId="1609"/>
    <cellStyle name="好_2007年政法部门业务指标 5" xfId="1613"/>
    <cellStyle name="好_2007年政法部门业务指标 6" xfId="1617"/>
    <cellStyle name="好_2007年政法部门业务指标 7" xfId="134"/>
    <cellStyle name="好_2007年政法部门业务指标 8" xfId="1625"/>
    <cellStyle name="好_2007年政法部门业务指标 9" xfId="1793"/>
    <cellStyle name="好_2008年县级公安保障标准落实奖励经费分配测算" xfId="1913"/>
    <cellStyle name="好_2008云南省分县市中小学教职工统计表（教育厅提供）" xfId="162"/>
    <cellStyle name="好_2008云南省分县市中小学教职工统计表（教育厅提供） 2" xfId="350"/>
    <cellStyle name="好_2008云南省分县市中小学教职工统计表（教育厅提供） 3" xfId="1589"/>
    <cellStyle name="好_2008云南省分县市中小学教职工统计表（教育厅提供） 4" xfId="2603"/>
    <cellStyle name="好_2008云南省分县市中小学教职工统计表（教育厅提供） 5" xfId="2604"/>
    <cellStyle name="好_2008云南省分县市中小学教职工统计表（教育厅提供） 6" xfId="2605"/>
    <cellStyle name="好_2008云南省分县市中小学教职工统计表（教育厅提供） 7" xfId="2607"/>
    <cellStyle name="好_2008云南省分县市中小学教职工统计表（教育厅提供） 8" xfId="2499"/>
    <cellStyle name="好_2008云南省分县市中小学教职工统计表（教育厅提供） 9" xfId="2608"/>
    <cellStyle name="好_2009年一般性转移支付标准工资" xfId="2609"/>
    <cellStyle name="好_2009年一般性转移支付标准工资 2" xfId="2610"/>
    <cellStyle name="好_2009年一般性转移支付标准工资 3" xfId="646"/>
    <cellStyle name="好_2009年一般性转移支付标准工资 4" xfId="2611"/>
    <cellStyle name="好_2009年一般性转移支付标准工资 5" xfId="2612"/>
    <cellStyle name="好_2009年一般性转移支付标准工资 6" xfId="512"/>
    <cellStyle name="好_2009年一般性转移支付标准工资 7" xfId="514"/>
    <cellStyle name="好_2009年一般性转移支付标准工资 8" xfId="378"/>
    <cellStyle name="好_2009年一般性转移支付标准工资 9" xfId="516"/>
    <cellStyle name="好_2009年一般性转移支付标准工资_~4190974" xfId="1035"/>
    <cellStyle name="好_2009年一般性转移支付标准工资_~4190974 2" xfId="1038"/>
    <cellStyle name="好_2009年一般性转移支付标准工资_~4190974 3" xfId="1041"/>
    <cellStyle name="好_2009年一般性转移支付标准工资_~4190974 4" xfId="1044"/>
    <cellStyle name="好_2009年一般性转移支付标准工资_~4190974 5" xfId="1046"/>
    <cellStyle name="好_2009年一般性转移支付标准工资_~4190974 6" xfId="1048"/>
    <cellStyle name="好_2009年一般性转移支付标准工资_~4190974 7" xfId="1050"/>
    <cellStyle name="好_2009年一般性转移支付标准工资_~4190974 8" xfId="1052"/>
    <cellStyle name="好_2009年一般性转移支付标准工资_~4190974 9" xfId="1055"/>
    <cellStyle name="好_2009年一般性转移支付标准工资_~5676413" xfId="2613"/>
    <cellStyle name="好_2009年一般性转移支付标准工资_~5676413 2" xfId="2614"/>
    <cellStyle name="好_2009年一般性转移支付标准工资_~5676413 3" xfId="2615"/>
    <cellStyle name="好_2009年一般性转移支付标准工资_~5676413 4" xfId="2616"/>
    <cellStyle name="好_2009年一般性转移支付标准工资_~5676413 5" xfId="2617"/>
    <cellStyle name="好_2009年一般性转移支付标准工资_~5676413 6" xfId="2618"/>
    <cellStyle name="好_2009年一般性转移支付标准工资_~5676413 7" xfId="2619"/>
    <cellStyle name="好_2009年一般性转移支付标准工资_~5676413 8" xfId="2620"/>
    <cellStyle name="好_2009年一般性转移支付标准工资_~5676413 9" xfId="2621"/>
    <cellStyle name="好_2009年一般性转移支付标准工资_不用软件计算9.1不考虑经费管理评价xl" xfId="1451"/>
    <cellStyle name="好_2009年一般性转移支付标准工资_不用软件计算9.1不考虑经费管理评价xl 2" xfId="1368"/>
    <cellStyle name="好_2009年一般性转移支付标准工资_不用软件计算9.1不考虑经费管理评价xl 3" xfId="2623"/>
    <cellStyle name="好_2009年一般性转移支付标准工资_不用软件计算9.1不考虑经费管理评价xl 4" xfId="2625"/>
    <cellStyle name="好_2009年一般性转移支付标准工资_不用软件计算9.1不考虑经费管理评价xl 5" xfId="2627"/>
    <cellStyle name="好_2009年一般性转移支付标准工资_不用软件计算9.1不考虑经费管理评价xl 6" xfId="2629"/>
    <cellStyle name="好_2009年一般性转移支付标准工资_不用软件计算9.1不考虑经费管理评价xl 7" xfId="2631"/>
    <cellStyle name="好_2009年一般性转移支付标准工资_不用软件计算9.1不考虑经费管理评价xl 8" xfId="2632"/>
    <cellStyle name="好_2009年一般性转移支付标准工资_不用软件计算9.1不考虑经费管理评价xl 9" xfId="2633"/>
    <cellStyle name="好_2009年一般性转移支付标准工资_地方配套按人均增幅控制8.30xl" xfId="2634"/>
    <cellStyle name="好_2009年一般性转移支付标准工资_地方配套按人均增幅控制8.30xl 2" xfId="2635"/>
    <cellStyle name="好_2009年一般性转移支付标准工资_地方配套按人均增幅控制8.30xl 3" xfId="2636"/>
    <cellStyle name="好_2009年一般性转移支付标准工资_地方配套按人均增幅控制8.30xl 4" xfId="1586"/>
    <cellStyle name="好_2009年一般性转移支付标准工资_地方配套按人均增幅控制8.30xl 5" xfId="2637"/>
    <cellStyle name="好_2009年一般性转移支付标准工资_地方配套按人均增幅控制8.30xl 6" xfId="2638"/>
    <cellStyle name="好_2009年一般性转移支付标准工资_地方配套按人均增幅控制8.30xl 7" xfId="2639"/>
    <cellStyle name="好_2009年一般性转移支付标准工资_地方配套按人均增幅控制8.30xl 8" xfId="2640"/>
    <cellStyle name="好_2009年一般性转移支付标准工资_地方配套按人均增幅控制8.30xl 9" xfId="2641"/>
    <cellStyle name="好_2009年一般性转移支付标准工资_地方配套按人均增幅控制8.30一般预算平均增幅、人均可用财力平均增幅两次控制、社会治安系数调整、案件数调整xl" xfId="2643"/>
    <cellStyle name="好_2009年一般性转移支付标准工资_地方配套按人均增幅控制8.30一般预算平均增幅、人均可用财力平均增幅两次控制、社会治安系数调整、案件数调整xl 2" xfId="2644"/>
    <cellStyle name="好_2009年一般性转移支付标准工资_地方配套按人均增幅控制8.30一般预算平均增幅、人均可用财力平均增幅两次控制、社会治安系数调整、案件数调整xl 3" xfId="2645"/>
    <cellStyle name="好_2009年一般性转移支付标准工资_地方配套按人均增幅控制8.30一般预算平均增幅、人均可用财力平均增幅两次控制、社会治安系数调整、案件数调整xl 4" xfId="809"/>
    <cellStyle name="好_2009年一般性转移支付标准工资_地方配套按人均增幅控制8.30一般预算平均增幅、人均可用财力平均增幅两次控制、社会治安系数调整、案件数调整xl 5" xfId="811"/>
    <cellStyle name="好_2009年一般性转移支付标准工资_地方配套按人均增幅控制8.30一般预算平均增幅、人均可用财力平均增幅两次控制、社会治安系数调整、案件数调整xl 6" xfId="829"/>
    <cellStyle name="好_2009年一般性转移支付标准工资_地方配套按人均增幅控制8.30一般预算平均增幅、人均可用财力平均增幅两次控制、社会治安系数调整、案件数调整xl 7" xfId="833"/>
    <cellStyle name="好_2009年一般性转移支付标准工资_地方配套按人均增幅控制8.30一般预算平均增幅、人均可用财力平均增幅两次控制、社会治安系数调整、案件数调整xl 8" xfId="837"/>
    <cellStyle name="好_2009年一般性转移支付标准工资_地方配套按人均增幅控制8.30一般预算平均增幅、人均可用财力平均增幅两次控制、社会治安系数调整、案件数调整xl 9" xfId="840"/>
    <cellStyle name="好_2009年一般性转移支付标准工资_地方配套按人均增幅控制8.31（调整结案率后）xl" xfId="702"/>
    <cellStyle name="好_2009年一般性转移支付标准工资_地方配套按人均增幅控制8.31（调整结案率后）xl 2" xfId="704"/>
    <cellStyle name="好_2009年一般性转移支付标准工资_地方配套按人均增幅控制8.31（调整结案率后）xl 3" xfId="2646"/>
    <cellStyle name="好_2009年一般性转移支付标准工资_地方配套按人均增幅控制8.31（调整结案率后）xl 4" xfId="2647"/>
    <cellStyle name="好_2009年一般性转移支付标准工资_地方配套按人均增幅控制8.31（调整结案率后）xl 5" xfId="2648"/>
    <cellStyle name="好_2009年一般性转移支付标准工资_地方配套按人均增幅控制8.31（调整结案率后）xl 6" xfId="2649"/>
    <cellStyle name="好_2009年一般性转移支付标准工资_地方配套按人均增幅控制8.31（调整结案率后）xl 7" xfId="443"/>
    <cellStyle name="好_2009年一般性转移支付标准工资_地方配套按人均增幅控制8.31（调整结案率后）xl 8" xfId="2650"/>
    <cellStyle name="好_2009年一般性转移支付标准工资_地方配套按人均增幅控制8.31（调整结案率后）xl 9" xfId="2651"/>
    <cellStyle name="好_2009年一般性转移支付标准工资_奖励补助测算5.22测试" xfId="2653"/>
    <cellStyle name="好_2009年一般性转移支付标准工资_奖励补助测算5.22测试 2" xfId="1005"/>
    <cellStyle name="好_2009年一般性转移支付标准工资_奖励补助测算5.22测试 3" xfId="1078"/>
    <cellStyle name="好_2009年一般性转移支付标准工资_奖励补助测算5.22测试 4" xfId="1128"/>
    <cellStyle name="好_2009年一般性转移支付标准工资_奖励补助测算5.22测试 5" xfId="1170"/>
    <cellStyle name="好_2009年一般性转移支付标准工资_奖励补助测算5.22测试 6" xfId="2183"/>
    <cellStyle name="好_2009年一般性转移支付标准工资_奖励补助测算5.22测试 7" xfId="2185"/>
    <cellStyle name="好_2009年一般性转移支付标准工资_奖励补助测算5.22测试 8" xfId="2187"/>
    <cellStyle name="好_2009年一般性转移支付标准工资_奖励补助测算5.22测试 9" xfId="2189"/>
    <cellStyle name="好_2009年一般性转移支付标准工资_奖励补助测算5.23新" xfId="2654"/>
    <cellStyle name="好_2009年一般性转移支付标准工资_奖励补助测算5.23新 2" xfId="1364"/>
    <cellStyle name="好_2009年一般性转移支付标准工资_奖励补助测算5.23新 3" xfId="2655"/>
    <cellStyle name="好_2009年一般性转移支付标准工资_奖励补助测算5.23新 4" xfId="2656"/>
    <cellStyle name="好_2009年一般性转移支付标准工资_奖励补助测算5.23新 5" xfId="2657"/>
    <cellStyle name="好_2009年一般性转移支付标准工资_奖励补助测算5.23新 6" xfId="1923"/>
    <cellStyle name="好_2009年一般性转移支付标准工资_奖励补助测算5.23新 7" xfId="2658"/>
    <cellStyle name="好_2009年一般性转移支付标准工资_奖励补助测算5.23新 8" xfId="2659"/>
    <cellStyle name="好_2009年一般性转移支付标准工资_奖励补助测算5.23新 9" xfId="2660"/>
    <cellStyle name="好_2009年一般性转移支付标准工资_奖励补助测算5.24冯铸" xfId="2661"/>
    <cellStyle name="好_2009年一般性转移支付标准工资_奖励补助测算5.24冯铸 2" xfId="2662"/>
    <cellStyle name="好_2009年一般性转移支付标准工资_奖励补助测算5.24冯铸 3" xfId="2663"/>
    <cellStyle name="好_2009年一般性转移支付标准工资_奖励补助测算5.24冯铸 4" xfId="2664"/>
    <cellStyle name="好_2009年一般性转移支付标准工资_奖励补助测算5.24冯铸 5" xfId="433"/>
    <cellStyle name="好_2009年一般性转移支付标准工资_奖励补助测算5.24冯铸 6" xfId="2150"/>
    <cellStyle name="好_2009年一般性转移支付标准工资_奖励补助测算5.24冯铸 7" xfId="2665"/>
    <cellStyle name="好_2009年一般性转移支付标准工资_奖励补助测算5.24冯铸 8" xfId="2666"/>
    <cellStyle name="好_2009年一般性转移支付标准工资_奖励补助测算5.24冯铸 9" xfId="2668"/>
    <cellStyle name="好_2009年一般性转移支付标准工资_奖励补助测算7.23" xfId="2669"/>
    <cellStyle name="好_2009年一般性转移支付标准工资_奖励补助测算7.23 2" xfId="718"/>
    <cellStyle name="好_2009年一般性转移支付标准工资_奖励补助测算7.23 3" xfId="2203"/>
    <cellStyle name="好_2009年一般性转移支付标准工资_奖励补助测算7.23 4" xfId="2670"/>
    <cellStyle name="好_2009年一般性转移支付标准工资_奖励补助测算7.23 5" xfId="1149"/>
    <cellStyle name="好_2009年一般性转移支付标准工资_奖励补助测算7.23 6" xfId="2671"/>
    <cellStyle name="好_2009年一般性转移支付标准工资_奖励补助测算7.23 7" xfId="2672"/>
    <cellStyle name="好_2009年一般性转移支付标准工资_奖励补助测算7.23 8" xfId="2673"/>
    <cellStyle name="好_2009年一般性转移支付标准工资_奖励补助测算7.23 9" xfId="2674"/>
    <cellStyle name="好_2009年一般性转移支付标准工资_奖励补助测算7.25" xfId="798"/>
    <cellStyle name="好_2009年一般性转移支付标准工资_奖励补助测算7.25 (version 1) (version 1)" xfId="2675"/>
    <cellStyle name="好_2009年一般性转移支付标准工资_奖励补助测算7.25 (version 1) (version 1) 2" xfId="2676"/>
    <cellStyle name="好_2009年一般性转移支付标准工资_奖励补助测算7.25 (version 1) (version 1) 3" xfId="2677"/>
    <cellStyle name="好_2009年一般性转移支付标准工资_奖励补助测算7.25 (version 1) (version 1) 4" xfId="2678"/>
    <cellStyle name="好_2009年一般性转移支付标准工资_奖励补助测算7.25 (version 1) (version 1) 5" xfId="2679"/>
    <cellStyle name="好_2009年一般性转移支付标准工资_奖励补助测算7.25 (version 1) (version 1) 6" xfId="2680"/>
    <cellStyle name="好_2009年一般性转移支付标准工资_奖励补助测算7.25 (version 1) (version 1) 7" xfId="25"/>
    <cellStyle name="好_2009年一般性转移支付标准工资_奖励补助测算7.25 (version 1) (version 1) 8" xfId="2681"/>
    <cellStyle name="好_2009年一般性转移支付标准工资_奖励补助测算7.25 (version 1) (version 1) 9" xfId="2682"/>
    <cellStyle name="好_2009年一般性转移支付标准工资_奖励补助测算7.25 2" xfId="732"/>
    <cellStyle name="好_2009年一般性转移支付标准工资_奖励补助测算7.25 3" xfId="2683"/>
    <cellStyle name="好_2009年一般性转移支付标准工资_奖励补助测算7.25 4" xfId="2684"/>
    <cellStyle name="好_2009年一般性转移支付标准工资_奖励补助测算7.25 5" xfId="138"/>
    <cellStyle name="好_2009年一般性转移支付标准工资_奖励补助测算7.25 6" xfId="13"/>
    <cellStyle name="好_2009年一般性转移支付标准工资_奖励补助测算7.25 7" xfId="2685"/>
    <cellStyle name="好_2009年一般性转移支付标准工资_奖励补助测算7.25 8" xfId="2686"/>
    <cellStyle name="好_2009年一般性转移支付标准工资_奖励补助测算7.25 9" xfId="2687"/>
    <cellStyle name="好_530623_2006年县级财政报表附表" xfId="2688"/>
    <cellStyle name="好_530623_2006年县级财政报表附表 2" xfId="2689"/>
    <cellStyle name="好_530623_2006年县级财政报表附表 3" xfId="2690"/>
    <cellStyle name="好_530623_2006年县级财政报表附表 4" xfId="2691"/>
    <cellStyle name="好_530623_2006年县级财政报表附表 5" xfId="2250"/>
    <cellStyle name="好_530623_2006年县级财政报表附表 6" xfId="2692"/>
    <cellStyle name="好_530623_2006年县级财政报表附表 7" xfId="2693"/>
    <cellStyle name="好_530623_2006年县级财政报表附表 8" xfId="2694"/>
    <cellStyle name="好_530623_2006年县级财政报表附表 9" xfId="2695"/>
    <cellStyle name="好_530629_2006年县级财政报表附表" xfId="2696"/>
    <cellStyle name="好_530629_2006年县级财政报表附表 2" xfId="2697"/>
    <cellStyle name="好_530629_2006年县级财政报表附表 3" xfId="2698"/>
    <cellStyle name="好_530629_2006年县级财政报表附表 4" xfId="2699"/>
    <cellStyle name="好_530629_2006年县级财政报表附表 5" xfId="2700"/>
    <cellStyle name="好_530629_2006年县级财政报表附表 6" xfId="1461"/>
    <cellStyle name="好_530629_2006年县级财政报表附表 7" xfId="2701"/>
    <cellStyle name="好_530629_2006年县级财政报表附表 8" xfId="2702"/>
    <cellStyle name="好_530629_2006年县级财政报表附表 9" xfId="2703"/>
    <cellStyle name="好_5334_2006年迪庆县级财政报表附表" xfId="435"/>
    <cellStyle name="好_5334_2006年迪庆县级财政报表附表 2" xfId="1718"/>
    <cellStyle name="好_5334_2006年迪庆县级财政报表附表 3" xfId="1720"/>
    <cellStyle name="好_5334_2006年迪庆县级财政报表附表 4" xfId="1722"/>
    <cellStyle name="好_5334_2006年迪庆县级财政报表附表 5" xfId="1724"/>
    <cellStyle name="好_5334_2006年迪庆县级财政报表附表 6" xfId="1726"/>
    <cellStyle name="好_5334_2006年迪庆县级财政报表附表 7" xfId="2704"/>
    <cellStyle name="好_5334_2006年迪庆县级财政报表附表 8" xfId="2705"/>
    <cellStyle name="好_5334_2006年迪庆县级财政报表附表 9" xfId="2642"/>
    <cellStyle name="好_Book1" xfId="2706"/>
    <cellStyle name="好_Book1 2" xfId="2707"/>
    <cellStyle name="好_Book1 3" xfId="2708"/>
    <cellStyle name="好_Book1 4" xfId="2391"/>
    <cellStyle name="好_Book1 5" xfId="2393"/>
    <cellStyle name="好_Book1 6" xfId="2455"/>
    <cellStyle name="好_Book1 7" xfId="2709"/>
    <cellStyle name="好_Book1 8" xfId="2710"/>
    <cellStyle name="好_Book1 9" xfId="2711"/>
    <cellStyle name="好_Book1_1" xfId="2345"/>
    <cellStyle name="好_Book1_1 2" xfId="2712"/>
    <cellStyle name="好_Book1_1 3" xfId="2713"/>
    <cellStyle name="好_Book1_1 4" xfId="2714"/>
    <cellStyle name="好_Book1_1 5" xfId="2715"/>
    <cellStyle name="好_Book1_1 6" xfId="16"/>
    <cellStyle name="好_Book1_1 7" xfId="2716"/>
    <cellStyle name="好_Book1_1 8" xfId="428"/>
    <cellStyle name="好_Book1_1 9" xfId="276"/>
    <cellStyle name="好_Book2" xfId="2718"/>
    <cellStyle name="好_Book2 2" xfId="2719"/>
    <cellStyle name="好_Book2 3" xfId="2720"/>
    <cellStyle name="好_Book2 4" xfId="2721"/>
    <cellStyle name="好_Book2 5" xfId="2722"/>
    <cellStyle name="好_Book2 6" xfId="2724"/>
    <cellStyle name="好_Book2 7" xfId="2725"/>
    <cellStyle name="好_Book2 8" xfId="2726"/>
    <cellStyle name="好_Book2 9" xfId="2727"/>
    <cellStyle name="好_M01-2(州市补助收入)" xfId="1302"/>
    <cellStyle name="好_M01-2(州市补助收入) 2" xfId="1481"/>
    <cellStyle name="好_M01-2(州市补助收入) 3" xfId="1484"/>
    <cellStyle name="好_M01-2(州市补助收入) 4" xfId="1486"/>
    <cellStyle name="好_M01-2(州市补助收入) 5" xfId="1782"/>
    <cellStyle name="好_M01-2(州市补助收入) 6" xfId="1276"/>
    <cellStyle name="好_M01-2(州市补助收入) 7" xfId="1784"/>
    <cellStyle name="好_M01-2(州市补助收入) 8" xfId="1786"/>
    <cellStyle name="好_M01-2(州市补助收入) 9" xfId="1788"/>
    <cellStyle name="好_M03" xfId="2729"/>
    <cellStyle name="好_M03 2" xfId="2730"/>
    <cellStyle name="好_M03 3" xfId="2731"/>
    <cellStyle name="好_M03 4" xfId="2732"/>
    <cellStyle name="好_M03 5" xfId="2733"/>
    <cellStyle name="好_M03 6" xfId="2233"/>
    <cellStyle name="好_M03 7" xfId="2734"/>
    <cellStyle name="好_M03 8" xfId="2735"/>
    <cellStyle name="好_M03 9" xfId="2736"/>
    <cellStyle name="好_不用软件计算9.1不考虑经费管理评价xl" xfId="2606"/>
    <cellStyle name="好_不用软件计算9.1不考虑经费管理评价xl 2" xfId="2738"/>
    <cellStyle name="好_不用软件计算9.1不考虑经费管理评价xl 3" xfId="2739"/>
    <cellStyle name="好_不用软件计算9.1不考虑经费管理评价xl 4" xfId="2740"/>
    <cellStyle name="好_不用软件计算9.1不考虑经费管理评价xl 5" xfId="2741"/>
    <cellStyle name="好_不用软件计算9.1不考虑经费管理评价xl 6" xfId="124"/>
    <cellStyle name="好_不用软件计算9.1不考虑经费管理评价xl 7" xfId="2355"/>
    <cellStyle name="好_不用软件计算9.1不考虑经费管理评价xl 8" xfId="2358"/>
    <cellStyle name="好_不用软件计算9.1不考虑经费管理评价xl 9" xfId="2361"/>
    <cellStyle name="好_财政供养人员" xfId="2419"/>
    <cellStyle name="好_财政供养人员 2" xfId="2742"/>
    <cellStyle name="好_财政供养人员 3" xfId="2743"/>
    <cellStyle name="好_财政供养人员 4" xfId="2744"/>
    <cellStyle name="好_财政供养人员 5" xfId="2745"/>
    <cellStyle name="好_财政供养人员 6" xfId="2545"/>
    <cellStyle name="好_财政供养人员 7" xfId="2547"/>
    <cellStyle name="好_财政供养人员 8" xfId="2549"/>
    <cellStyle name="好_财政供养人员 9" xfId="2552"/>
    <cellStyle name="好_财政支出对上级的依赖程度" xfId="2746"/>
    <cellStyle name="好_城建部门" xfId="2747"/>
    <cellStyle name="好_地方配套按人均增幅控制8.30xl" xfId="2749"/>
    <cellStyle name="好_地方配套按人均增幅控制8.30xl 2" xfId="2750"/>
    <cellStyle name="好_地方配套按人均增幅控制8.30xl 3" xfId="2223"/>
    <cellStyle name="好_地方配套按人均增幅控制8.30xl 4" xfId="2751"/>
    <cellStyle name="好_地方配套按人均增幅控制8.30xl 5" xfId="2752"/>
    <cellStyle name="好_地方配套按人均增幅控制8.30xl 6" xfId="2753"/>
    <cellStyle name="好_地方配套按人均增幅控制8.30xl 7" xfId="1037"/>
    <cellStyle name="好_地方配套按人均增幅控制8.30xl 8" xfId="1040"/>
    <cellStyle name="好_地方配套按人均增幅控制8.30xl 9" xfId="1043"/>
    <cellStyle name="好_地方配套按人均增幅控制8.30一般预算平均增幅、人均可用财力平均增幅两次控制、社会治安系数调整、案件数调整xl" xfId="2754"/>
    <cellStyle name="好_地方配套按人均增幅控制8.30一般预算平均增幅、人均可用财力平均增幅两次控制、社会治安系数调整、案件数调整xl 2" xfId="2525"/>
    <cellStyle name="好_地方配套按人均增幅控制8.30一般预算平均增幅、人均可用财力平均增幅两次控制、社会治安系数调整、案件数调整xl 3" xfId="2527"/>
    <cellStyle name="好_地方配套按人均增幅控制8.30一般预算平均增幅、人均可用财力平均增幅两次控制、社会治安系数调整、案件数调整xl 4" xfId="2755"/>
    <cellStyle name="好_地方配套按人均增幅控制8.30一般预算平均增幅、人均可用财力平均增幅两次控制、社会治安系数调整、案件数调整xl 5" xfId="2756"/>
    <cellStyle name="好_地方配套按人均增幅控制8.30一般预算平均增幅、人均可用财力平均增幅两次控制、社会治安系数调整、案件数调整xl 6" xfId="2757"/>
    <cellStyle name="好_地方配套按人均增幅控制8.30一般预算平均增幅、人均可用财力平均增幅两次控制、社会治安系数调整、案件数调整xl 7" xfId="2758"/>
    <cellStyle name="好_地方配套按人均增幅控制8.30一般预算平均增幅、人均可用财力平均增幅两次控制、社会治安系数调整、案件数调整xl 8" xfId="78"/>
    <cellStyle name="好_地方配套按人均增幅控制8.30一般预算平均增幅、人均可用财力平均增幅两次控制、社会治安系数调整、案件数调整xl 9" xfId="84"/>
    <cellStyle name="好_地方配套按人均增幅控制8.31（调整结案率后）xl" xfId="2082"/>
    <cellStyle name="好_地方配套按人均增幅控制8.31（调整结案率后）xl 2" xfId="1112"/>
    <cellStyle name="好_地方配套按人均增幅控制8.31（调整结案率后）xl 3" xfId="1115"/>
    <cellStyle name="好_地方配套按人均增幅控制8.31（调整结案率后）xl 4" xfId="1118"/>
    <cellStyle name="好_地方配套按人均增幅控制8.31（调整结案率后）xl 5" xfId="1121"/>
    <cellStyle name="好_地方配套按人均增幅控制8.31（调整结案率后）xl 6" xfId="1124"/>
    <cellStyle name="好_地方配套按人均增幅控制8.31（调整结案率后）xl 7" xfId="2084"/>
    <cellStyle name="好_地方配套按人均增幅控制8.31（调整结案率后）xl 8" xfId="2086"/>
    <cellStyle name="好_地方配套按人均增幅控制8.31（调整结案率后）xl 9" xfId="900"/>
    <cellStyle name="好_第五部分(才淼、饶永宏）" xfId="2408"/>
    <cellStyle name="好_第五部分(才淼、饶永宏） 2" xfId="2436"/>
    <cellStyle name="好_第五部分(才淼、饶永宏） 3" xfId="2452"/>
    <cellStyle name="好_第五部分(才淼、饶永宏） 4" xfId="2759"/>
    <cellStyle name="好_第五部分(才淼、饶永宏） 5" xfId="2760"/>
    <cellStyle name="好_第五部分(才淼、饶永宏） 6" xfId="2761"/>
    <cellStyle name="好_第五部分(才淼、饶永宏） 7" xfId="2762"/>
    <cellStyle name="好_第五部分(才淼、饶永宏） 8" xfId="2763"/>
    <cellStyle name="好_第五部分(才淼、饶永宏） 9" xfId="1437"/>
    <cellStyle name="好_第一部分：综合全" xfId="1688"/>
    <cellStyle name="好_高中教师人数（教育厅1.6日提供）" xfId="2482"/>
    <cellStyle name="好_高中教师人数（教育厅1.6日提供） 2" xfId="1"/>
    <cellStyle name="好_高中教师人数（教育厅1.6日提供） 3" xfId="2484"/>
    <cellStyle name="好_高中教师人数（教育厅1.6日提供） 4" xfId="2486"/>
    <cellStyle name="好_高中教师人数（教育厅1.6日提供） 5" xfId="2488"/>
    <cellStyle name="好_高中教师人数（教育厅1.6日提供） 6" xfId="2490"/>
    <cellStyle name="好_高中教师人数（教育厅1.6日提供） 7" xfId="1457"/>
    <cellStyle name="好_高中教师人数（教育厅1.6日提供） 8" xfId="2492"/>
    <cellStyle name="好_高中教师人数（教育厅1.6日提供） 9" xfId="2494"/>
    <cellStyle name="好_汇总" xfId="2764"/>
    <cellStyle name="好_汇总 2" xfId="537"/>
    <cellStyle name="好_汇总 3" xfId="2765"/>
    <cellStyle name="好_汇总 4" xfId="2766"/>
    <cellStyle name="好_汇总 5" xfId="2767"/>
    <cellStyle name="好_汇总 6" xfId="2768"/>
    <cellStyle name="好_汇总 7" xfId="2769"/>
    <cellStyle name="好_汇总 8" xfId="111"/>
    <cellStyle name="好_汇总 9" xfId="2474"/>
    <cellStyle name="好_汇总-县级财政报表附表" xfId="105"/>
    <cellStyle name="好_汇总-县级财政报表附表 2" xfId="485"/>
    <cellStyle name="好_汇总-县级财政报表附表 3" xfId="510"/>
    <cellStyle name="好_汇总-县级财政报表附表 4" xfId="479"/>
    <cellStyle name="好_汇总-县级财政报表附表 5" xfId="539"/>
    <cellStyle name="好_汇总-县级财政报表附表 6" xfId="556"/>
    <cellStyle name="好_汇总-县级财政报表附表 7" xfId="561"/>
    <cellStyle name="好_汇总-县级财政报表附表 8" xfId="2771"/>
    <cellStyle name="好_汇总-县级财政报表附表 9" xfId="2773"/>
    <cellStyle name="好_基础数据分析" xfId="2774"/>
    <cellStyle name="好_基础数据分析 2" xfId="2775"/>
    <cellStyle name="好_基础数据分析 3" xfId="2777"/>
    <cellStyle name="好_基础数据分析 4" xfId="2778"/>
    <cellStyle name="好_基础数据分析 5" xfId="2779"/>
    <cellStyle name="好_基础数据分析 6" xfId="2780"/>
    <cellStyle name="好_基础数据分析 7" xfId="2782"/>
    <cellStyle name="好_基础数据分析 8" xfId="2783"/>
    <cellStyle name="好_基础数据分析 9" xfId="2784"/>
    <cellStyle name="好_检验表" xfId="1468"/>
    <cellStyle name="好_检验表（调整后）" xfId="2551"/>
    <cellStyle name="好_奖励补助测算5.22测试" xfId="525"/>
    <cellStyle name="好_奖励补助测算5.22测试 2" xfId="488"/>
    <cellStyle name="好_奖励补助测算5.22测试 3" xfId="50"/>
    <cellStyle name="好_奖励补助测算5.22测试 4" xfId="491"/>
    <cellStyle name="好_奖励补助测算5.22测试 5" xfId="495"/>
    <cellStyle name="好_奖励补助测算5.22测试 6" xfId="499"/>
    <cellStyle name="好_奖励补助测算5.22测试 7" xfId="503"/>
    <cellStyle name="好_奖励补助测算5.22测试 8" xfId="507"/>
    <cellStyle name="好_奖励补助测算5.22测试 9" xfId="1308"/>
    <cellStyle name="好_奖励补助测算5.23新" xfId="2299"/>
    <cellStyle name="好_奖励补助测算5.23新 2" xfId="2785"/>
    <cellStyle name="好_奖励补助测算5.23新 3" xfId="2786"/>
    <cellStyle name="好_奖励补助测算5.23新 4" xfId="2787"/>
    <cellStyle name="好_奖励补助测算5.23新 5" xfId="2788"/>
    <cellStyle name="好_奖励补助测算5.23新 6" xfId="2789"/>
    <cellStyle name="好_奖励补助测算5.23新 7" xfId="2238"/>
    <cellStyle name="好_奖励补助测算5.23新 8" xfId="2240"/>
    <cellStyle name="好_奖励补助测算5.23新 9" xfId="2242"/>
    <cellStyle name="好_奖励补助测算5.24冯铸" xfId="2790"/>
    <cellStyle name="好_奖励补助测算5.24冯铸 2" xfId="1630"/>
    <cellStyle name="好_奖励补助测算5.24冯铸 3" xfId="1639"/>
    <cellStyle name="好_奖励补助测算5.24冯铸 4" xfId="1642"/>
    <cellStyle name="好_奖励补助测算5.24冯铸 5" xfId="1645"/>
    <cellStyle name="好_奖励补助测算5.24冯铸 6" xfId="1648"/>
    <cellStyle name="好_奖励补助测算5.24冯铸 7" xfId="1651"/>
    <cellStyle name="好_奖励补助测算5.24冯铸 8" xfId="1654"/>
    <cellStyle name="好_奖励补助测算5.24冯铸 9" xfId="2791"/>
    <cellStyle name="好_奖励补助测算7.23" xfId="2792"/>
    <cellStyle name="好_奖励补助测算7.23 2" xfId="2793"/>
    <cellStyle name="好_奖励补助测算7.23 3" xfId="2794"/>
    <cellStyle name="好_奖励补助测算7.23 4" xfId="2795"/>
    <cellStyle name="好_奖励补助测算7.23 5" xfId="2796"/>
    <cellStyle name="好_奖励补助测算7.23 6" xfId="2797"/>
    <cellStyle name="好_奖励补助测算7.23 7" xfId="2798"/>
    <cellStyle name="好_奖励补助测算7.23 8" xfId="2799"/>
    <cellStyle name="好_奖励补助测算7.23 9" xfId="73"/>
    <cellStyle name="好_奖励补助测算7.25" xfId="851"/>
    <cellStyle name="好_奖励补助测算7.25 (version 1) (version 1)" xfId="2800"/>
    <cellStyle name="好_奖励补助测算7.25 (version 1) (version 1) 2" xfId="2801"/>
    <cellStyle name="好_奖励补助测算7.25 (version 1) (version 1) 3" xfId="2802"/>
    <cellStyle name="好_奖励补助测算7.25 (version 1) (version 1) 4" xfId="2803"/>
    <cellStyle name="好_奖励补助测算7.25 (version 1) (version 1) 5" xfId="2804"/>
    <cellStyle name="好_奖励补助测算7.25 (version 1) (version 1) 6" xfId="2805"/>
    <cellStyle name="好_奖励补助测算7.25 (version 1) (version 1) 7" xfId="2806"/>
    <cellStyle name="好_奖励补助测算7.25 (version 1) (version 1) 8" xfId="2298"/>
    <cellStyle name="好_奖励补助测算7.25 (version 1) (version 1) 9" xfId="2807"/>
    <cellStyle name="好_奖励补助测算7.25 2" xfId="2808"/>
    <cellStyle name="好_奖励补助测算7.25 3" xfId="2809"/>
    <cellStyle name="好_奖励补助测算7.25 4" xfId="2810"/>
    <cellStyle name="好_奖励补助测算7.25 5" xfId="2811"/>
    <cellStyle name="好_奖励补助测算7.25 6" xfId="2812"/>
    <cellStyle name="好_奖励补助测算7.25 7" xfId="2813"/>
    <cellStyle name="好_奖励补助测算7.25 8" xfId="2814"/>
    <cellStyle name="好_奖励补助测算7.25 9" xfId="775"/>
    <cellStyle name="好_教师绩效工资测算表（离退休按各地上报数测算）2009年1月1日" xfId="2557"/>
    <cellStyle name="好_教育厅提供义务教育及高中教师人数（2009年1月6日）" xfId="146"/>
    <cellStyle name="好_教育厅提供义务教育及高中教师人数（2009年1月6日） 2" xfId="2815"/>
    <cellStyle name="好_教育厅提供义务教育及高中教师人数（2009年1月6日） 3" xfId="2816"/>
    <cellStyle name="好_教育厅提供义务教育及高中教师人数（2009年1月6日） 4" xfId="2817"/>
    <cellStyle name="好_教育厅提供义务教育及高中教师人数（2009年1月6日） 5" xfId="2818"/>
    <cellStyle name="好_教育厅提供义务教育及高中教师人数（2009年1月6日） 6" xfId="2820"/>
    <cellStyle name="好_教育厅提供义务教育及高中教师人数（2009年1月6日） 7" xfId="1780"/>
    <cellStyle name="好_教育厅提供义务教育及高中教师人数（2009年1月6日） 8" xfId="2821"/>
    <cellStyle name="好_教育厅提供义务教育及高中教师人数（2009年1月6日） 9" xfId="2822"/>
    <cellStyle name="好_历年教师人数" xfId="1417"/>
    <cellStyle name="好_丽江汇总" xfId="2823"/>
    <cellStyle name="好_三季度－表二" xfId="2256"/>
    <cellStyle name="好_三季度－表二 2" xfId="2357"/>
    <cellStyle name="好_三季度－表二 3" xfId="2360"/>
    <cellStyle name="好_三季度－表二 4" xfId="1565"/>
    <cellStyle name="好_三季度－表二 5" xfId="2363"/>
    <cellStyle name="好_三季度－表二 6" xfId="2365"/>
    <cellStyle name="好_三季度－表二 7" xfId="2367"/>
    <cellStyle name="好_三季度－表二 8" xfId="2824"/>
    <cellStyle name="好_三季度－表二 9" xfId="2825"/>
    <cellStyle name="好_卫生部门" xfId="2827"/>
    <cellStyle name="好_卫生部门 2" xfId="1795"/>
    <cellStyle name="好_卫生部门 3" xfId="1982"/>
    <cellStyle name="好_卫生部门 4" xfId="1984"/>
    <cellStyle name="好_卫生部门 5" xfId="1986"/>
    <cellStyle name="好_卫生部门 6" xfId="1988"/>
    <cellStyle name="好_卫生部门 7" xfId="1990"/>
    <cellStyle name="好_卫生部门 8" xfId="19"/>
    <cellStyle name="好_卫生部门 9" xfId="1992"/>
    <cellStyle name="好_文体广播部门" xfId="2828"/>
    <cellStyle name="好_下半年禁毒办案经费分配2544.3万元" xfId="679"/>
    <cellStyle name="好_下半年禁吸戒毒经费1000万元" xfId="2001"/>
    <cellStyle name="好_下半年禁吸戒毒经费1000万元 2" xfId="2829"/>
    <cellStyle name="好_下半年禁吸戒毒经费1000万元 3" xfId="2830"/>
    <cellStyle name="好_下半年禁吸戒毒经费1000万元 4" xfId="2831"/>
    <cellStyle name="好_下半年禁吸戒毒经费1000万元 5" xfId="2832"/>
    <cellStyle name="好_下半年禁吸戒毒经费1000万元 6" xfId="2833"/>
    <cellStyle name="好_下半年禁吸戒毒经费1000万元 7" xfId="2834"/>
    <cellStyle name="好_下半年禁吸戒毒经费1000万元 8" xfId="2835"/>
    <cellStyle name="好_下半年禁吸戒毒经费1000万元 9" xfId="2836"/>
    <cellStyle name="好_县级公安机关公用经费标准奖励测算方案（定稿）" xfId="1593"/>
    <cellStyle name="好_县级公安机关公用经费标准奖励测算方案（定稿） 2" xfId="1442"/>
    <cellStyle name="好_县级公安机关公用经费标准奖励测算方案（定稿） 3" xfId="1445"/>
    <cellStyle name="好_县级公安机关公用经费标准奖励测算方案（定稿） 4" xfId="1447"/>
    <cellStyle name="好_县级公安机关公用经费标准奖励测算方案（定稿） 5" xfId="1450"/>
    <cellStyle name="好_县级公安机关公用经费标准奖励测算方案（定稿） 6" xfId="2837"/>
    <cellStyle name="好_县级公安机关公用经费标准奖励测算方案（定稿） 7" xfId="2838"/>
    <cellStyle name="好_县级公安机关公用经费标准奖励测算方案（定稿） 8" xfId="2839"/>
    <cellStyle name="好_县级公安机关公用经费标准奖励测算方案（定稿） 9" xfId="2840"/>
    <cellStyle name="好_县级基础数据" xfId="2842"/>
    <cellStyle name="好_业务工作量指标" xfId="2844"/>
    <cellStyle name="好_业务工作量指标 2" xfId="2846"/>
    <cellStyle name="好_业务工作量指标 3" xfId="2847"/>
    <cellStyle name="好_业务工作量指标 4" xfId="2848"/>
    <cellStyle name="好_业务工作量指标 5" xfId="2849"/>
    <cellStyle name="好_业务工作量指标 6" xfId="2850"/>
    <cellStyle name="好_业务工作量指标 7" xfId="2851"/>
    <cellStyle name="好_业务工作量指标 8" xfId="2852"/>
    <cellStyle name="好_业务工作量指标 9" xfId="2853"/>
    <cellStyle name="好_义务教育阶段教职工人数（教育厅提供最终）" xfId="2854"/>
    <cellStyle name="好_义务教育阶段教职工人数（教育厅提供最终） 2" xfId="2855"/>
    <cellStyle name="好_义务教育阶段教职工人数（教育厅提供最终） 3" xfId="2856"/>
    <cellStyle name="好_义务教育阶段教职工人数（教育厅提供最终） 4" xfId="2857"/>
    <cellStyle name="好_义务教育阶段教职工人数（教育厅提供最终） 5" xfId="2858"/>
    <cellStyle name="好_义务教育阶段教职工人数（教育厅提供最终） 6" xfId="2859"/>
    <cellStyle name="好_义务教育阶段教职工人数（教育厅提供最终） 7" xfId="2860"/>
    <cellStyle name="好_义务教育阶段教职工人数（教育厅提供最终） 8" xfId="2861"/>
    <cellStyle name="好_义务教育阶段教职工人数（教育厅提供最终） 9" xfId="2862"/>
    <cellStyle name="好_云南农村义务教育统计表" xfId="2863"/>
    <cellStyle name="好_云南农村义务教育统计表 2" xfId="2864"/>
    <cellStyle name="好_云南农村义务教育统计表 3" xfId="2865"/>
    <cellStyle name="好_云南农村义务教育统计表 4" xfId="2866"/>
    <cellStyle name="好_云南农村义务教育统计表 5" xfId="2867"/>
    <cellStyle name="好_云南农村义务教育统计表 6" xfId="2868"/>
    <cellStyle name="好_云南农村义务教育统计表 7" xfId="2869"/>
    <cellStyle name="好_云南农村义务教育统计表 8" xfId="2870"/>
    <cellStyle name="好_云南农村义务教育统计表 9" xfId="2737"/>
    <cellStyle name="好_云南省2008年中小学教师人数统计表" xfId="2871"/>
    <cellStyle name="好_云南省2008年中小学教职工情况（教育厅提供20090101加工整理）" xfId="2781"/>
    <cellStyle name="好_云南省2008年中小学教职工情况（教育厅提供20090101加工整理） 2" xfId="2872"/>
    <cellStyle name="好_云南省2008年中小学教职工情况（教育厅提供20090101加工整理） 3" xfId="2873"/>
    <cellStyle name="好_云南省2008年中小学教职工情况（教育厅提供20090101加工整理） 4" xfId="2874"/>
    <cellStyle name="好_云南省2008年中小学教职工情况（教育厅提供20090101加工整理） 5" xfId="2875"/>
    <cellStyle name="好_云南省2008年中小学教职工情况（教育厅提供20090101加工整理） 6" xfId="392"/>
    <cellStyle name="好_云南省2008年中小学教职工情况（教育厅提供20090101加工整理） 7" xfId="2101"/>
    <cellStyle name="好_云南省2008年中小学教职工情况（教育厅提供20090101加工整理） 8" xfId="2103"/>
    <cellStyle name="好_云南省2008年中小学教职工情况（教育厅提供20090101加工整理） 9" xfId="1842"/>
    <cellStyle name="好_云南省2008年转移支付测算——州市本级考核部分及政策性测算" xfId="2876"/>
    <cellStyle name="好_云南省2008年转移支付测算——州市本级考核部分及政策性测算 2" xfId="2877"/>
    <cellStyle name="好_云南省2008年转移支付测算——州市本级考核部分及政策性测算 3" xfId="2878"/>
    <cellStyle name="好_云南省2008年转移支付测算——州市本级考核部分及政策性测算 4" xfId="2879"/>
    <cellStyle name="好_云南省2008年转移支付测算——州市本级考核部分及政策性测算 5" xfId="2880"/>
    <cellStyle name="好_云南省2008年转移支付测算——州市本级考核部分及政策性测算 6" xfId="2881"/>
    <cellStyle name="好_云南省2008年转移支付测算——州市本级考核部分及政策性测算 7" xfId="2207"/>
    <cellStyle name="好_云南省2008年转移支付测算——州市本级考核部分及政策性测算 8" xfId="1453"/>
    <cellStyle name="好_云南省2008年转移支付测算——州市本级考核部分及政策性测算 9" xfId="2211"/>
    <cellStyle name="好_指标四" xfId="2882"/>
    <cellStyle name="好_指标四 2" xfId="2883"/>
    <cellStyle name="好_指标四 3" xfId="1852"/>
    <cellStyle name="好_指标四 4" xfId="1855"/>
    <cellStyle name="好_指标四 5" xfId="1857"/>
    <cellStyle name="好_指标四 6" xfId="1859"/>
    <cellStyle name="好_指标四 7" xfId="1861"/>
    <cellStyle name="好_指标四 8" xfId="1863"/>
    <cellStyle name="好_指标四 9" xfId="1866"/>
    <cellStyle name="好_指标五" xfId="2884"/>
    <cellStyle name="后继超链接" xfId="2776"/>
    <cellStyle name="后继超链接 2" xfId="2574"/>
    <cellStyle name="后继超链接 3" xfId="2576"/>
    <cellStyle name="后继超链接 4" xfId="2578"/>
    <cellStyle name="后继超链接 5" xfId="2580"/>
    <cellStyle name="后继超链接 6" xfId="2582"/>
    <cellStyle name="后继超链接 7" xfId="2585"/>
    <cellStyle name="后继超链接 8" xfId="2885"/>
    <cellStyle name="后继超链接 9" xfId="2886"/>
    <cellStyle name="汇总 10" xfId="2888"/>
    <cellStyle name="汇总 2" xfId="1154"/>
    <cellStyle name="汇总 3" xfId="1157"/>
    <cellStyle name="汇总 3 2" xfId="756"/>
    <cellStyle name="汇总 3 3" xfId="79"/>
    <cellStyle name="汇总 3 4" xfId="85"/>
    <cellStyle name="汇总 3 5" xfId="2889"/>
    <cellStyle name="汇总 3 6" xfId="2890"/>
    <cellStyle name="汇总 3 7" xfId="2891"/>
    <cellStyle name="汇总 4" xfId="1160"/>
    <cellStyle name="汇总 4 2" xfId="2892"/>
    <cellStyle name="汇总 5" xfId="1163"/>
    <cellStyle name="汇总 5 2" xfId="2893"/>
    <cellStyle name="汇总 6" xfId="1166"/>
    <cellStyle name="汇总 6 2" xfId="1483"/>
    <cellStyle name="汇总 7" xfId="2093"/>
    <cellStyle name="汇总 7 2" xfId="2894"/>
    <cellStyle name="汇总 8" xfId="2095"/>
    <cellStyle name="汇总 8 2" xfId="2895"/>
    <cellStyle name="汇总 9" xfId="2097"/>
    <cellStyle name="汇总 9 2" xfId="1767"/>
    <cellStyle name="计算 10" xfId="1683"/>
    <cellStyle name="计算 2" xfId="2896"/>
    <cellStyle name="计算 3" xfId="2897"/>
    <cellStyle name="计算 3 2" xfId="2898"/>
    <cellStyle name="计算 3 3" xfId="2899"/>
    <cellStyle name="计算 3 4" xfId="2900"/>
    <cellStyle name="计算 3 5" xfId="2901"/>
    <cellStyle name="计算 3 6" xfId="2902"/>
    <cellStyle name="计算 3 7" xfId="2903"/>
    <cellStyle name="计算 4" xfId="2477"/>
    <cellStyle name="计算 4 2" xfId="2904"/>
    <cellStyle name="计算 5" xfId="2843"/>
    <cellStyle name="计算 5 2" xfId="2845"/>
    <cellStyle name="计算 6" xfId="2905"/>
    <cellStyle name="计算 6 2" xfId="1281"/>
    <cellStyle name="计算 7" xfId="844"/>
    <cellStyle name="计算 7 2" xfId="937"/>
    <cellStyle name="计算 8" xfId="2906"/>
    <cellStyle name="计算 8 2" xfId="2907"/>
    <cellStyle name="计算 9" xfId="1314"/>
    <cellStyle name="计算 9 2" xfId="1316"/>
    <cellStyle name="检查单元格 10" xfId="2164"/>
    <cellStyle name="检查单元格 2" xfId="2908"/>
    <cellStyle name="检查单元格 3" xfId="2909"/>
    <cellStyle name="检查单元格 3 2" xfId="2910"/>
    <cellStyle name="检查单元格 3 3" xfId="2911"/>
    <cellStyle name="检查单元格 3 4" xfId="2912"/>
    <cellStyle name="检查单元格 3 5" xfId="2913"/>
    <cellStyle name="检查单元格 3 6" xfId="2914"/>
    <cellStyle name="检查单元格 3 7" xfId="2915"/>
    <cellStyle name="检查单元格 4" xfId="2917"/>
    <cellStyle name="检查单元格 4 2" xfId="2918"/>
    <cellStyle name="检查单元格 5" xfId="1621"/>
    <cellStyle name="检查单元格 5 2" xfId="2919"/>
    <cellStyle name="检查单元格 6" xfId="2921"/>
    <cellStyle name="检查单元格 6 2" xfId="2037"/>
    <cellStyle name="检查单元格 7" xfId="2506"/>
    <cellStyle name="检查单元格 7 2" xfId="2561"/>
    <cellStyle name="检查单元格 8" xfId="2004"/>
    <cellStyle name="检查单元格 8 2" xfId="2007"/>
    <cellStyle name="检查单元格 9" xfId="2509"/>
    <cellStyle name="检查单元格 9 2" xfId="2922"/>
    <cellStyle name="解释性文本 10" xfId="2819"/>
    <cellStyle name="解释性文本 2" xfId="1500"/>
    <cellStyle name="解释性文本 3" xfId="1503"/>
    <cellStyle name="解释性文本 3 2" xfId="2923"/>
    <cellStyle name="解释性文本 3 3" xfId="2924"/>
    <cellStyle name="解释性文本 3 4" xfId="2925"/>
    <cellStyle name="解释性文本 3 5" xfId="2926"/>
    <cellStyle name="解释性文本 3 6" xfId="2927"/>
    <cellStyle name="解释性文本 3 7" xfId="2928"/>
    <cellStyle name="解释性文本 4" xfId="1506"/>
    <cellStyle name="解释性文本 4 2" xfId="2667"/>
    <cellStyle name="解释性文本 5" xfId="1509"/>
    <cellStyle name="解释性文本 5 2" xfId="2929"/>
    <cellStyle name="解释性文本 6" xfId="1730"/>
    <cellStyle name="解释性文本 6 2" xfId="1733"/>
    <cellStyle name="解释性文本 7" xfId="1742"/>
    <cellStyle name="解释性文本 7 2" xfId="1745"/>
    <cellStyle name="解释性文本 8" xfId="1747"/>
    <cellStyle name="解释性文本 8 2" xfId="1750"/>
    <cellStyle name="解释性文本 9" xfId="1752"/>
    <cellStyle name="解释性文本 9 2" xfId="1754"/>
    <cellStyle name="借出原因" xfId="464"/>
    <cellStyle name="警告文本 10" xfId="2930"/>
    <cellStyle name="警告文本 2" xfId="555"/>
    <cellStyle name="警告文本 3" xfId="560"/>
    <cellStyle name="警告文本 3 2" xfId="253"/>
    <cellStyle name="警告文本 3 3" xfId="259"/>
    <cellStyle name="警告文本 3 4" xfId="264"/>
    <cellStyle name="警告文本 3 5" xfId="270"/>
    <cellStyle name="警告文本 3 6" xfId="563"/>
    <cellStyle name="警告文本 3 7" xfId="566"/>
    <cellStyle name="警告文本 4" xfId="2770"/>
    <cellStyle name="警告文本 4 2" xfId="117"/>
    <cellStyle name="警告文本 5" xfId="2772"/>
    <cellStyle name="警告文本 5 2" xfId="2826"/>
    <cellStyle name="警告文本 6" xfId="2931"/>
    <cellStyle name="警告文本 6 2" xfId="2932"/>
    <cellStyle name="警告文本 7" xfId="2933"/>
    <cellStyle name="警告文本 7 2" xfId="2934"/>
    <cellStyle name="警告文本 8" xfId="2935"/>
    <cellStyle name="警告文本 8 2" xfId="2936"/>
    <cellStyle name="警告文本 9" xfId="1710"/>
    <cellStyle name="警告文本 9 2" xfId="915"/>
    <cellStyle name="链接单元格 10" xfId="2937"/>
    <cellStyle name="链接单元格 2" xfId="2938"/>
    <cellStyle name="链接单元格 3" xfId="2588"/>
    <cellStyle name="链接单元格 3 2" xfId="2205"/>
    <cellStyle name="链接单元格 3 3" xfId="2939"/>
    <cellStyle name="链接单元格 3 4" xfId="2940"/>
    <cellStyle name="链接单元格 3 5" xfId="2941"/>
    <cellStyle name="链接单元格 3 6" xfId="2942"/>
    <cellStyle name="链接单元格 3 7" xfId="2943"/>
    <cellStyle name="链接单元格 4" xfId="2590"/>
    <cellStyle name="链接单元格 4 2" xfId="2944"/>
    <cellStyle name="链接单元格 5" xfId="2592"/>
    <cellStyle name="链接单元格 5 2" xfId="2945"/>
    <cellStyle name="链接单元格 6" xfId="2594"/>
    <cellStyle name="链接单元格 6 2" xfId="2946"/>
    <cellStyle name="链接单元格 7" xfId="2438"/>
    <cellStyle name="链接单元格 7 2" xfId="426"/>
    <cellStyle name="链接单元格 8" xfId="2441"/>
    <cellStyle name="链接单元格 8 2" xfId="2947"/>
    <cellStyle name="链接单元格 9" xfId="2444"/>
    <cellStyle name="链接单元格 9 2" xfId="2948"/>
    <cellStyle name="霓付 [0]_ +Foil &amp; -FOIL &amp; PAPER" xfId="2057"/>
    <cellStyle name="霓付_ +Foil &amp; -FOIL &amp; PAPER" xfId="2949"/>
    <cellStyle name="烹拳 [0]_ +Foil &amp; -FOIL &amp; PAPER" xfId="2950"/>
    <cellStyle name="烹拳_ +Foil &amp; -FOIL &amp; PAPER" xfId="2951"/>
    <cellStyle name="普通_ 白土" xfId="1918"/>
    <cellStyle name="千分位[0]_ 白土" xfId="2952"/>
    <cellStyle name="千分位_ 白土" xfId="2953"/>
    <cellStyle name="千位[0]_ 方正PC" xfId="2955"/>
    <cellStyle name="千位_ 方正PC" xfId="2454"/>
    <cellStyle name="千位分隔" xfId="21" builtinId="3"/>
    <cellStyle name="千位分隔 2" xfId="2956"/>
    <cellStyle name="千位分隔 2 10" xfId="2957"/>
    <cellStyle name="千位分隔 2 2" xfId="2958"/>
    <cellStyle name="千位分隔 2 2 2" xfId="2959"/>
    <cellStyle name="千位分隔 2 2 3" xfId="2960"/>
    <cellStyle name="千位分隔 2 2 4" xfId="2961"/>
    <cellStyle name="千位分隔 2 2 5" xfId="2962"/>
    <cellStyle name="千位分隔 2 2 6" xfId="2963"/>
    <cellStyle name="千位分隔 2 2 7" xfId="2964"/>
    <cellStyle name="千位分隔 2 2 8" xfId="2966"/>
    <cellStyle name="千位分隔 2 2 9" xfId="2887"/>
    <cellStyle name="千位分隔 2 3" xfId="2967"/>
    <cellStyle name="千位分隔 2 4" xfId="1367"/>
    <cellStyle name="千位分隔 2 5" xfId="2622"/>
    <cellStyle name="千位分隔 2 6" xfId="2624"/>
    <cellStyle name="千位分隔 2 7" xfId="2626"/>
    <cellStyle name="千位分隔 2 8" xfId="2628"/>
    <cellStyle name="千位分隔 2 9" xfId="2630"/>
    <cellStyle name="千位分隔 3" xfId="1659"/>
    <cellStyle name="千位分隔 3 2" xfId="2968"/>
    <cellStyle name="千位分隔 3 3" xfId="2969"/>
    <cellStyle name="千位分隔 3 4" xfId="2970"/>
    <cellStyle name="千位分隔 3 5" xfId="2971"/>
    <cellStyle name="千位分隔 3 6" xfId="2972"/>
    <cellStyle name="千位分隔 3 7" xfId="2973"/>
    <cellStyle name="千位分隔 3 8" xfId="2974"/>
    <cellStyle name="千位分隔 3 9" xfId="2841"/>
    <cellStyle name="千位分隔 4" xfId="1661"/>
    <cellStyle name="千位分隔 4 2" xfId="1663"/>
    <cellStyle name="千位分隔 4 3" xfId="1075"/>
    <cellStyle name="千位分隔 4 4" xfId="1665"/>
    <cellStyle name="千位分隔 4 5" xfId="1667"/>
    <cellStyle name="千位分隔 4 6" xfId="1669"/>
    <cellStyle name="千位分隔 4 7" xfId="1671"/>
    <cellStyle name="千位分隔 4 8" xfId="2954"/>
    <cellStyle name="千位分隔 4 9" xfId="2975"/>
    <cellStyle name="千位分隔[0] 2" xfId="964"/>
    <cellStyle name="千位分隔[0] 2 2" xfId="2375"/>
    <cellStyle name="千位分隔[0] 2 3" xfId="2378"/>
    <cellStyle name="千位分隔[0] 2 4" xfId="2381"/>
    <cellStyle name="千位分隔[0] 2 5" xfId="2383"/>
    <cellStyle name="千位分隔[0] 2 6" xfId="2385"/>
    <cellStyle name="千位分隔[0] 2 7" xfId="2387"/>
    <cellStyle name="千位分隔[0] 2 8" xfId="1298"/>
    <cellStyle name="千位分隔[0] 2 9" xfId="2976"/>
    <cellStyle name="钎霖_4岿角利" xfId="1854"/>
    <cellStyle name="强调 1" xfId="285"/>
    <cellStyle name="强调 2" xfId="291"/>
    <cellStyle name="强调 3" xfId="297"/>
    <cellStyle name="强调文字颜色 1 10" xfId="2723"/>
    <cellStyle name="强调文字颜色 1 2" xfId="2140"/>
    <cellStyle name="强调文字颜色 1 3" xfId="2142"/>
    <cellStyle name="强调文字颜色 1 3 2" xfId="2977"/>
    <cellStyle name="强调文字颜色 1 3 3" xfId="2748"/>
    <cellStyle name="强调文字颜色 1 3 4" xfId="2978"/>
    <cellStyle name="强调文字颜色 1 3 5" xfId="2979"/>
    <cellStyle name="强调文字颜色 1 3 6" xfId="2980"/>
    <cellStyle name="强调文字颜色 1 3 7" xfId="2981"/>
    <cellStyle name="强调文字颜色 1 4" xfId="2144"/>
    <cellStyle name="强调文字颜色 1 4 2" xfId="2982"/>
    <cellStyle name="强调文字颜色 1 5" xfId="2146"/>
    <cellStyle name="强调文字颜色 1 5 2" xfId="2984"/>
    <cellStyle name="强调文字颜色 1 6" xfId="2148"/>
    <cellStyle name="强调文字颜色 1 6 2" xfId="2985"/>
    <cellStyle name="强调文字颜色 1 7" xfId="2986"/>
    <cellStyle name="强调文字颜色 1 7 2" xfId="850"/>
    <cellStyle name="强调文字颜色 1 8" xfId="2987"/>
    <cellStyle name="强调文字颜色 1 8 2" xfId="331"/>
    <cellStyle name="强调文字颜色 1 9" xfId="2988"/>
    <cellStyle name="强调文字颜色 1 9 2" xfId="2989"/>
    <cellStyle name="强调文字颜色 2 10" xfId="1178"/>
    <cellStyle name="强调文字颜色 2 2" xfId="2990"/>
    <cellStyle name="强调文字颜色 2 3" xfId="2991"/>
    <cellStyle name="强调文字颜色 2 3 2" xfId="3"/>
    <cellStyle name="强调文字颜色 2 3 3" xfId="2009"/>
    <cellStyle name="强调文字颜色 2 3 4" xfId="2011"/>
    <cellStyle name="强调文字颜色 2 3 5" xfId="2013"/>
    <cellStyle name="强调文字颜色 2 3 6" xfId="2015"/>
    <cellStyle name="强调文字颜色 2 3 7" xfId="2017"/>
    <cellStyle name="强调文字颜色 2 4" xfId="2992"/>
    <cellStyle name="强调文字颜色 2 4 2" xfId="906"/>
    <cellStyle name="强调文字颜色 2 5" xfId="2993"/>
    <cellStyle name="强调文字颜色 2 5 2" xfId="2994"/>
    <cellStyle name="强调文字颜色 2 6" xfId="2995"/>
    <cellStyle name="强调文字颜色 2 6 2" xfId="931"/>
    <cellStyle name="强调文字颜色 2 7" xfId="2996"/>
    <cellStyle name="强调文字颜色 2 7 2" xfId="2176"/>
    <cellStyle name="强调文字颜色 2 8" xfId="2997"/>
    <cellStyle name="强调文字颜色 2 8 2" xfId="362"/>
    <cellStyle name="强调文字颜色 2 9" xfId="2998"/>
    <cellStyle name="强调文字颜色 2 9 2" xfId="490"/>
    <cellStyle name="强调文字颜色 3 10" xfId="2999"/>
    <cellStyle name="强调文字颜色 3 2" xfId="3000"/>
    <cellStyle name="强调文字颜色 3 3" xfId="2308"/>
    <cellStyle name="强调文字颜色 3 3 2" xfId="3001"/>
    <cellStyle name="强调文字颜色 3 3 3" xfId="3002"/>
    <cellStyle name="强调文字颜色 3 3 4" xfId="3003"/>
    <cellStyle name="强调文字颜色 3 3 5" xfId="3004"/>
    <cellStyle name="强调文字颜色 3 3 6" xfId="3005"/>
    <cellStyle name="强调文字颜色 3 3 7" xfId="3006"/>
    <cellStyle name="强调文字颜色 3 4" xfId="2310"/>
    <cellStyle name="强调文字颜色 3 4 2" xfId="1865"/>
    <cellStyle name="强调文字颜色 3 5" xfId="2127"/>
    <cellStyle name="强调文字颜色 3 5 2" xfId="956"/>
    <cellStyle name="强调文字颜色 3 6" xfId="2312"/>
    <cellStyle name="强调文字颜色 3 6 2" xfId="2584"/>
    <cellStyle name="强调文字颜色 3 7" xfId="2314"/>
    <cellStyle name="强调文字颜色 3 7 2" xfId="3007"/>
    <cellStyle name="强调文字颜色 3 8" xfId="2316"/>
    <cellStyle name="强调文字颜色 3 8 2" xfId="388"/>
    <cellStyle name="强调文字颜色 3 9" xfId="2318"/>
    <cellStyle name="强调文字颜色 3 9 2" xfId="3008"/>
    <cellStyle name="强调文字颜色 4 10" xfId="2965"/>
    <cellStyle name="强调文字颜色 4 2" xfId="745"/>
    <cellStyle name="强调文字颜色 4 3" xfId="751"/>
    <cellStyle name="强调文字颜色 4 3 2" xfId="542"/>
    <cellStyle name="强调文字颜色 4 3 3" xfId="545"/>
    <cellStyle name="强调文字颜色 4 3 4" xfId="548"/>
    <cellStyle name="强调文字颜色 4 3 5" xfId="552"/>
    <cellStyle name="强调文字颜色 4 3 6" xfId="753"/>
    <cellStyle name="强调文字颜色 4 3 7" xfId="755"/>
    <cellStyle name="强调文字颜色 4 4" xfId="3009"/>
    <cellStyle name="强调文字颜色 4 4 2" xfId="3010"/>
    <cellStyle name="强调文字颜色 4 5" xfId="3011"/>
    <cellStyle name="强调文字颜色 4 5 2" xfId="2728"/>
    <cellStyle name="强调文字颜色 4 6" xfId="3012"/>
    <cellStyle name="强调文字颜色 4 6 2" xfId="1476"/>
    <cellStyle name="强调文字颜色 4 7" xfId="3013"/>
    <cellStyle name="强调文字颜色 4 7 2" xfId="3014"/>
    <cellStyle name="强调文字颜色 4 8" xfId="3016"/>
    <cellStyle name="强调文字颜色 4 8 2" xfId="408"/>
    <cellStyle name="强调文字颜色 4 9" xfId="3017"/>
    <cellStyle name="强调文字颜色 4 9 2" xfId="3018"/>
    <cellStyle name="强调文字颜色 5 10" xfId="3019"/>
    <cellStyle name="强调文字颜色 5 2" xfId="3020"/>
    <cellStyle name="强调文字颜色 5 3" xfId="3021"/>
    <cellStyle name="强调文字颜色 5 3 2" xfId="3022"/>
    <cellStyle name="强调文字颜色 5 3 3" xfId="3023"/>
    <cellStyle name="强调文字颜色 5 3 4" xfId="2598"/>
    <cellStyle name="强调文字颜色 5 3 5" xfId="3025"/>
    <cellStyle name="强调文字颜色 5 3 6" xfId="3026"/>
    <cellStyle name="强调文字颜色 5 3 7" xfId="1869"/>
    <cellStyle name="强调文字颜色 5 4" xfId="3027"/>
    <cellStyle name="强调文字颜色 5 4 2" xfId="3028"/>
    <cellStyle name="强调文字颜色 5 5" xfId="3029"/>
    <cellStyle name="强调文字颜色 5 5 2" xfId="967"/>
    <cellStyle name="强调文字颜色 5 6" xfId="3030"/>
    <cellStyle name="强调文字颜色 5 6 2" xfId="2481"/>
    <cellStyle name="强调文字颜色 5 7" xfId="3031"/>
    <cellStyle name="强调文字颜色 5 7 2" xfId="3032"/>
    <cellStyle name="强调文字颜色 5 8" xfId="3033"/>
    <cellStyle name="强调文字颜色 5 8 2" xfId="43"/>
    <cellStyle name="强调文字颜色 5 9" xfId="3034"/>
    <cellStyle name="强调文字颜色 5 9 2" xfId="3035"/>
    <cellStyle name="强调文字颜色 6 10" xfId="3036"/>
    <cellStyle name="强调文字颜色 6 2" xfId="2717"/>
    <cellStyle name="强调文字颜色 6 3" xfId="3037"/>
    <cellStyle name="强调文字颜色 6 3 2" xfId="3038"/>
    <cellStyle name="强调文字颜色 6 3 3" xfId="3039"/>
    <cellStyle name="强调文字颜色 6 3 4" xfId="3040"/>
    <cellStyle name="强调文字颜色 6 3 5" xfId="3041"/>
    <cellStyle name="强调文字颜色 6 3 6" xfId="3042"/>
    <cellStyle name="强调文字颜色 6 3 7" xfId="3043"/>
    <cellStyle name="强调文字颜色 6 4" xfId="2652"/>
    <cellStyle name="强调文字颜色 6 4 2" xfId="1004"/>
    <cellStyle name="强调文字颜色 6 5" xfId="3044"/>
    <cellStyle name="强调文字颜色 6 5 2" xfId="1239"/>
    <cellStyle name="强调文字颜色 6 6" xfId="3045"/>
    <cellStyle name="强调文字颜色 6 6 2" xfId="3046"/>
    <cellStyle name="强调文字颜色 6 7" xfId="3047"/>
    <cellStyle name="强调文字颜色 6 7 2" xfId="1174"/>
    <cellStyle name="强调文字颜色 6 8" xfId="2055"/>
    <cellStyle name="强调文字颜色 6 8 2" xfId="452"/>
    <cellStyle name="强调文字颜色 6 9" xfId="3048"/>
    <cellStyle name="强调文字颜色 6 9 2" xfId="3049"/>
    <cellStyle name="日期" xfId="877"/>
    <cellStyle name="商品名称" xfId="3050"/>
    <cellStyle name="适中 10" xfId="3051"/>
    <cellStyle name="适中 2" xfId="3052"/>
    <cellStyle name="适中 3" xfId="3053"/>
    <cellStyle name="适中 3 2" xfId="1533"/>
    <cellStyle name="适中 3 3" xfId="3054"/>
    <cellStyle name="适中 3 4" xfId="401"/>
    <cellStyle name="适中 3 5" xfId="3055"/>
    <cellStyle name="适中 3 6" xfId="3056"/>
    <cellStyle name="适中 3 7" xfId="3057"/>
    <cellStyle name="适中 4" xfId="3058"/>
    <cellStyle name="适中 4 2" xfId="1550"/>
    <cellStyle name="适中 5" xfId="3059"/>
    <cellStyle name="适中 5 2" xfId="3060"/>
    <cellStyle name="适中 6" xfId="1949"/>
    <cellStyle name="适中 6 2" xfId="3061"/>
    <cellStyle name="适中 7" xfId="1951"/>
    <cellStyle name="适中 7 2" xfId="3062"/>
    <cellStyle name="适中 8" xfId="1953"/>
    <cellStyle name="适中 8 2" xfId="98"/>
    <cellStyle name="适中 9" xfId="1955"/>
    <cellStyle name="适中 9 2" xfId="3063"/>
    <cellStyle name="输出 10" xfId="2123"/>
    <cellStyle name="输出 2" xfId="3064"/>
    <cellStyle name="输出 3" xfId="3065"/>
    <cellStyle name="输出 3 2" xfId="1342"/>
    <cellStyle name="输出 3 3" xfId="1345"/>
    <cellStyle name="输出 3 4" xfId="1348"/>
    <cellStyle name="输出 3 5" xfId="3066"/>
    <cellStyle name="输出 3 6" xfId="3067"/>
    <cellStyle name="输出 3 7" xfId="3068"/>
    <cellStyle name="输出 4" xfId="2983"/>
    <cellStyle name="输出 4 2" xfId="1358"/>
    <cellStyle name="输出 5" xfId="3069"/>
    <cellStyle name="输出 5 2" xfId="3070"/>
    <cellStyle name="输出 6" xfId="3071"/>
    <cellStyle name="输出 6 2" xfId="3072"/>
    <cellStyle name="输出 7" xfId="3073"/>
    <cellStyle name="输出 7 2" xfId="3024"/>
    <cellStyle name="输出 8" xfId="1493"/>
    <cellStyle name="输出 8 2" xfId="1247"/>
    <cellStyle name="输出 9" xfId="1495"/>
    <cellStyle name="输出 9 2" xfId="974"/>
    <cellStyle name="输入 10" xfId="3015"/>
    <cellStyle name="输入 2" xfId="2369"/>
    <cellStyle name="输入 3" xfId="2389"/>
    <cellStyle name="输入 3 2" xfId="3074"/>
    <cellStyle name="输入 3 3" xfId="3075"/>
    <cellStyle name="输入 3 4" xfId="2276"/>
    <cellStyle name="输入 3 5" xfId="3076"/>
    <cellStyle name="输入 3 6" xfId="3077"/>
    <cellStyle name="输入 3 7" xfId="3078"/>
    <cellStyle name="输入 4" xfId="3079"/>
    <cellStyle name="输入 4 2" xfId="3080"/>
    <cellStyle name="输入 5" xfId="3081"/>
    <cellStyle name="输入 5 2" xfId="2079"/>
    <cellStyle name="输入 6" xfId="3082"/>
    <cellStyle name="输入 6 2" xfId="3083"/>
    <cellStyle name="输入 7" xfId="3084"/>
    <cellStyle name="输入 7 2" xfId="765"/>
    <cellStyle name="输入 8" xfId="1878"/>
    <cellStyle name="输入 8 2" xfId="1880"/>
    <cellStyle name="输入 9" xfId="3085"/>
    <cellStyle name="输入 9 2" xfId="3086"/>
    <cellStyle name="数量" xfId="3087"/>
    <cellStyle name="数字" xfId="3088"/>
    <cellStyle name="数字 2" xfId="3089"/>
    <cellStyle name="数字 3" xfId="3090"/>
    <cellStyle name="数字 4" xfId="3091"/>
    <cellStyle name="数字 5" xfId="3092"/>
    <cellStyle name="数字 6" xfId="3093"/>
    <cellStyle name="数字 7" xfId="3094"/>
    <cellStyle name="数字 8" xfId="3095"/>
    <cellStyle name="数字 9" xfId="3096"/>
    <cellStyle name="未定义" xfId="3097"/>
    <cellStyle name="小数" xfId="3098"/>
    <cellStyle name="小数 2" xfId="2916"/>
    <cellStyle name="小数 3" xfId="1620"/>
    <cellStyle name="小数 4" xfId="2920"/>
    <cellStyle name="小数 5" xfId="2505"/>
    <cellStyle name="小数 6" xfId="2003"/>
    <cellStyle name="小数 7" xfId="2508"/>
    <cellStyle name="小数 8" xfId="2511"/>
    <cellStyle name="小数 9" xfId="2513"/>
    <cellStyle name="样式 1" xfId="193"/>
    <cellStyle name="昗弨_Pacific Region P&amp;L" xfId="806"/>
    <cellStyle name="寘嬫愗傝 [0.00]_Region Orders (2)" xfId="3099"/>
    <cellStyle name="寘嬫愗傝_Region Orders (2)" xfId="3100"/>
    <cellStyle name="注释 10" xfId="1357"/>
    <cellStyle name="注释 2" xfId="414"/>
    <cellStyle name="注释 2 2" xfId="457"/>
    <cellStyle name="注释 2 3" xfId="61"/>
    <cellStyle name="注释 2 4" xfId="462"/>
    <cellStyle name="注释 2 5" xfId="468"/>
    <cellStyle name="注释 2 6" xfId="3101"/>
    <cellStyle name="注释 2 7" xfId="3102"/>
    <cellStyle name="注释 2 8" xfId="3103"/>
    <cellStyle name="注释 2 9" xfId="3104"/>
    <cellStyle name="注释 3" xfId="764"/>
    <cellStyle name="注释 3 2" xfId="690"/>
    <cellStyle name="注释 3 3" xfId="693"/>
    <cellStyle name="注释 3 4" xfId="697"/>
    <cellStyle name="注释 3 5" xfId="701"/>
    <cellStyle name="注释 3 6" xfId="3105"/>
    <cellStyle name="注释 3 7" xfId="2236"/>
    <cellStyle name="注释 4" xfId="767"/>
    <cellStyle name="注释 4 2" xfId="819"/>
    <cellStyle name="注释 5" xfId="36"/>
    <cellStyle name="注释 5 2" xfId="3106"/>
    <cellStyle name="注释 6" xfId="769"/>
    <cellStyle name="注释 6 2" xfId="2569"/>
    <cellStyle name="注释 7" xfId="571"/>
    <cellStyle name="注释 7 2" xfId="3107"/>
    <cellStyle name="注释 8" xfId="575"/>
    <cellStyle name="注释 8 2" xfId="3108"/>
    <cellStyle name="注释 9" xfId="578"/>
    <cellStyle name="注释 9 2" xfId="1313"/>
    <cellStyle name="콤마 [0]_BOILER-CO1" xfId="1347"/>
    <cellStyle name="콤마_BOILER-CO1" xfId="3109"/>
    <cellStyle name="통화 [0]_BOILER-CO1" xfId="3110"/>
    <cellStyle name="통화_BOILER-CO1" xfId="1274"/>
    <cellStyle name="표준_0N-HANDLING " xfId="181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externalLink" Target="externalLinks/externalLink8.xml"/><Relationship Id="rId84" Type="http://schemas.openxmlformats.org/officeDocument/2006/relationships/externalLink" Target="externalLinks/externalLink16.xml"/><Relationship Id="rId89" Type="http://schemas.openxmlformats.org/officeDocument/2006/relationships/externalLink" Target="externalLinks/externalLink21.xml"/><Relationship Id="rId97" Type="http://schemas.openxmlformats.org/officeDocument/2006/relationships/externalLink" Target="externalLinks/externalLink29.xml"/><Relationship Id="rId7" Type="http://schemas.openxmlformats.org/officeDocument/2006/relationships/worksheet" Target="worksheets/sheet7.xml"/><Relationship Id="rId71" Type="http://schemas.openxmlformats.org/officeDocument/2006/relationships/externalLink" Target="externalLinks/externalLink3.xml"/><Relationship Id="rId92" Type="http://schemas.openxmlformats.org/officeDocument/2006/relationships/externalLink" Target="externalLinks/externalLink24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externalLink" Target="externalLinks/externalLink6.xml"/><Relationship Id="rId79" Type="http://schemas.openxmlformats.org/officeDocument/2006/relationships/externalLink" Target="externalLinks/externalLink11.xml"/><Relationship Id="rId87" Type="http://schemas.openxmlformats.org/officeDocument/2006/relationships/externalLink" Target="externalLinks/externalLink19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externalLink" Target="externalLinks/externalLink14.xml"/><Relationship Id="rId90" Type="http://schemas.openxmlformats.org/officeDocument/2006/relationships/externalLink" Target="externalLinks/externalLink22.xml"/><Relationship Id="rId95" Type="http://schemas.openxmlformats.org/officeDocument/2006/relationships/externalLink" Target="externalLinks/externalLink27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externalLink" Target="externalLinks/externalLink1.xml"/><Relationship Id="rId77" Type="http://schemas.openxmlformats.org/officeDocument/2006/relationships/externalLink" Target="externalLinks/externalLink9.xml"/><Relationship Id="rId100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externalLink" Target="externalLinks/externalLink4.xml"/><Relationship Id="rId80" Type="http://schemas.openxmlformats.org/officeDocument/2006/relationships/externalLink" Target="externalLinks/externalLink12.xml"/><Relationship Id="rId85" Type="http://schemas.openxmlformats.org/officeDocument/2006/relationships/externalLink" Target="externalLinks/externalLink17.xml"/><Relationship Id="rId93" Type="http://schemas.openxmlformats.org/officeDocument/2006/relationships/externalLink" Target="externalLinks/externalLink25.xml"/><Relationship Id="rId98" Type="http://schemas.openxmlformats.org/officeDocument/2006/relationships/theme" Target="theme/theme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externalLink" Target="externalLinks/externalLink2.xml"/><Relationship Id="rId75" Type="http://schemas.openxmlformats.org/officeDocument/2006/relationships/externalLink" Target="externalLinks/externalLink7.xml"/><Relationship Id="rId83" Type="http://schemas.openxmlformats.org/officeDocument/2006/relationships/externalLink" Target="externalLinks/externalLink15.xml"/><Relationship Id="rId88" Type="http://schemas.openxmlformats.org/officeDocument/2006/relationships/externalLink" Target="externalLinks/externalLink20.xml"/><Relationship Id="rId91" Type="http://schemas.openxmlformats.org/officeDocument/2006/relationships/externalLink" Target="externalLinks/externalLink23.xml"/><Relationship Id="rId96" Type="http://schemas.openxmlformats.org/officeDocument/2006/relationships/externalLink" Target="externalLinks/externalLink28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externalLink" Target="externalLinks/externalLink5.xml"/><Relationship Id="rId78" Type="http://schemas.openxmlformats.org/officeDocument/2006/relationships/externalLink" Target="externalLinks/externalLink10.xml"/><Relationship Id="rId81" Type="http://schemas.openxmlformats.org/officeDocument/2006/relationships/externalLink" Target="externalLinks/externalLink13.xml"/><Relationship Id="rId86" Type="http://schemas.openxmlformats.org/officeDocument/2006/relationships/externalLink" Target="externalLinks/externalLink18.xml"/><Relationship Id="rId94" Type="http://schemas.openxmlformats.org/officeDocument/2006/relationships/externalLink" Target="externalLinks/externalLink26.xml"/><Relationship Id="rId99" Type="http://schemas.openxmlformats.org/officeDocument/2006/relationships/styles" Target="styles.xml"/><Relationship Id="rId10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Spares\FILES\SMCTS2\SMCTSSP2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5&#24180;\&#31532;&#20108;&#26041;&#26696;\&#22522;&#30784;&#25968;&#25454;\2003&#24180;&#20113;&#21335;&#30465;&#20998;&#21439;GDP&#21450;&#20998;&#20135;&#19994;&#25968;&#25454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5&#24180;\&#31532;&#20108;&#26041;&#26696;\&#22522;&#30784;&#25968;&#25454;\2003&#24180;&#20998;&#22320;&#21439;&#36130;&#25919;&#19968;&#33324;&#39044;&#31639;&#25910;&#20837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5&#24180;\&#31532;&#20108;&#26041;&#26696;\&#22522;&#30784;&#25968;&#25454;\2003&#24180;&#20113;&#21335;&#30465;&#20998;&#22320;&#21439;&#24037;&#21830;&#31246;&#25910;&#20915;&#31639;&#25968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4&#24180;\2004&#24180;&#19968;&#33324;&#24615;&#36716;&#31227;&#25903;&#20184;&#27979;&#31639;\&#22522;&#30784;&#25968;&#25454;\2004&#24180;&#20113;&#21335;&#30465;&#20998;&#21439;&#34892;&#25919;&#21644;&#20844;&#26816;&#27861;&#21496;&#37096;&#38376;&#32534;&#21046;&#25968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ATA%20Folder\2004&#24180;&#19968;&#33324;&#24615;&#36716;&#31227;&#25903;&#20184;\2004&#24180;&#20113;&#21335;&#30465;&#20998;&#21439;&#20844;&#29992;&#26631;&#20934;&#25903;&#20986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56.0.160.17/DOCUME~1/zq/LOCALS~1/Temp/&#25919;&#27861;&#21475;&#24120;&#29992;&#32479;&#35745;&#36164;&#26009;/&#19977;&#23395;&#24230;&#27719;&#24635;/&#39044;&#31639;/2006&#39044;&#31639;&#25253;&#34920;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4&#24180;\2004&#24180;&#19968;&#33324;&#24615;&#36716;&#31227;&#25903;&#20184;&#27979;&#31639;\&#22522;&#30784;&#25968;&#25454;\2003&#24180;&#20113;&#21335;&#30465;&#20998;&#21439;&#20892;&#19994;&#20154;&#21475;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4&#24180;\2004&#24180;&#19968;&#33324;&#24615;&#36716;&#31227;&#25903;&#20184;&#27979;&#31639;\&#22522;&#30784;&#25968;&#25454;\2004&#24180;&#20113;&#21335;&#30465;&#20998;&#21439;&#20892;&#19994;&#29992;&#22320;&#38754;&#31215;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SERVER\&#39044;&#31639;&#21496;\&#20849;&#20139;&#25968;&#25454;\&#21382;&#24180;&#20915;&#31639;\1996&#24180;\1996&#24180;&#20915;&#31639;&#27719;&#24635;\2021&#28246;&#21271;&#30465;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ATA%20Folder\2004&#24180;&#19968;&#33324;&#24615;&#36716;&#31227;&#25903;&#20184;\2004&#24180;&#20113;&#21335;&#30465;&#20998;&#21439;&#20154;&#21592;&#26631;&#20934;&#25903;&#2098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NGHAI_LF\&#39044;&#31639;&#22788;\BY\YS3\97&#20915;&#31639;&#21306;&#21439;&#26368;&#21518;&#27719;&#24635;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ATA%20Folder\2004&#24180;&#19968;&#33324;&#24615;&#36716;&#31227;&#25903;&#20184;\2004&#24180;&#20113;&#21335;&#30465;&#20998;&#21439;&#20107;&#19994;&#21457;&#23637;&#25903;&#20986;&#65288;&#32463;&#24046;&#24322;&#35843;&#25972;&#65289;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.000\Desktop\&#25105;&#30340;&#20844;&#25991;&#21253;\&#36213;&#21746;&#36132;&#25991;&#20214;&#22841;\&#25253;&#34920;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4&#24180;\2004&#24180;&#19968;&#33324;&#24615;&#36716;&#31227;&#25903;&#20184;&#27979;&#31639;\&#22522;&#30784;&#25968;&#25454;\&#20065;&#38215;&#21644;&#34892;&#25919;&#26449;&#20010;&#25968;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56.0.160.17/DOCUME~1/zq/LOCALS~1/Temp/&#36130;&#25919;&#20379;&#20859;&#20154;&#21592;&#20449;&#24687;&#34920;/&#25945;&#32946;/&#27896;&#27700;&#22235;&#20013;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5&#24180;\&#31532;&#20108;&#26041;&#26696;\&#22522;&#30784;&#25968;&#25454;\2002&#24180;&#20113;&#21335;&#30465;&#20998;&#21439;&#19968;&#33324;&#39044;&#31639;&#25910;&#20837;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dgetserver\&#39044;&#31639;&#21496;\BY\YS3\97&#20915;&#31639;&#21306;&#21439;&#26368;&#21518;&#27719;&#24635;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4&#24180;\2004&#24180;&#19968;&#33324;&#24615;&#36716;&#31227;&#25903;&#20184;&#27979;&#31639;\&#22522;&#30784;&#25968;&#25454;\2003&#24180;&#20113;&#21335;&#30465;&#20998;&#21439;&#20013;&#23567;&#23398;&#29983;&#20154;&#25968;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4&#24180;\2004&#24180;&#19968;&#33324;&#24615;&#36716;&#31227;&#25903;&#20184;&#27979;&#31639;\&#22522;&#30784;&#25968;&#25454;\2003&#24180;&#20113;&#21335;&#30465;&#20998;&#21439;&#24635;&#20154;&#21475;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&#19987;&#19994;&#25968;&#25454;/&#24037;&#19994;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&#19987;&#19994;&#25968;&#25454;/&#30465;&#26376;&#25253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nts%20and%20Settings\Administrator\&#26700;&#38754;\1106&#26399;&#19987;&#19994;&#31185;&#30446;&#25253;&#21517;&#20449;&#24687;\&#24066;&#20116;&#20013;1106&#26399;&#20013;&#32423;&#22521;&#35757;&#25253;&#21517;&#34920;16&#26085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5&#24180;\&#31532;&#20108;&#26041;&#26696;\2004&#24180;&#20113;&#21335;&#30465;&#20998;&#21439;&#26412;&#32423;&#26631;&#20934;&#25910;&#20837;&#21512;&#35745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124.1.30/cgi-bin/read_attach/application/octet-stream%7f1MKxqC5YTFM=/&#25509;&#25910;&#25991;&#20214;&#30446;&#24405;/&#39044;&#31639;&#32929;212052004-5-13%2016&#65306;33&#65306;36/2004&#24180;&#24120;&#29992;/2004&#26376;&#25253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5&#24180;\&#31532;&#20108;&#26041;&#26696;\&#22522;&#30784;&#25968;&#25454;\2003&#24180;&#20113;&#21335;&#30465;&#20998;&#21439;&#36130;&#25919;&#20840;&#20379;&#20859;&#20154;&#21592;&#22686;&#24133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ATA%20Folder\2004&#24180;&#19968;&#33324;&#24615;&#36716;&#31227;&#25903;&#20184;\2004&#24180;&#20113;&#21335;&#30465;&#20998;&#21439;&#26449;&#32423;&#26631;&#20934;&#25903;&#2098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27575;&#38177;&#29790;\&#21271;&#20140;&#24503;&#21150;\2007&#24180;&#27979;&#31639;&#26041;&#26696;\&#19968;&#22870;\Documents%20and%20Settings\caiqiang\My%20Documents\&#21439;&#20065;&#36130;&#25919;&#22256;&#38590;&#27979;&#31639;&#26041;&#26696;\&#26041;&#26696;&#19977;&#31295;\&#26041;&#26696;&#20108;&#31295;\&#35774;&#22791;\&#21407;&#22987;\814\13%20&#38081;&#36335;&#37197;&#20214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56.0.160.17/DOCUME~1/zq/LOCALS~1/Temp/04&#20307;&#21046;&#31185;/03&#24180;&#32456;&#32467;&#31639;&#21450;&#25968;&#25454;&#20998;&#26512;/2006&#24180;/&#20915;&#31639;&#21450;&#25968;&#25454;&#20998;&#26512;/&#20915;&#31639;&#20998;&#26512;&#36164;&#26009;&#32467;&#26524;/&#21439;&#32423;&#36130;&#25919;&#25253;&#34920;&#38468;&#34920;/01&#26118;&#26126;/01&#26118;&#2612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qpmad2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GDP"/>
    </sheetNames>
    <sheetDataSet>
      <sheetData sheetId="0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一般预算收入"/>
    </sheetNames>
    <sheetDataSet>
      <sheetData sheetId="0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工商税收"/>
    </sheetNames>
    <sheetDataSet>
      <sheetData sheetId="0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行政编制"/>
      <sheetName val="公检法司编制"/>
      <sheetName val="行政和公检法司人数"/>
    </sheetNames>
    <sheetDataSet>
      <sheetData sheetId="0"/>
      <sheetData sheetId="1"/>
      <sheetData sheetId="2"/>
      <sheetData sheetId="3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合计"/>
      <sheetName val="行政"/>
      <sheetName val="公检法司"/>
      <sheetName val="教育"/>
      <sheetName val="其他事业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单位信息1"/>
      <sheetName val="单位信息2"/>
      <sheetName val="非税征收"/>
      <sheetName val="政府采购"/>
      <sheetName val="基本支出预算"/>
      <sheetName val="项目预算"/>
      <sheetName val="成本性预算"/>
      <sheetName val="收支预算总表"/>
      <sheetName val="编码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农业人口"/>
    </sheetNames>
    <sheetDataSet>
      <sheetData sheetId="0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农业用地"/>
    </sheetNames>
    <sheetDataSet>
      <sheetData sheetId="0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C01-1"/>
    </sheetNames>
    <sheetDataSet>
      <sheetData sheetId="0"/>
      <sheetData sheetId="1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人员支出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</sheetNames>
    <sheetDataSet>
      <sheetData sheetId="0"/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事业发展"/>
    </sheetNames>
    <sheetDataSet>
      <sheetData sheetId="0"/>
      <sheetData sheetId="1"/>
    </sheetDataSet>
  </externalBook>
</externalLink>
</file>

<file path=xl/externalLinks/externalLink21.xml><?xml version="1.0" encoding="utf-8"?>
<externalLink xmlns="http://schemas.openxmlformats.org/spreadsheetml/2006/main">
  <externalBook xmlns:r="http://schemas.openxmlformats.org/officeDocument/2006/relationships" r:id="rId1">
    <sheetNames>
      <sheetName val="四月份月报"/>
    </sheetNames>
    <sheetDataSet>
      <sheetData sheetId="0"/>
    </sheetDataSet>
  </externalBook>
</externalLink>
</file>

<file path=xl/externalLinks/externalLink22.xml><?xml version="1.0" encoding="utf-8"?>
<externalLink xmlns="http://schemas.openxmlformats.org/spreadsheetml/2006/main">
  <externalBook xmlns:r="http://schemas.openxmlformats.org/officeDocument/2006/relationships" r:id="rId1">
    <sheetNames>
      <sheetName val="行政区划"/>
    </sheetNames>
    <sheetDataSet>
      <sheetData sheetId="0"/>
    </sheetDataSet>
  </externalBook>
</externalLink>
</file>

<file path=xl/externalLinks/externalLink23.xml><?xml version="1.0" encoding="utf-8"?>
<externalLink xmlns="http://schemas.openxmlformats.org/spreadsheetml/2006/main">
  <externalBook xmlns:r="http://schemas.openxmlformats.org/officeDocument/2006/relationships" r:id="rId1">
    <sheetNames>
      <sheetName val="单位信息录入表"/>
      <sheetName val="人员信息录入表"/>
      <sheetName val="基础编码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4.xml><?xml version="1.0" encoding="utf-8"?>
<externalLink xmlns="http://schemas.openxmlformats.org/spreadsheetml/2006/main">
  <externalBook xmlns:r="http://schemas.openxmlformats.org/officeDocument/2006/relationships" r:id="rId1">
    <sheetNames>
      <sheetName val="2002年一般预算收入"/>
    </sheetNames>
    <sheetDataSet>
      <sheetData sheetId="0"/>
    </sheetDataSet>
  </externalBook>
</externalLink>
</file>

<file path=xl/externalLinks/externalLink25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</sheetNames>
    <sheetDataSet>
      <sheetData sheetId="0"/>
    </sheetDataSet>
  </externalBook>
</externalLink>
</file>

<file path=xl/externalLinks/externalLink26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中小学生"/>
    </sheetNames>
    <sheetDataSet>
      <sheetData sheetId="0"/>
      <sheetData sheetId="1"/>
    </sheetDataSet>
  </externalBook>
</externalLink>
</file>

<file path=xl/externalLinks/externalLink27.xml><?xml version="1.0" encoding="utf-8"?>
<externalLink xmlns="http://schemas.openxmlformats.org/spreadsheetml/2006/main">
  <externalBook xmlns:r="http://schemas.openxmlformats.org/officeDocument/2006/relationships" r:id="rId1">
    <sheetNames>
      <sheetName val="总人口"/>
    </sheetNames>
    <sheetDataSet>
      <sheetData sheetId="0"/>
    </sheetDataSet>
  </externalBook>
</externalLink>
</file>

<file path=xl/externalLinks/externalLink28.xml><?xml version="1.0" encoding="utf-8"?>
<externalLink xmlns="http://schemas.openxmlformats.org/spreadsheetml/2006/main">
  <externalBook xmlns:r="http://schemas.openxmlformats.org/officeDocument/2006/relationships" r:id="rId1">
    <sheetNames>
      <sheetName val="工业1"/>
      <sheetName val="工业2"/>
      <sheetName val="工业经济效益"/>
      <sheetName val="分行业工业总产值1"/>
      <sheetName val="分行业工业总产值2"/>
      <sheetName val="主要工业产品产量1"/>
      <sheetName val="主要工业产品产量2 "/>
      <sheetName val="主要工业产品产量3"/>
      <sheetName val="分县2"/>
      <sheetName val="you gai dong分县3"/>
      <sheetName val="you 分县4"/>
      <sheetName val="分县5"/>
      <sheetName val="分县6"/>
      <sheetName val="分县7"/>
      <sheetName val="分县8"/>
      <sheetName val="分县9"/>
      <sheetName val="分县1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9">
          <cell r="B29">
            <v>16417868</v>
          </cell>
        </row>
        <row r="30">
          <cell r="B30">
            <v>751540</v>
          </cell>
        </row>
        <row r="31">
          <cell r="B31">
            <v>3966537</v>
          </cell>
        </row>
        <row r="32">
          <cell r="B32">
            <v>2024150</v>
          </cell>
        </row>
        <row r="33">
          <cell r="B33">
            <v>1375855</v>
          </cell>
        </row>
        <row r="34">
          <cell r="B34">
            <v>1091655</v>
          </cell>
        </row>
        <row r="35">
          <cell r="B35">
            <v>174246</v>
          </cell>
        </row>
        <row r="36">
          <cell r="B36">
            <v>405685</v>
          </cell>
        </row>
        <row r="37">
          <cell r="B37">
            <v>0</v>
          </cell>
        </row>
        <row r="38">
          <cell r="B38">
            <v>1092182</v>
          </cell>
        </row>
        <row r="39">
          <cell r="B39">
            <v>2332963</v>
          </cell>
        </row>
        <row r="40">
          <cell r="B40">
            <v>4915777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29.xml><?xml version="1.0" encoding="utf-8"?>
<externalLink xmlns="http://schemas.openxmlformats.org/spreadsheetml/2006/main">
  <externalBook xmlns:r="http://schemas.openxmlformats.org/officeDocument/2006/relationships" r:id="rId1">
    <sheetNames>
      <sheetName val="综合"/>
      <sheetName val="主要结构指标"/>
      <sheetName val="税收总收入"/>
      <sheetName val="服务业增加值"/>
      <sheetName val="规模以上服务业企业营业收入"/>
      <sheetName val="工业"/>
      <sheetName val="工业主要行业增加值"/>
      <sheetName val="六大高耗能行业增加值及用电量"/>
      <sheetName val="产品产量1"/>
      <sheetName val="产品产量2"/>
      <sheetName val="工业经济"/>
      <sheetName val="工业效益"/>
      <sheetName val="能源消费量"/>
      <sheetName val="能源产品产量"/>
      <sheetName val="运输邮电"/>
      <sheetName val="固定资产投资"/>
      <sheetName val="房地产开发投资"/>
      <sheetName val="建筑业总产值"/>
      <sheetName val="国内贸易"/>
      <sheetName val="对外经济"/>
      <sheetName val="重点商品进出口"/>
      <sheetName val="财政"/>
      <sheetName val="金融"/>
      <sheetName val="人民生活"/>
      <sheetName val="市场物价"/>
      <sheetName val="各市GDP"/>
      <sheetName val="各市工业"/>
      <sheetName val="各市工业企业利润总额"/>
      <sheetName val="各市能源"/>
      <sheetName val="各市工业用电量"/>
      <sheetName val="各市投资"/>
      <sheetName val="各市房地产投资"/>
      <sheetName val="各市消费"/>
      <sheetName val="各市进出口"/>
      <sheetName val="各市出口"/>
      <sheetName val="各市进口"/>
      <sheetName val="各市外资"/>
      <sheetName val="各市财政收入"/>
      <sheetName val="各市财政支出"/>
      <sheetName val="各市税收总收入"/>
      <sheetName val="金融机构（含外资）本外币存款余款"/>
      <sheetName val="金融机构（含外资）本外币贷款余款"/>
      <sheetName val="各市消价"/>
      <sheetName val="大湾区主要指标"/>
      <sheetName val="省际比较"/>
      <sheetName val="省际比较2"/>
      <sheetName val="省际比较3"/>
      <sheetName val="省际比较4"/>
      <sheetName val="GDP序列"/>
      <sheetName val="工业序列"/>
      <sheetName val="投资序列"/>
      <sheetName val="消费序列"/>
      <sheetName val="进出口序列"/>
      <sheetName val="出口序列"/>
      <sheetName val="进口序列"/>
      <sheetName val="全社会用电序列"/>
      <sheetName val="工业用电序列"/>
      <sheetName val="地方预算收入序列"/>
      <sheetName val="预算支出序列"/>
      <sheetName val="本外币存贷款"/>
      <sheetName val="客货运量"/>
      <sheetName val="利用外资序列"/>
      <sheetName val="价格序列"/>
      <sheetName val="工业生产者价格"/>
    </sheetNames>
    <sheetDataSet>
      <sheetData sheetId="0"/>
      <sheetData sheetId="1"/>
      <sheetData sheetId="2">
        <row r="7">
          <cell r="B7">
            <v>5608.1596</v>
          </cell>
          <cell r="C7">
            <v>5.7716202977808804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13">
          <cell r="C13">
            <v>-9.4324999999999992</v>
          </cell>
        </row>
      </sheetData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"/>
      <sheetName val="00000ppy"/>
    </sheetNames>
    <sheetDataSet>
      <sheetData sheetId="0"/>
      <sheetData sheetId="1"/>
      <sheetData sheetId="2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本年收入合计"/>
      <sheetName val="01.增值税"/>
      <sheetName val="03.营业税"/>
      <sheetName val="04.企业所得税"/>
      <sheetName val="07.个人所得税"/>
      <sheetName val="08.资源税"/>
      <sheetName val="09.投调税"/>
      <sheetName val="10.城建税"/>
      <sheetName val="11.房产税"/>
      <sheetName val="12.印花税"/>
      <sheetName val="13.城镇土地使用税"/>
      <sheetName val="14.土地增值税"/>
      <sheetName val="15.车船使用和牌照税"/>
      <sheetName val="25.屠宰税"/>
      <sheetName val="30.农业税"/>
      <sheetName val="31.烟叶农特税"/>
      <sheetName val="33.耕地占用税"/>
      <sheetName val="34.契税"/>
      <sheetName val="40.经营收益"/>
      <sheetName val="41.亏损补贴"/>
      <sheetName val="42.行政性收费"/>
      <sheetName val="43.罚没收入"/>
      <sheetName val="70.专项收入"/>
      <sheetName val="71.其他收入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月报"/>
      <sheetName val="1月报"/>
      <sheetName val="2月报"/>
      <sheetName val="3月报"/>
      <sheetName val="4月报"/>
      <sheetName val="5月报"/>
      <sheetName val="6月报"/>
      <sheetName val="7月报"/>
      <sheetName val="8月报"/>
      <sheetName val="9月报"/>
      <sheetName val="10月报"/>
      <sheetName val="11月报"/>
      <sheetName val="12月报"/>
      <sheetName val="汇总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财政供养人员增幅"/>
    </sheetNames>
    <sheetDataSet>
      <sheetData sheetId="0"/>
      <sheetData sheetId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村级支出"/>
    </sheetNames>
    <sheetDataSet>
      <sheetData sheetId="0"/>
      <sheetData sheetId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  <sheetName val="Sheet3"/>
      <sheetName val="Sheet4"/>
      <sheetName val="laroux"/>
      <sheetName val="评估结果汇总表"/>
      <sheetName val="评估分类汇总表"/>
      <sheetName val="流动资产汇总表"/>
      <sheetName val="4货币现金"/>
      <sheetName val="5银行存款"/>
      <sheetName val="11应收帐款"/>
      <sheetName val="14预付帐"/>
      <sheetName val="16其他应收"/>
      <sheetName val="存货汇总"/>
      <sheetName val="23产成品 "/>
      <sheetName val="长期投资汇总表"/>
      <sheetName val="其他投资"/>
      <sheetName val="固定资产汇总表"/>
      <sheetName val="38房屋建筑"/>
      <sheetName val="41机器设备"/>
      <sheetName val="42车辆"/>
      <sheetName val="流动负债汇总表"/>
      <sheetName val="58应付帐"/>
      <sheetName val="61其他应付"/>
      <sheetName val="62应付工资"/>
      <sheetName val="63应付福利费"/>
      <sheetName val="64应交税金"/>
      <sheetName val="应付利润"/>
      <sheetName val="其他应交款"/>
      <sheetName val="长期负债汇总表"/>
      <sheetName val="在建"/>
      <sheetName val=""/>
      <sheetName val="13 铁路配件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A01"/>
      <sheetName val="A02"/>
      <sheetName val="A03"/>
      <sheetName val="A04"/>
      <sheetName val="A05"/>
      <sheetName val="A06"/>
      <sheetName val="A0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zoomScaleSheetLayoutView="68" workbookViewId="0"/>
  </sheetViews>
  <sheetFormatPr defaultColWidth="9" defaultRowHeight="14.25"/>
  <sheetData/>
  <phoneticPr fontId="10" type="noConversion"/>
  <pageMargins left="0.75" right="0.75" top="1" bottom="1" header="0.5" footer="0.5"/>
  <headerFooter scaleWithDoc="0"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 enableFormatConditionsCalculation="0">
    <tabColor theme="5"/>
  </sheetPr>
  <dimension ref="A1:H256"/>
  <sheetViews>
    <sheetView zoomScale="90" workbookViewId="0">
      <selection activeCell="B3" sqref="B3:D3"/>
    </sheetView>
  </sheetViews>
  <sheetFormatPr defaultRowHeight="14.25"/>
  <cols>
    <col min="1" max="1" width="28.625" style="520" customWidth="1"/>
    <col min="2" max="2" width="12" style="520" customWidth="1"/>
    <col min="3" max="3" width="10.625" style="520" customWidth="1"/>
    <col min="4" max="4" width="12.125" style="530" customWidth="1"/>
    <col min="5" max="5" width="11.5" style="520" customWidth="1"/>
    <col min="6" max="6" width="9" style="520"/>
    <col min="7" max="7" width="10.5" style="520" customWidth="1"/>
    <col min="8" max="8" width="9.75" style="520" bestFit="1" customWidth="1"/>
    <col min="9" max="9" width="11.75" style="520" bestFit="1" customWidth="1"/>
    <col min="10" max="16384" width="9" style="520"/>
  </cols>
  <sheetData>
    <row r="1" spans="1:8" customFormat="1" ht="28.5" customHeight="1">
      <c r="A1" s="734" t="s">
        <v>113</v>
      </c>
      <c r="B1" s="735"/>
      <c r="C1" s="735"/>
      <c r="D1" s="736"/>
      <c r="E1" s="736"/>
    </row>
    <row r="2" spans="1:8" customFormat="1" ht="19.5" customHeight="1">
      <c r="A2" s="570"/>
      <c r="B2" s="570"/>
      <c r="C2" s="570"/>
      <c r="D2" s="738" t="s">
        <v>47</v>
      </c>
      <c r="E2" s="738"/>
    </row>
    <row r="3" spans="1:8" customFormat="1" ht="35.25" customHeight="1">
      <c r="A3" s="571" t="s">
        <v>48</v>
      </c>
      <c r="B3" s="762" t="s">
        <v>90</v>
      </c>
      <c r="C3" s="763" t="s">
        <v>91</v>
      </c>
      <c r="D3" s="715" t="s">
        <v>49</v>
      </c>
      <c r="E3" s="533" t="s">
        <v>91</v>
      </c>
      <c r="H3" s="553"/>
    </row>
    <row r="4" spans="1:8" customFormat="1" ht="24.95" customHeight="1">
      <c r="A4" s="481" t="s">
        <v>114</v>
      </c>
      <c r="B4" s="596">
        <v>66.409300000000002</v>
      </c>
      <c r="C4" s="551">
        <v>3.4</v>
      </c>
      <c r="D4" s="596">
        <v>529.34140000000002</v>
      </c>
      <c r="E4" s="597">
        <v>-2.4</v>
      </c>
      <c r="H4" s="598"/>
    </row>
    <row r="5" spans="1:8" customFormat="1" ht="24.95" customHeight="1">
      <c r="A5" s="481" t="s">
        <v>93</v>
      </c>
      <c r="B5" s="97">
        <v>23.2925</v>
      </c>
      <c r="C5" s="554">
        <v>3.8</v>
      </c>
      <c r="D5" s="97">
        <v>157.9736</v>
      </c>
      <c r="E5" s="170">
        <v>3.4</v>
      </c>
      <c r="H5" s="598"/>
    </row>
    <row r="6" spans="1:8" customFormat="1" ht="24.95" customHeight="1">
      <c r="A6" s="489" t="s">
        <v>94</v>
      </c>
      <c r="B6" s="97">
        <v>43.116799999999998</v>
      </c>
      <c r="C6" s="554">
        <v>3.2</v>
      </c>
      <c r="D6" s="97">
        <v>371.36790000000002</v>
      </c>
      <c r="E6" s="170">
        <v>-4.5999999999999996</v>
      </c>
      <c r="H6" s="598"/>
    </row>
    <row r="7" spans="1:8" customFormat="1" ht="24.95" customHeight="1">
      <c r="A7" s="489" t="s">
        <v>95</v>
      </c>
      <c r="B7" s="97">
        <v>0.5323</v>
      </c>
      <c r="C7" s="554">
        <v>-2.8</v>
      </c>
      <c r="D7" s="97">
        <v>4.2630999999999997</v>
      </c>
      <c r="E7" s="170">
        <v>-6.4</v>
      </c>
      <c r="H7" s="598"/>
    </row>
    <row r="8" spans="1:8" customFormat="1" ht="24.95" customHeight="1">
      <c r="A8" s="489" t="s">
        <v>96</v>
      </c>
      <c r="B8" s="97">
        <v>1.2E-2</v>
      </c>
      <c r="C8" s="554">
        <v>-20.7</v>
      </c>
      <c r="D8" s="97">
        <v>0.1113</v>
      </c>
      <c r="E8" s="170">
        <v>-49.9</v>
      </c>
      <c r="H8" s="598"/>
    </row>
    <row r="9" spans="1:8" customFormat="1" ht="24.95" customHeight="1">
      <c r="A9" s="489" t="s">
        <v>97</v>
      </c>
      <c r="B9" s="97">
        <v>0</v>
      </c>
      <c r="C9" s="555">
        <v>0</v>
      </c>
      <c r="D9" s="97">
        <v>0</v>
      </c>
      <c r="E9" s="170">
        <v>0</v>
      </c>
      <c r="H9" s="598"/>
    </row>
    <row r="10" spans="1:8" customFormat="1" ht="24.95" customHeight="1">
      <c r="A10" s="489" t="s">
        <v>98</v>
      </c>
      <c r="B10" s="97">
        <v>39.209200000000003</v>
      </c>
      <c r="C10" s="555">
        <v>6.9</v>
      </c>
      <c r="D10" s="97">
        <v>282.3974</v>
      </c>
      <c r="E10" s="170">
        <v>2.6</v>
      </c>
      <c r="H10" s="598"/>
    </row>
    <row r="11" spans="1:8" customFormat="1" ht="24.95" customHeight="1">
      <c r="A11" s="489" t="s">
        <v>99</v>
      </c>
      <c r="B11" s="97">
        <v>25.7286</v>
      </c>
      <c r="C11" s="555">
        <v>-1.4</v>
      </c>
      <c r="D11" s="97">
        <v>235.74420000000001</v>
      </c>
      <c r="E11" s="170">
        <v>-8.1999999999999993</v>
      </c>
      <c r="H11" s="598"/>
    </row>
    <row r="12" spans="1:8" customFormat="1" ht="24.95" customHeight="1">
      <c r="A12" s="489" t="s">
        <v>100</v>
      </c>
      <c r="B12" s="97">
        <v>0.92730000000000001</v>
      </c>
      <c r="C12" s="599">
        <v>14.9</v>
      </c>
      <c r="D12" s="97">
        <v>6.8254999999999999</v>
      </c>
      <c r="E12" s="170">
        <v>19.399999999999999</v>
      </c>
      <c r="H12" s="598"/>
    </row>
    <row r="13" spans="1:8" customFormat="1" ht="24.95" customHeight="1">
      <c r="A13" s="489" t="s">
        <v>101</v>
      </c>
      <c r="B13" s="97">
        <v>25.3703</v>
      </c>
      <c r="C13" s="599">
        <v>3.1</v>
      </c>
      <c r="D13" s="97">
        <v>214.29589999999999</v>
      </c>
      <c r="E13" s="170">
        <v>-5.0999999999999996</v>
      </c>
      <c r="H13" s="598"/>
    </row>
    <row r="14" spans="1:8" customFormat="1" ht="24.95" customHeight="1">
      <c r="A14" s="489" t="s">
        <v>102</v>
      </c>
      <c r="B14" s="97">
        <v>23.057099999999998</v>
      </c>
      <c r="C14" s="599">
        <v>-1.6</v>
      </c>
      <c r="D14" s="97">
        <v>158.77629999999999</v>
      </c>
      <c r="E14" s="170">
        <v>-1.3</v>
      </c>
      <c r="H14" s="598"/>
    </row>
    <row r="15" spans="1:8" customFormat="1" ht="24.95" customHeight="1">
      <c r="A15" s="489" t="s">
        <v>103</v>
      </c>
      <c r="B15" s="97">
        <v>34.171799999999998</v>
      </c>
      <c r="C15" s="599">
        <v>14.8</v>
      </c>
      <c r="D15" s="97">
        <v>280.50510000000003</v>
      </c>
      <c r="E15" s="170">
        <v>4.5</v>
      </c>
      <c r="H15" s="598"/>
    </row>
    <row r="16" spans="1:8" customFormat="1" ht="24.95" customHeight="1">
      <c r="A16" s="489" t="s">
        <v>104</v>
      </c>
      <c r="B16" s="97">
        <v>13.993399999999999</v>
      </c>
      <c r="C16" s="599">
        <v>-11.6</v>
      </c>
      <c r="D16" s="97">
        <v>123.78870000000001</v>
      </c>
      <c r="E16" s="170">
        <v>-17.100000000000001</v>
      </c>
      <c r="H16" s="598"/>
    </row>
    <row r="17" spans="1:8" customFormat="1" ht="24.95" customHeight="1">
      <c r="A17" s="489" t="s">
        <v>105</v>
      </c>
      <c r="B17" s="97">
        <v>17.71</v>
      </c>
      <c r="C17" s="599">
        <v>-0.7</v>
      </c>
      <c r="D17" s="97">
        <v>121.367</v>
      </c>
      <c r="E17" s="170">
        <v>0.1</v>
      </c>
      <c r="H17" s="598"/>
    </row>
    <row r="18" spans="1:8" customFormat="1" ht="24.95" customHeight="1">
      <c r="A18" s="600" t="s">
        <v>106</v>
      </c>
      <c r="B18" s="601">
        <v>0.53410000000000002</v>
      </c>
      <c r="C18" s="602">
        <v>-8</v>
      </c>
      <c r="D18" s="601">
        <v>3.6806000000000001</v>
      </c>
      <c r="E18" s="603">
        <v>-2.9</v>
      </c>
      <c r="H18" s="598"/>
    </row>
    <row r="19" spans="1:8" customFormat="1" ht="20.100000000000001" customHeight="1">
      <c r="A19" s="738"/>
      <c r="B19" s="738"/>
      <c r="C19" s="738"/>
      <c r="D19" s="738"/>
      <c r="E19" s="738"/>
      <c r="H19" s="598"/>
    </row>
    <row r="20" spans="1:8" customFormat="1">
      <c r="H20" s="598"/>
    </row>
    <row r="21" spans="1:8" customFormat="1">
      <c r="H21" s="598"/>
    </row>
    <row r="22" spans="1:8" customFormat="1">
      <c r="H22" s="598"/>
    </row>
    <row r="23" spans="1:8" customFormat="1">
      <c r="H23" s="598"/>
    </row>
    <row r="24" spans="1:8" customFormat="1">
      <c r="H24" s="598"/>
    </row>
    <row r="25" spans="1:8" customFormat="1"/>
    <row r="26" spans="1:8" customFormat="1"/>
    <row r="27" spans="1:8" customFormat="1"/>
    <row r="28" spans="1:8" customFormat="1"/>
    <row r="29" spans="1:8" customFormat="1"/>
    <row r="30" spans="1:8" customFormat="1"/>
    <row r="31" spans="1:8" customFormat="1"/>
    <row r="32" spans="1:8" customFormat="1"/>
    <row r="33" customFormat="1"/>
    <row r="34" customFormat="1"/>
    <row r="35" customFormat="1"/>
    <row r="36" customFormat="1"/>
    <row r="37" customFormat="1"/>
    <row r="38" customFormat="1"/>
    <row r="39" customFormat="1"/>
    <row r="40" customFormat="1"/>
    <row r="41" customFormat="1"/>
    <row r="42" customFormat="1"/>
    <row r="43" customFormat="1"/>
    <row r="44" customFormat="1"/>
    <row r="45" customFormat="1"/>
    <row r="46" customFormat="1"/>
    <row r="47" customFormat="1"/>
    <row r="48" customFormat="1"/>
    <row r="49" customFormat="1"/>
    <row r="50" customFormat="1"/>
    <row r="51" customFormat="1"/>
    <row r="52" customFormat="1"/>
    <row r="53" customFormat="1"/>
    <row r="54" customFormat="1"/>
    <row r="55" customFormat="1"/>
    <row r="56" customFormat="1"/>
    <row r="57" customFormat="1"/>
    <row r="58" customFormat="1"/>
    <row r="59" customFormat="1"/>
    <row r="60" customFormat="1"/>
    <row r="61" customFormat="1"/>
    <row r="62" customFormat="1"/>
    <row r="63" customFormat="1"/>
    <row r="64" customFormat="1"/>
    <row r="65" customFormat="1"/>
    <row r="66" customFormat="1"/>
    <row r="67" customFormat="1"/>
    <row r="68" customFormat="1"/>
    <row r="69" customFormat="1"/>
    <row r="70" customFormat="1"/>
    <row r="71" customFormat="1"/>
    <row r="72" customFormat="1"/>
    <row r="73" customFormat="1"/>
    <row r="74" customFormat="1"/>
    <row r="75" customFormat="1"/>
    <row r="76" customFormat="1"/>
    <row r="77" customFormat="1"/>
    <row r="78" customFormat="1"/>
    <row r="79" customFormat="1"/>
    <row r="80" customFormat="1"/>
    <row r="81" customFormat="1"/>
    <row r="82" customFormat="1"/>
    <row r="83" customFormat="1"/>
    <row r="84" customFormat="1"/>
    <row r="85" customFormat="1"/>
    <row r="86" customFormat="1"/>
    <row r="87" customFormat="1"/>
    <row r="88" customFormat="1"/>
    <row r="89" customFormat="1"/>
    <row r="90" customFormat="1"/>
    <row r="91" customFormat="1"/>
    <row r="92" customFormat="1"/>
    <row r="93" customFormat="1"/>
    <row r="94" customFormat="1"/>
    <row r="95" customFormat="1"/>
    <row r="96" customFormat="1"/>
    <row r="97" customFormat="1"/>
    <row r="98" customFormat="1"/>
    <row r="99" customFormat="1"/>
    <row r="100" customFormat="1"/>
    <row r="101" customFormat="1"/>
    <row r="102" customFormat="1"/>
    <row r="103" customFormat="1"/>
    <row r="104" customFormat="1"/>
    <row r="105" customFormat="1"/>
    <row r="106" customFormat="1"/>
    <row r="107" customFormat="1"/>
    <row r="108" customFormat="1"/>
    <row r="109" customFormat="1"/>
    <row r="110" customFormat="1"/>
    <row r="111" customFormat="1"/>
    <row r="112" customFormat="1"/>
    <row r="113" customFormat="1"/>
    <row r="114" customFormat="1"/>
    <row r="115" customFormat="1"/>
    <row r="116" customFormat="1"/>
    <row r="117" customFormat="1"/>
    <row r="118" customFormat="1"/>
    <row r="119" customFormat="1"/>
    <row r="120" customFormat="1"/>
    <row r="121" customFormat="1"/>
    <row r="122" customFormat="1"/>
    <row r="123" customFormat="1"/>
    <row r="124" customFormat="1"/>
    <row r="125" customFormat="1"/>
    <row r="126" customFormat="1"/>
    <row r="127" customFormat="1"/>
    <row r="128" customFormat="1"/>
    <row r="129" customFormat="1"/>
    <row r="130" customFormat="1"/>
    <row r="131" customFormat="1"/>
    <row r="132" customFormat="1"/>
    <row r="133" customFormat="1"/>
    <row r="134" customFormat="1"/>
    <row r="135" customFormat="1"/>
    <row r="136" customFormat="1"/>
    <row r="137" customFormat="1"/>
    <row r="138" customFormat="1"/>
    <row r="139" customFormat="1"/>
    <row r="140" customFormat="1"/>
    <row r="141" customFormat="1"/>
    <row r="142" customFormat="1"/>
    <row r="143" customFormat="1"/>
    <row r="144" customFormat="1"/>
    <row r="145" customFormat="1"/>
    <row r="146" customFormat="1"/>
    <row r="147" customFormat="1"/>
    <row r="148" customFormat="1"/>
    <row r="149" customFormat="1"/>
    <row r="150" customFormat="1"/>
    <row r="151" customFormat="1"/>
    <row r="152" customFormat="1"/>
    <row r="153" customFormat="1"/>
    <row r="154" customFormat="1"/>
    <row r="155" customFormat="1"/>
    <row r="156" customFormat="1"/>
    <row r="157" customFormat="1"/>
    <row r="158" customFormat="1"/>
    <row r="159" customFormat="1"/>
    <row r="160" customFormat="1"/>
    <row r="161" customFormat="1"/>
    <row r="162" customFormat="1"/>
    <row r="163" customFormat="1"/>
    <row r="164" customFormat="1"/>
    <row r="165" customFormat="1"/>
    <row r="166" customFormat="1"/>
    <row r="167" customFormat="1"/>
    <row r="168" customFormat="1"/>
    <row r="169" customFormat="1"/>
    <row r="170" customFormat="1"/>
    <row r="171" customFormat="1"/>
    <row r="172" customFormat="1"/>
    <row r="173" customFormat="1"/>
    <row r="174" customFormat="1"/>
    <row r="175" customFormat="1"/>
    <row r="176" customFormat="1"/>
    <row r="177" customFormat="1"/>
    <row r="178" customFormat="1"/>
    <row r="179" customFormat="1"/>
    <row r="180" customFormat="1"/>
    <row r="181" customFormat="1"/>
    <row r="182" customFormat="1"/>
    <row r="183" customFormat="1"/>
    <row r="184" customFormat="1"/>
    <row r="185" customFormat="1"/>
    <row r="186" customFormat="1"/>
    <row r="187" customFormat="1"/>
    <row r="188" customFormat="1"/>
    <row r="189" customFormat="1"/>
    <row r="190" customFormat="1"/>
    <row r="191" customFormat="1"/>
    <row r="192" customFormat="1"/>
    <row r="193" customFormat="1"/>
    <row r="194" customFormat="1"/>
    <row r="195" customFormat="1"/>
    <row r="196" customFormat="1"/>
    <row r="197" customFormat="1"/>
    <row r="198" customFormat="1"/>
    <row r="199" customFormat="1"/>
    <row r="200" customFormat="1"/>
    <row r="201" customFormat="1"/>
    <row r="202" customFormat="1"/>
    <row r="203" customFormat="1"/>
    <row r="204" customFormat="1"/>
    <row r="205" customFormat="1"/>
    <row r="206" customFormat="1"/>
    <row r="207" customFormat="1"/>
    <row r="208" customFormat="1"/>
    <row r="209" customFormat="1"/>
    <row r="210" customFormat="1"/>
    <row r="211" customFormat="1"/>
    <row r="212" customFormat="1"/>
    <row r="213" customFormat="1"/>
    <row r="214" customFormat="1"/>
    <row r="215" customFormat="1"/>
    <row r="216" customFormat="1"/>
    <row r="217" customFormat="1"/>
    <row r="218" customFormat="1"/>
    <row r="219" customFormat="1"/>
    <row r="220" customFormat="1"/>
    <row r="221" customFormat="1"/>
    <row r="222" customFormat="1"/>
    <row r="223" customFormat="1"/>
    <row r="224" customFormat="1"/>
    <row r="225" customFormat="1"/>
    <row r="226" customFormat="1"/>
    <row r="227" customFormat="1"/>
    <row r="228" customFormat="1"/>
    <row r="229" customFormat="1"/>
    <row r="230" customFormat="1"/>
    <row r="231" customFormat="1"/>
    <row r="232" customFormat="1"/>
    <row r="233" customFormat="1"/>
    <row r="234" customFormat="1"/>
    <row r="235" customFormat="1"/>
    <row r="236" customFormat="1"/>
    <row r="237" customFormat="1"/>
    <row r="238" customFormat="1"/>
    <row r="239" customFormat="1"/>
    <row r="240" customFormat="1"/>
    <row r="241" customFormat="1"/>
    <row r="242" customFormat="1"/>
    <row r="243" customFormat="1"/>
    <row r="244" customFormat="1"/>
    <row r="245" customFormat="1"/>
    <row r="246" customFormat="1"/>
    <row r="247" customFormat="1"/>
    <row r="248" customFormat="1"/>
    <row r="249" customFormat="1"/>
    <row r="250" customFormat="1"/>
    <row r="251" customFormat="1"/>
    <row r="252" customFormat="1"/>
    <row r="253" customFormat="1"/>
    <row r="254" customFormat="1"/>
    <row r="255" customFormat="1"/>
    <row r="256" customFormat="1"/>
  </sheetData>
  <sheetProtection password="DC9E" sheet="1" objects="1" scenarios="1"/>
  <mergeCells count="3">
    <mergeCell ref="A1:E1"/>
    <mergeCell ref="D2:E2"/>
    <mergeCell ref="A19:E19"/>
  </mergeCells>
  <phoneticPr fontId="10" type="noConversion"/>
  <pageMargins left="0.75" right="0.75" top="1" bottom="1" header="0.5" footer="0.5"/>
  <pageSetup paperSize="9" orientation="portrait" verticalDpi="0"/>
  <headerFooter scaleWithDoc="0"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 enableFormatConditionsCalculation="0">
    <tabColor theme="5"/>
  </sheetPr>
  <dimension ref="A1:D256"/>
  <sheetViews>
    <sheetView zoomScale="80" workbookViewId="0">
      <selection activeCell="F6" sqref="F6"/>
    </sheetView>
  </sheetViews>
  <sheetFormatPr defaultColWidth="9" defaultRowHeight="14.25"/>
  <cols>
    <col min="1" max="1" width="36" style="588" customWidth="1"/>
    <col min="2" max="2" width="11.125" style="589" customWidth="1"/>
    <col min="3" max="4" width="14.625" style="210" customWidth="1"/>
  </cols>
  <sheetData>
    <row r="1" spans="1:4">
      <c r="A1" s="274"/>
      <c r="B1"/>
      <c r="C1"/>
      <c r="D1"/>
    </row>
    <row r="2" spans="1:4" ht="23.1" customHeight="1">
      <c r="A2" s="739" t="s">
        <v>115</v>
      </c>
      <c r="B2" s="735"/>
      <c r="C2" s="735"/>
      <c r="D2" s="736"/>
    </row>
    <row r="3" spans="1:4" ht="11.25" customHeight="1">
      <c r="A3" s="346"/>
      <c r="B3" s="346"/>
      <c r="C3" s="590"/>
      <c r="D3" s="346"/>
    </row>
    <row r="4" spans="1:4" ht="24" customHeight="1">
      <c r="A4" s="591" t="s">
        <v>48</v>
      </c>
      <c r="B4" s="759" t="s">
        <v>116</v>
      </c>
      <c r="C4" s="781" t="s">
        <v>117</v>
      </c>
      <c r="D4" s="434" t="s">
        <v>6</v>
      </c>
    </row>
    <row r="5" spans="1:4" ht="24" customHeight="1">
      <c r="A5" s="281" t="s">
        <v>118</v>
      </c>
      <c r="B5" s="782" t="s">
        <v>119</v>
      </c>
      <c r="C5" s="783">
        <v>874</v>
      </c>
      <c r="D5" s="30">
        <v>0</v>
      </c>
    </row>
    <row r="6" spans="1:4" ht="24" customHeight="1">
      <c r="A6" s="281" t="s">
        <v>120</v>
      </c>
      <c r="B6" s="782" t="s">
        <v>119</v>
      </c>
      <c r="C6" s="783">
        <v>148</v>
      </c>
      <c r="D6" s="304">
        <v>2.1</v>
      </c>
    </row>
    <row r="7" spans="1:4" ht="24" customHeight="1">
      <c r="A7" s="281" t="s">
        <v>121</v>
      </c>
      <c r="B7" s="782" t="s">
        <v>8</v>
      </c>
      <c r="C7" s="784">
        <v>9.5900999999999996</v>
      </c>
      <c r="D7" s="304">
        <v>0.2</v>
      </c>
    </row>
    <row r="8" spans="1:4" ht="24" customHeight="1">
      <c r="A8" s="281" t="s">
        <v>122</v>
      </c>
      <c r="B8" s="782" t="s">
        <v>8</v>
      </c>
      <c r="C8" s="784">
        <v>1476.8435999999999</v>
      </c>
      <c r="D8" s="304">
        <v>-5.0999999999999996</v>
      </c>
    </row>
    <row r="9" spans="1:4" ht="24" customHeight="1">
      <c r="A9" s="281" t="s">
        <v>123</v>
      </c>
      <c r="B9" s="782" t="s">
        <v>8</v>
      </c>
      <c r="C9" s="784">
        <v>214.53550000000001</v>
      </c>
      <c r="D9" s="304">
        <v>-29.4</v>
      </c>
    </row>
    <row r="10" spans="1:4" ht="24" customHeight="1">
      <c r="A10" s="281" t="s">
        <v>124</v>
      </c>
      <c r="B10" s="782" t="s">
        <v>8</v>
      </c>
      <c r="C10" s="784">
        <v>115.1831</v>
      </c>
      <c r="D10" s="304">
        <v>-33.1</v>
      </c>
    </row>
    <row r="11" spans="1:4" ht="24" customHeight="1">
      <c r="A11" s="281" t="s">
        <v>125</v>
      </c>
      <c r="B11" s="782" t="s">
        <v>8</v>
      </c>
      <c r="C11" s="784">
        <v>2796.0266999999999</v>
      </c>
      <c r="D11" s="304">
        <v>0.3</v>
      </c>
    </row>
    <row r="12" spans="1:4" ht="24" customHeight="1">
      <c r="A12" s="281" t="s">
        <v>126</v>
      </c>
      <c r="B12" s="782" t="s">
        <v>8</v>
      </c>
      <c r="C12" s="784">
        <v>1900.3402000000001</v>
      </c>
      <c r="D12" s="304">
        <v>-1.3</v>
      </c>
    </row>
    <row r="13" spans="1:4" ht="24" customHeight="1">
      <c r="A13" s="592" t="s">
        <v>127</v>
      </c>
      <c r="B13" s="782" t="s">
        <v>8</v>
      </c>
      <c r="C13" s="784">
        <v>1144.5455999999999</v>
      </c>
      <c r="D13" s="304">
        <v>0.4</v>
      </c>
    </row>
    <row r="14" spans="1:4" ht="24" customHeight="1">
      <c r="A14" s="592" t="s">
        <v>128</v>
      </c>
      <c r="B14" s="782" t="s">
        <v>8</v>
      </c>
      <c r="C14" s="784">
        <v>85.634100000000004</v>
      </c>
      <c r="D14" s="304">
        <v>3.1</v>
      </c>
    </row>
    <row r="15" spans="1:4" ht="24" customHeight="1">
      <c r="A15" s="592" t="s">
        <v>129</v>
      </c>
      <c r="B15" s="782" t="s">
        <v>8</v>
      </c>
      <c r="C15" s="784">
        <v>20.4925</v>
      </c>
      <c r="D15" s="304">
        <v>-16.8</v>
      </c>
    </row>
    <row r="16" spans="1:4" ht="24" customHeight="1">
      <c r="A16" s="281" t="s">
        <v>130</v>
      </c>
      <c r="B16" s="782" t="s">
        <v>131</v>
      </c>
      <c r="C16" s="784">
        <v>12.0335</v>
      </c>
      <c r="D16" s="304">
        <v>-7.9</v>
      </c>
    </row>
    <row r="17" spans="1:4" ht="24" customHeight="1">
      <c r="A17" s="313" t="s">
        <v>132</v>
      </c>
      <c r="B17" s="782" t="s">
        <v>29</v>
      </c>
      <c r="C17" s="785">
        <v>466.51</v>
      </c>
      <c r="D17" s="304">
        <v>-19</v>
      </c>
    </row>
    <row r="18" spans="1:4" ht="24" customHeight="1">
      <c r="A18" s="281" t="s">
        <v>133</v>
      </c>
      <c r="B18" s="782" t="s">
        <v>29</v>
      </c>
      <c r="C18" s="785">
        <v>12.82</v>
      </c>
      <c r="D18" s="304">
        <v>-5.3</v>
      </c>
    </row>
    <row r="19" spans="1:4" ht="24" customHeight="1">
      <c r="A19" s="281" t="s">
        <v>134</v>
      </c>
      <c r="B19" s="782" t="s">
        <v>29</v>
      </c>
      <c r="C19" s="785">
        <v>104.03</v>
      </c>
      <c r="D19" s="304">
        <v>-13.2</v>
      </c>
    </row>
    <row r="20" spans="1:4" ht="24" customHeight="1">
      <c r="A20" s="281" t="s">
        <v>135</v>
      </c>
      <c r="B20" s="593" t="s">
        <v>29</v>
      </c>
      <c r="C20" s="785">
        <v>67.97</v>
      </c>
      <c r="D20" s="304">
        <v>-1.1000000000000001</v>
      </c>
    </row>
    <row r="21" spans="1:4" ht="24" customHeight="1">
      <c r="A21" s="281" t="s">
        <v>136</v>
      </c>
      <c r="B21" s="593" t="s">
        <v>137</v>
      </c>
      <c r="C21" s="785">
        <v>2.0299999999999998</v>
      </c>
      <c r="D21" s="304">
        <v>-0.2</v>
      </c>
    </row>
    <row r="22" spans="1:4" ht="24" customHeight="1">
      <c r="A22" s="281" t="s">
        <v>138</v>
      </c>
      <c r="B22" s="782" t="s">
        <v>29</v>
      </c>
      <c r="C22" s="785">
        <v>8.84</v>
      </c>
      <c r="D22" s="304">
        <v>-4.2</v>
      </c>
    </row>
    <row r="23" spans="1:4" ht="24" customHeight="1">
      <c r="A23" s="281" t="s">
        <v>139</v>
      </c>
      <c r="B23" s="782" t="s">
        <v>140</v>
      </c>
      <c r="C23" s="784">
        <v>58.157076000000004</v>
      </c>
      <c r="D23" s="304">
        <v>2.9</v>
      </c>
    </row>
    <row r="24" spans="1:4" ht="24" customHeight="1">
      <c r="A24" s="594" t="s">
        <v>141</v>
      </c>
      <c r="B24" s="786" t="s">
        <v>29</v>
      </c>
      <c r="C24" s="694">
        <v>97.26</v>
      </c>
      <c r="D24" s="595">
        <v>-1</v>
      </c>
    </row>
    <row r="25" spans="1:4">
      <c r="A25" s="274"/>
      <c r="B25"/>
      <c r="C25"/>
      <c r="D25"/>
    </row>
    <row r="26" spans="1:4">
      <c r="A26" s="274"/>
      <c r="B26"/>
      <c r="C26"/>
      <c r="D26"/>
    </row>
    <row r="27" spans="1:4">
      <c r="A27" s="274"/>
      <c r="B27"/>
      <c r="C27"/>
      <c r="D27"/>
    </row>
    <row r="28" spans="1:4">
      <c r="A28" s="274"/>
      <c r="B28"/>
      <c r="C28"/>
      <c r="D28"/>
    </row>
    <row r="29" spans="1:4">
      <c r="A29" s="274"/>
      <c r="B29"/>
      <c r="C29"/>
      <c r="D29"/>
    </row>
    <row r="30" spans="1:4">
      <c r="A30" s="274"/>
      <c r="B30"/>
      <c r="C30"/>
      <c r="D30"/>
    </row>
    <row r="31" spans="1:4">
      <c r="A31" s="274"/>
      <c r="B31"/>
      <c r="C31"/>
      <c r="D31"/>
    </row>
    <row r="32" spans="1:4">
      <c r="A32" s="274"/>
      <c r="B32"/>
      <c r="C32"/>
      <c r="D32"/>
    </row>
    <row r="33" spans="1:4">
      <c r="A33" s="274"/>
      <c r="B33"/>
      <c r="C33"/>
      <c r="D33"/>
    </row>
    <row r="34" spans="1:4">
      <c r="A34" s="274"/>
      <c r="B34"/>
      <c r="C34"/>
      <c r="D34"/>
    </row>
    <row r="35" spans="1:4">
      <c r="A35" s="274"/>
      <c r="B35"/>
      <c r="C35"/>
      <c r="D35"/>
    </row>
    <row r="36" spans="1:4">
      <c r="A36" s="274"/>
      <c r="B36"/>
      <c r="C36"/>
      <c r="D36"/>
    </row>
    <row r="37" spans="1:4">
      <c r="A37" s="274"/>
      <c r="B37"/>
      <c r="C37"/>
      <c r="D37"/>
    </row>
    <row r="38" spans="1:4">
      <c r="A38" s="274"/>
      <c r="B38"/>
      <c r="C38"/>
      <c r="D38"/>
    </row>
    <row r="39" spans="1:4">
      <c r="A39" s="274"/>
      <c r="B39"/>
      <c r="C39"/>
      <c r="D39"/>
    </row>
    <row r="40" spans="1:4">
      <c r="A40" s="274"/>
      <c r="B40"/>
      <c r="C40"/>
      <c r="D40"/>
    </row>
    <row r="41" spans="1:4">
      <c r="A41" s="274"/>
      <c r="B41"/>
      <c r="C41"/>
      <c r="D41"/>
    </row>
    <row r="42" spans="1:4">
      <c r="A42" s="274"/>
      <c r="B42"/>
      <c r="C42"/>
      <c r="D42"/>
    </row>
    <row r="43" spans="1:4">
      <c r="A43" s="274"/>
      <c r="B43"/>
      <c r="C43"/>
      <c r="D43"/>
    </row>
    <row r="44" spans="1:4">
      <c r="A44" s="274"/>
      <c r="B44"/>
      <c r="C44"/>
      <c r="D44"/>
    </row>
    <row r="45" spans="1:4">
      <c r="A45" s="274"/>
      <c r="B45"/>
      <c r="C45"/>
      <c r="D45"/>
    </row>
    <row r="46" spans="1:4">
      <c r="A46" s="274"/>
      <c r="B46"/>
      <c r="C46"/>
      <c r="D46"/>
    </row>
    <row r="47" spans="1:4">
      <c r="A47" s="274"/>
      <c r="B47"/>
      <c r="C47"/>
      <c r="D47"/>
    </row>
    <row r="48" spans="1:4">
      <c r="A48" s="274"/>
      <c r="B48"/>
      <c r="C48"/>
      <c r="D48"/>
    </row>
    <row r="49" spans="1:4">
      <c r="A49" s="274"/>
      <c r="B49"/>
      <c r="C49"/>
      <c r="D49"/>
    </row>
    <row r="50" spans="1:4">
      <c r="A50" s="274"/>
      <c r="B50"/>
      <c r="C50"/>
      <c r="D50"/>
    </row>
    <row r="51" spans="1:4">
      <c r="A51" s="274"/>
      <c r="B51"/>
      <c r="C51"/>
      <c r="D51"/>
    </row>
    <row r="52" spans="1:4">
      <c r="A52" s="274"/>
      <c r="B52"/>
      <c r="C52"/>
      <c r="D52"/>
    </row>
    <row r="53" spans="1:4">
      <c r="A53" s="274"/>
      <c r="B53"/>
      <c r="C53"/>
      <c r="D53"/>
    </row>
    <row r="54" spans="1:4">
      <c r="A54" s="274"/>
      <c r="B54"/>
      <c r="C54"/>
      <c r="D54"/>
    </row>
    <row r="55" spans="1:4">
      <c r="A55" s="274"/>
      <c r="B55"/>
      <c r="C55"/>
      <c r="D55"/>
    </row>
    <row r="56" spans="1:4">
      <c r="A56" s="274"/>
      <c r="B56"/>
      <c r="C56"/>
      <c r="D56"/>
    </row>
    <row r="57" spans="1:4">
      <c r="A57" s="274"/>
      <c r="B57"/>
      <c r="C57"/>
      <c r="D57"/>
    </row>
    <row r="58" spans="1:4">
      <c r="A58" s="274"/>
      <c r="B58"/>
      <c r="C58"/>
      <c r="D58"/>
    </row>
    <row r="59" spans="1:4">
      <c r="A59" s="274"/>
      <c r="B59"/>
      <c r="C59"/>
      <c r="D59"/>
    </row>
    <row r="60" spans="1:4">
      <c r="A60" s="274"/>
      <c r="B60"/>
      <c r="C60"/>
      <c r="D60"/>
    </row>
    <row r="61" spans="1:4">
      <c r="A61" s="274"/>
      <c r="B61"/>
      <c r="C61"/>
      <c r="D61"/>
    </row>
    <row r="62" spans="1:4">
      <c r="A62" s="274"/>
      <c r="B62"/>
      <c r="C62"/>
      <c r="D62"/>
    </row>
    <row r="63" spans="1:4">
      <c r="A63" s="274"/>
      <c r="B63"/>
      <c r="C63"/>
      <c r="D63"/>
    </row>
    <row r="64" spans="1:4">
      <c r="A64" s="274"/>
      <c r="B64"/>
      <c r="C64"/>
      <c r="D64"/>
    </row>
    <row r="65" spans="1:4">
      <c r="A65" s="274"/>
      <c r="B65"/>
      <c r="C65"/>
      <c r="D65"/>
    </row>
    <row r="66" spans="1:4">
      <c r="A66" s="274"/>
      <c r="B66"/>
      <c r="C66"/>
      <c r="D66"/>
    </row>
    <row r="67" spans="1:4">
      <c r="A67" s="274"/>
      <c r="B67"/>
      <c r="C67"/>
      <c r="D67"/>
    </row>
    <row r="68" spans="1:4">
      <c r="A68" s="274"/>
      <c r="B68"/>
      <c r="C68"/>
      <c r="D68"/>
    </row>
    <row r="69" spans="1:4">
      <c r="A69" s="274"/>
      <c r="B69"/>
      <c r="C69"/>
      <c r="D69"/>
    </row>
    <row r="70" spans="1:4">
      <c r="A70" s="274"/>
      <c r="B70"/>
      <c r="C70"/>
      <c r="D70"/>
    </row>
    <row r="71" spans="1:4">
      <c r="A71" s="274"/>
      <c r="B71"/>
      <c r="C71"/>
      <c r="D71"/>
    </row>
    <row r="72" spans="1:4">
      <c r="A72" s="274"/>
      <c r="B72"/>
      <c r="C72"/>
      <c r="D72"/>
    </row>
    <row r="73" spans="1:4">
      <c r="A73" s="274"/>
      <c r="B73"/>
      <c r="C73"/>
      <c r="D73"/>
    </row>
    <row r="74" spans="1:4">
      <c r="A74" s="274"/>
      <c r="B74"/>
      <c r="C74"/>
      <c r="D74"/>
    </row>
    <row r="75" spans="1:4">
      <c r="A75" s="274"/>
      <c r="B75"/>
      <c r="C75"/>
      <c r="D75"/>
    </row>
    <row r="76" spans="1:4">
      <c r="A76" s="274"/>
      <c r="B76"/>
      <c r="C76"/>
      <c r="D76"/>
    </row>
    <row r="77" spans="1:4">
      <c r="A77" s="274"/>
      <c r="B77"/>
      <c r="C77"/>
      <c r="D77"/>
    </row>
    <row r="78" spans="1:4">
      <c r="A78" s="274"/>
      <c r="B78"/>
      <c r="C78"/>
      <c r="D78"/>
    </row>
    <row r="79" spans="1:4">
      <c r="A79" s="274"/>
      <c r="B79"/>
      <c r="C79"/>
      <c r="D79"/>
    </row>
    <row r="80" spans="1:4">
      <c r="A80" s="274"/>
      <c r="B80"/>
      <c r="C80"/>
      <c r="D80"/>
    </row>
    <row r="81" spans="1:4">
      <c r="A81" s="274"/>
      <c r="B81"/>
      <c r="C81"/>
      <c r="D81"/>
    </row>
    <row r="82" spans="1:4">
      <c r="A82" s="274"/>
      <c r="B82"/>
      <c r="C82"/>
      <c r="D82"/>
    </row>
    <row r="83" spans="1:4">
      <c r="A83" s="274"/>
      <c r="B83"/>
      <c r="C83"/>
      <c r="D83"/>
    </row>
    <row r="84" spans="1:4">
      <c r="A84" s="274"/>
      <c r="B84"/>
      <c r="C84"/>
      <c r="D84"/>
    </row>
    <row r="85" spans="1:4">
      <c r="A85" s="274"/>
      <c r="B85"/>
      <c r="C85"/>
      <c r="D85"/>
    </row>
    <row r="86" spans="1:4">
      <c r="A86" s="274"/>
      <c r="B86"/>
      <c r="C86"/>
      <c r="D86"/>
    </row>
    <row r="87" spans="1:4">
      <c r="A87" s="274"/>
      <c r="B87"/>
      <c r="C87"/>
      <c r="D87"/>
    </row>
    <row r="88" spans="1:4">
      <c r="A88" s="274"/>
      <c r="B88"/>
      <c r="C88"/>
      <c r="D88"/>
    </row>
    <row r="89" spans="1:4">
      <c r="A89" s="274"/>
      <c r="B89"/>
      <c r="C89"/>
      <c r="D89"/>
    </row>
    <row r="90" spans="1:4">
      <c r="A90" s="274"/>
      <c r="B90"/>
      <c r="C90"/>
      <c r="D90"/>
    </row>
    <row r="91" spans="1:4">
      <c r="A91" s="274"/>
      <c r="B91"/>
      <c r="C91"/>
      <c r="D91"/>
    </row>
    <row r="92" spans="1:4">
      <c r="A92" s="274"/>
      <c r="B92"/>
      <c r="C92"/>
      <c r="D92"/>
    </row>
    <row r="93" spans="1:4">
      <c r="A93" s="274"/>
      <c r="B93"/>
      <c r="C93"/>
      <c r="D93"/>
    </row>
    <row r="94" spans="1:4">
      <c r="A94" s="274"/>
      <c r="B94"/>
      <c r="C94"/>
      <c r="D94"/>
    </row>
    <row r="95" spans="1:4">
      <c r="A95" s="274"/>
      <c r="B95"/>
      <c r="C95"/>
      <c r="D95"/>
    </row>
    <row r="96" spans="1:4">
      <c r="A96" s="274"/>
      <c r="B96"/>
      <c r="C96"/>
      <c r="D96"/>
    </row>
    <row r="97" spans="1:4">
      <c r="A97" s="274"/>
      <c r="B97"/>
      <c r="C97"/>
      <c r="D97"/>
    </row>
    <row r="98" spans="1:4">
      <c r="A98" s="274"/>
      <c r="B98"/>
      <c r="C98"/>
      <c r="D98"/>
    </row>
    <row r="99" spans="1:4">
      <c r="A99" s="274"/>
      <c r="B99"/>
      <c r="C99"/>
      <c r="D99"/>
    </row>
    <row r="100" spans="1:4">
      <c r="A100" s="274"/>
      <c r="B100"/>
      <c r="C100"/>
      <c r="D100"/>
    </row>
    <row r="101" spans="1:4">
      <c r="A101" s="274"/>
      <c r="B101"/>
      <c r="C101"/>
      <c r="D101"/>
    </row>
    <row r="102" spans="1:4">
      <c r="A102" s="274"/>
      <c r="B102"/>
      <c r="C102"/>
      <c r="D102"/>
    </row>
    <row r="103" spans="1:4">
      <c r="A103" s="274"/>
      <c r="B103"/>
      <c r="C103"/>
      <c r="D103"/>
    </row>
    <row r="104" spans="1:4">
      <c r="A104" s="274"/>
      <c r="B104"/>
      <c r="C104"/>
      <c r="D104"/>
    </row>
    <row r="105" spans="1:4">
      <c r="A105" s="274"/>
      <c r="B105"/>
      <c r="C105"/>
      <c r="D105"/>
    </row>
    <row r="106" spans="1:4">
      <c r="A106" s="274"/>
      <c r="B106"/>
      <c r="C106"/>
      <c r="D106"/>
    </row>
    <row r="107" spans="1:4">
      <c r="A107" s="274"/>
      <c r="B107"/>
      <c r="C107"/>
      <c r="D107"/>
    </row>
    <row r="108" spans="1:4">
      <c r="A108" s="274"/>
      <c r="B108"/>
      <c r="C108"/>
      <c r="D108"/>
    </row>
    <row r="109" spans="1:4">
      <c r="A109" s="274"/>
      <c r="B109"/>
      <c r="C109"/>
      <c r="D109"/>
    </row>
    <row r="110" spans="1:4">
      <c r="A110" s="274"/>
      <c r="B110"/>
      <c r="C110"/>
      <c r="D110"/>
    </row>
    <row r="111" spans="1:4">
      <c r="A111" s="274"/>
      <c r="B111"/>
      <c r="C111"/>
      <c r="D111"/>
    </row>
    <row r="112" spans="1:4">
      <c r="A112" s="274"/>
      <c r="B112"/>
      <c r="C112"/>
      <c r="D112"/>
    </row>
    <row r="113" spans="1:4">
      <c r="A113" s="274"/>
      <c r="B113"/>
      <c r="C113"/>
      <c r="D113"/>
    </row>
    <row r="114" spans="1:4">
      <c r="A114" s="274"/>
      <c r="B114"/>
      <c r="C114"/>
      <c r="D114"/>
    </row>
    <row r="115" spans="1:4">
      <c r="A115" s="274"/>
      <c r="B115"/>
      <c r="C115"/>
      <c r="D115"/>
    </row>
    <row r="116" spans="1:4">
      <c r="A116" s="274"/>
      <c r="B116"/>
      <c r="C116"/>
      <c r="D116"/>
    </row>
    <row r="117" spans="1:4">
      <c r="A117" s="274"/>
      <c r="B117"/>
      <c r="C117"/>
      <c r="D117"/>
    </row>
    <row r="118" spans="1:4">
      <c r="A118" s="274"/>
      <c r="B118"/>
      <c r="C118"/>
      <c r="D118"/>
    </row>
    <row r="119" spans="1:4">
      <c r="A119" s="274"/>
      <c r="B119"/>
      <c r="C119"/>
      <c r="D119"/>
    </row>
    <row r="120" spans="1:4">
      <c r="A120" s="274"/>
      <c r="B120"/>
      <c r="C120"/>
      <c r="D120"/>
    </row>
    <row r="121" spans="1:4">
      <c r="A121" s="274"/>
      <c r="B121"/>
      <c r="C121"/>
      <c r="D121"/>
    </row>
    <row r="122" spans="1:4">
      <c r="A122" s="274"/>
      <c r="B122"/>
      <c r="C122"/>
      <c r="D122"/>
    </row>
    <row r="123" spans="1:4">
      <c r="A123" s="274"/>
      <c r="B123"/>
      <c r="C123"/>
      <c r="D123"/>
    </row>
    <row r="124" spans="1:4">
      <c r="A124" s="274"/>
      <c r="B124"/>
      <c r="C124"/>
      <c r="D124"/>
    </row>
    <row r="125" spans="1:4">
      <c r="A125" s="274"/>
      <c r="B125"/>
      <c r="C125"/>
      <c r="D125"/>
    </row>
    <row r="126" spans="1:4">
      <c r="A126" s="274"/>
      <c r="B126"/>
      <c r="C126"/>
      <c r="D126"/>
    </row>
    <row r="127" spans="1:4">
      <c r="A127" s="274"/>
      <c r="B127"/>
      <c r="C127"/>
      <c r="D127"/>
    </row>
    <row r="128" spans="1:4">
      <c r="A128" s="274"/>
      <c r="B128"/>
      <c r="C128"/>
      <c r="D128"/>
    </row>
    <row r="129" spans="1:4">
      <c r="A129" s="274"/>
      <c r="B129"/>
      <c r="C129"/>
      <c r="D129"/>
    </row>
    <row r="130" spans="1:4">
      <c r="A130" s="274"/>
      <c r="B130"/>
      <c r="C130"/>
      <c r="D130"/>
    </row>
    <row r="131" spans="1:4">
      <c r="A131" s="274"/>
      <c r="B131"/>
      <c r="C131"/>
      <c r="D131"/>
    </row>
    <row r="132" spans="1:4">
      <c r="A132" s="274"/>
      <c r="B132"/>
      <c r="C132"/>
      <c r="D132"/>
    </row>
    <row r="133" spans="1:4">
      <c r="A133" s="274"/>
      <c r="B133"/>
      <c r="C133"/>
      <c r="D133"/>
    </row>
    <row r="134" spans="1:4">
      <c r="A134" s="274"/>
      <c r="B134"/>
      <c r="C134"/>
      <c r="D134"/>
    </row>
    <row r="135" spans="1:4">
      <c r="A135" s="274"/>
      <c r="B135"/>
      <c r="C135"/>
      <c r="D135"/>
    </row>
    <row r="136" spans="1:4">
      <c r="A136" s="274"/>
      <c r="B136"/>
      <c r="C136"/>
      <c r="D136"/>
    </row>
    <row r="137" spans="1:4">
      <c r="A137" s="274"/>
      <c r="B137"/>
      <c r="C137"/>
      <c r="D137"/>
    </row>
    <row r="138" spans="1:4">
      <c r="A138" s="274"/>
      <c r="B138"/>
      <c r="C138"/>
      <c r="D138"/>
    </row>
    <row r="139" spans="1:4">
      <c r="A139" s="274"/>
      <c r="B139"/>
      <c r="C139"/>
      <c r="D139"/>
    </row>
    <row r="140" spans="1:4">
      <c r="A140" s="274"/>
      <c r="B140"/>
      <c r="C140"/>
      <c r="D140"/>
    </row>
    <row r="141" spans="1:4">
      <c r="A141" s="274"/>
      <c r="B141"/>
      <c r="C141"/>
      <c r="D141"/>
    </row>
    <row r="142" spans="1:4">
      <c r="A142" s="274"/>
      <c r="B142"/>
      <c r="C142"/>
      <c r="D142"/>
    </row>
    <row r="143" spans="1:4">
      <c r="A143" s="274"/>
      <c r="B143"/>
      <c r="C143"/>
      <c r="D143"/>
    </row>
    <row r="144" spans="1:4">
      <c r="A144" s="274"/>
      <c r="B144"/>
      <c r="C144"/>
      <c r="D144"/>
    </row>
    <row r="145" spans="1:4">
      <c r="A145" s="274"/>
      <c r="B145"/>
      <c r="C145"/>
      <c r="D145"/>
    </row>
    <row r="146" spans="1:4">
      <c r="A146" s="274"/>
      <c r="B146"/>
      <c r="C146"/>
      <c r="D146"/>
    </row>
    <row r="147" spans="1:4">
      <c r="A147" s="274"/>
      <c r="B147"/>
      <c r="C147"/>
      <c r="D147"/>
    </row>
    <row r="148" spans="1:4">
      <c r="A148" s="274"/>
      <c r="B148"/>
      <c r="C148"/>
      <c r="D148"/>
    </row>
    <row r="149" spans="1:4">
      <c r="A149" s="274"/>
      <c r="B149"/>
      <c r="C149"/>
      <c r="D149"/>
    </row>
    <row r="150" spans="1:4">
      <c r="A150" s="274"/>
      <c r="B150"/>
      <c r="C150"/>
      <c r="D150"/>
    </row>
    <row r="151" spans="1:4">
      <c r="A151" s="274"/>
      <c r="B151"/>
      <c r="C151"/>
      <c r="D151"/>
    </row>
    <row r="152" spans="1:4">
      <c r="A152" s="274"/>
      <c r="B152"/>
      <c r="C152"/>
      <c r="D152"/>
    </row>
    <row r="153" spans="1:4">
      <c r="A153" s="274"/>
      <c r="B153"/>
      <c r="C153"/>
      <c r="D153"/>
    </row>
    <row r="154" spans="1:4">
      <c r="A154" s="274"/>
      <c r="B154"/>
      <c r="C154"/>
      <c r="D154"/>
    </row>
    <row r="155" spans="1:4">
      <c r="A155" s="274"/>
      <c r="B155"/>
      <c r="C155"/>
      <c r="D155"/>
    </row>
    <row r="156" spans="1:4">
      <c r="A156" s="274"/>
      <c r="B156"/>
      <c r="C156"/>
      <c r="D156"/>
    </row>
    <row r="157" spans="1:4">
      <c r="A157" s="274"/>
      <c r="B157"/>
      <c r="C157"/>
      <c r="D157"/>
    </row>
    <row r="158" spans="1:4">
      <c r="A158" s="274"/>
      <c r="B158"/>
      <c r="C158"/>
      <c r="D158"/>
    </row>
    <row r="159" spans="1:4">
      <c r="A159" s="274"/>
      <c r="B159"/>
      <c r="C159"/>
      <c r="D159"/>
    </row>
    <row r="160" spans="1:4">
      <c r="A160" s="274"/>
      <c r="B160"/>
      <c r="C160"/>
      <c r="D160"/>
    </row>
    <row r="161" spans="1:4">
      <c r="A161" s="274"/>
      <c r="B161"/>
      <c r="C161"/>
      <c r="D161"/>
    </row>
    <row r="162" spans="1:4">
      <c r="A162" s="274"/>
      <c r="B162"/>
      <c r="C162"/>
      <c r="D162"/>
    </row>
    <row r="163" spans="1:4">
      <c r="A163" s="274"/>
      <c r="B163"/>
      <c r="C163"/>
      <c r="D163"/>
    </row>
    <row r="164" spans="1:4">
      <c r="A164" s="274"/>
      <c r="B164"/>
      <c r="C164"/>
      <c r="D164"/>
    </row>
    <row r="165" spans="1:4">
      <c r="A165" s="274"/>
      <c r="B165"/>
      <c r="C165"/>
      <c r="D165"/>
    </row>
    <row r="166" spans="1:4">
      <c r="A166" s="274"/>
      <c r="B166"/>
      <c r="C166"/>
      <c r="D166"/>
    </row>
    <row r="167" spans="1:4">
      <c r="A167" s="274"/>
      <c r="B167"/>
      <c r="C167"/>
      <c r="D167"/>
    </row>
    <row r="168" spans="1:4">
      <c r="A168" s="274"/>
      <c r="B168"/>
      <c r="C168"/>
      <c r="D168"/>
    </row>
    <row r="169" spans="1:4">
      <c r="A169" s="274"/>
      <c r="B169"/>
      <c r="C169"/>
      <c r="D169"/>
    </row>
    <row r="170" spans="1:4">
      <c r="A170" s="274"/>
      <c r="B170"/>
      <c r="C170"/>
      <c r="D170"/>
    </row>
    <row r="171" spans="1:4">
      <c r="A171" s="274"/>
      <c r="B171"/>
      <c r="C171"/>
      <c r="D171"/>
    </row>
    <row r="172" spans="1:4">
      <c r="A172" s="274"/>
      <c r="B172"/>
      <c r="C172"/>
      <c r="D172"/>
    </row>
    <row r="173" spans="1:4">
      <c r="A173" s="274"/>
      <c r="B173"/>
      <c r="C173"/>
      <c r="D173"/>
    </row>
    <row r="174" spans="1:4">
      <c r="A174" s="274"/>
      <c r="B174"/>
      <c r="C174"/>
      <c r="D174"/>
    </row>
    <row r="175" spans="1:4">
      <c r="A175" s="274"/>
      <c r="B175"/>
      <c r="C175"/>
      <c r="D175"/>
    </row>
    <row r="176" spans="1:4">
      <c r="A176" s="274"/>
      <c r="B176"/>
      <c r="C176"/>
      <c r="D176"/>
    </row>
    <row r="177" spans="1:4">
      <c r="A177" s="274"/>
      <c r="B177"/>
      <c r="C177"/>
      <c r="D177"/>
    </row>
    <row r="178" spans="1:4">
      <c r="A178" s="274"/>
      <c r="B178"/>
      <c r="C178"/>
      <c r="D178"/>
    </row>
    <row r="179" spans="1:4">
      <c r="A179" s="274"/>
      <c r="B179"/>
      <c r="C179"/>
      <c r="D179"/>
    </row>
    <row r="180" spans="1:4">
      <c r="A180" s="274"/>
      <c r="B180"/>
      <c r="C180"/>
      <c r="D180"/>
    </row>
    <row r="181" spans="1:4">
      <c r="A181" s="274"/>
      <c r="B181"/>
      <c r="C181"/>
      <c r="D181"/>
    </row>
    <row r="182" spans="1:4">
      <c r="A182" s="274"/>
      <c r="B182"/>
      <c r="C182"/>
      <c r="D182"/>
    </row>
    <row r="183" spans="1:4">
      <c r="A183" s="274"/>
      <c r="B183"/>
      <c r="C183"/>
      <c r="D183"/>
    </row>
    <row r="184" spans="1:4">
      <c r="A184" s="274"/>
      <c r="B184"/>
      <c r="C184"/>
      <c r="D184"/>
    </row>
    <row r="185" spans="1:4">
      <c r="A185" s="274"/>
      <c r="B185"/>
      <c r="C185"/>
      <c r="D185"/>
    </row>
    <row r="186" spans="1:4">
      <c r="A186" s="274"/>
      <c r="B186"/>
      <c r="C186"/>
      <c r="D186"/>
    </row>
    <row r="187" spans="1:4">
      <c r="A187" s="274"/>
      <c r="B187"/>
      <c r="C187"/>
      <c r="D187"/>
    </row>
    <row r="188" spans="1:4">
      <c r="A188" s="274"/>
      <c r="B188"/>
      <c r="C188"/>
      <c r="D188"/>
    </row>
    <row r="189" spans="1:4">
      <c r="A189" s="274"/>
      <c r="B189"/>
      <c r="C189"/>
      <c r="D189"/>
    </row>
    <row r="190" spans="1:4">
      <c r="A190" s="274"/>
      <c r="B190"/>
      <c r="C190"/>
      <c r="D190"/>
    </row>
    <row r="191" spans="1:4">
      <c r="A191" s="274"/>
      <c r="B191"/>
      <c r="C191"/>
      <c r="D191"/>
    </row>
    <row r="192" spans="1:4">
      <c r="A192" s="274"/>
      <c r="B192"/>
      <c r="C192"/>
      <c r="D192"/>
    </row>
    <row r="193" spans="1:4">
      <c r="A193" s="274"/>
      <c r="B193"/>
      <c r="C193"/>
      <c r="D193"/>
    </row>
    <row r="194" spans="1:4">
      <c r="A194" s="274"/>
      <c r="B194"/>
      <c r="C194"/>
      <c r="D194"/>
    </row>
    <row r="195" spans="1:4">
      <c r="A195" s="274"/>
      <c r="B195"/>
      <c r="C195"/>
      <c r="D195"/>
    </row>
    <row r="196" spans="1:4">
      <c r="A196" s="274"/>
      <c r="B196"/>
      <c r="C196"/>
      <c r="D196"/>
    </row>
    <row r="197" spans="1:4">
      <c r="A197" s="274"/>
      <c r="B197"/>
      <c r="C197"/>
      <c r="D197"/>
    </row>
    <row r="198" spans="1:4">
      <c r="A198" s="274"/>
      <c r="B198"/>
      <c r="C198"/>
      <c r="D198"/>
    </row>
    <row r="199" spans="1:4">
      <c r="A199" s="274"/>
      <c r="B199"/>
      <c r="C199"/>
      <c r="D199"/>
    </row>
    <row r="200" spans="1:4">
      <c r="A200" s="274"/>
      <c r="B200"/>
      <c r="C200"/>
      <c r="D200"/>
    </row>
    <row r="201" spans="1:4">
      <c r="A201" s="274"/>
      <c r="B201"/>
      <c r="C201"/>
      <c r="D201"/>
    </row>
    <row r="202" spans="1:4">
      <c r="A202" s="274"/>
      <c r="B202"/>
      <c r="C202"/>
      <c r="D202"/>
    </row>
    <row r="203" spans="1:4">
      <c r="A203" s="274"/>
      <c r="B203"/>
      <c r="C203"/>
      <c r="D203"/>
    </row>
    <row r="204" spans="1:4">
      <c r="A204" s="274"/>
      <c r="B204"/>
      <c r="C204"/>
      <c r="D204"/>
    </row>
    <row r="205" spans="1:4">
      <c r="A205" s="274"/>
      <c r="B205"/>
      <c r="C205"/>
      <c r="D205"/>
    </row>
    <row r="206" spans="1:4">
      <c r="A206" s="274"/>
      <c r="B206"/>
      <c r="C206"/>
      <c r="D206"/>
    </row>
    <row r="207" spans="1:4">
      <c r="A207" s="274"/>
      <c r="B207"/>
      <c r="C207"/>
      <c r="D207"/>
    </row>
    <row r="208" spans="1:4">
      <c r="A208" s="274"/>
      <c r="B208"/>
      <c r="C208"/>
      <c r="D208"/>
    </row>
    <row r="209" spans="1:4">
      <c r="A209" s="274"/>
      <c r="B209"/>
      <c r="C209"/>
      <c r="D209"/>
    </row>
    <row r="210" spans="1:4">
      <c r="A210" s="274"/>
      <c r="B210"/>
      <c r="C210"/>
      <c r="D210"/>
    </row>
    <row r="211" spans="1:4">
      <c r="A211" s="274"/>
      <c r="B211"/>
      <c r="C211"/>
      <c r="D211"/>
    </row>
    <row r="212" spans="1:4">
      <c r="A212" s="274"/>
      <c r="B212"/>
      <c r="C212"/>
      <c r="D212"/>
    </row>
    <row r="213" spans="1:4">
      <c r="A213" s="274"/>
      <c r="B213"/>
      <c r="C213"/>
      <c r="D213"/>
    </row>
    <row r="214" spans="1:4">
      <c r="A214" s="274"/>
      <c r="B214"/>
      <c r="C214"/>
      <c r="D214"/>
    </row>
    <row r="215" spans="1:4">
      <c r="A215" s="274"/>
      <c r="B215"/>
      <c r="C215"/>
      <c r="D215"/>
    </row>
    <row r="216" spans="1:4">
      <c r="A216" s="274"/>
      <c r="B216"/>
      <c r="C216"/>
      <c r="D216"/>
    </row>
    <row r="217" spans="1:4">
      <c r="A217" s="274"/>
      <c r="B217"/>
      <c r="C217"/>
      <c r="D217"/>
    </row>
    <row r="218" spans="1:4">
      <c r="A218" s="274"/>
      <c r="B218"/>
      <c r="C218"/>
      <c r="D218"/>
    </row>
    <row r="219" spans="1:4">
      <c r="A219" s="274"/>
      <c r="B219"/>
      <c r="C219"/>
      <c r="D219"/>
    </row>
    <row r="220" spans="1:4">
      <c r="A220" s="274"/>
      <c r="B220"/>
      <c r="C220"/>
      <c r="D220"/>
    </row>
    <row r="221" spans="1:4">
      <c r="A221" s="274"/>
      <c r="B221"/>
      <c r="C221"/>
      <c r="D221"/>
    </row>
    <row r="222" spans="1:4">
      <c r="A222" s="274"/>
      <c r="B222"/>
      <c r="C222"/>
      <c r="D222"/>
    </row>
    <row r="223" spans="1:4">
      <c r="A223" s="274"/>
      <c r="B223"/>
      <c r="C223"/>
      <c r="D223"/>
    </row>
    <row r="224" spans="1:4">
      <c r="A224" s="274"/>
      <c r="B224"/>
      <c r="C224"/>
      <c r="D224"/>
    </row>
    <row r="225" spans="1:4">
      <c r="A225" s="274"/>
      <c r="B225"/>
      <c r="C225"/>
      <c r="D225"/>
    </row>
    <row r="226" spans="1:4">
      <c r="A226" s="274"/>
      <c r="B226"/>
      <c r="C226"/>
      <c r="D226"/>
    </row>
    <row r="227" spans="1:4">
      <c r="A227" s="274"/>
      <c r="B227"/>
      <c r="C227"/>
      <c r="D227"/>
    </row>
    <row r="228" spans="1:4">
      <c r="A228" s="274"/>
      <c r="B228"/>
      <c r="C228"/>
      <c r="D228"/>
    </row>
    <row r="229" spans="1:4">
      <c r="A229" s="274"/>
      <c r="B229"/>
      <c r="C229"/>
      <c r="D229"/>
    </row>
    <row r="230" spans="1:4">
      <c r="A230" s="274"/>
      <c r="B230"/>
      <c r="C230"/>
      <c r="D230"/>
    </row>
    <row r="231" spans="1:4">
      <c r="A231" s="274"/>
      <c r="B231"/>
      <c r="C231"/>
      <c r="D231"/>
    </row>
    <row r="232" spans="1:4">
      <c r="A232" s="274"/>
      <c r="B232"/>
      <c r="C232"/>
      <c r="D232"/>
    </row>
    <row r="233" spans="1:4">
      <c r="A233" s="274"/>
      <c r="B233"/>
      <c r="C233"/>
      <c r="D233"/>
    </row>
    <row r="234" spans="1:4">
      <c r="A234" s="274"/>
      <c r="B234"/>
      <c r="C234"/>
      <c r="D234"/>
    </row>
    <row r="235" spans="1:4">
      <c r="A235" s="274"/>
      <c r="B235"/>
      <c r="C235"/>
      <c r="D235"/>
    </row>
    <row r="236" spans="1:4">
      <c r="A236" s="274"/>
      <c r="B236"/>
      <c r="C236"/>
      <c r="D236"/>
    </row>
    <row r="237" spans="1:4">
      <c r="A237" s="274"/>
      <c r="B237"/>
      <c r="C237"/>
      <c r="D237"/>
    </row>
    <row r="238" spans="1:4">
      <c r="A238" s="274"/>
      <c r="B238"/>
      <c r="C238"/>
      <c r="D238"/>
    </row>
    <row r="239" spans="1:4">
      <c r="A239" s="274"/>
      <c r="B239"/>
      <c r="C239"/>
      <c r="D239"/>
    </row>
    <row r="240" spans="1:4">
      <c r="A240" s="274"/>
      <c r="B240"/>
      <c r="C240"/>
      <c r="D240"/>
    </row>
    <row r="241" spans="1:4">
      <c r="A241" s="274"/>
      <c r="B241"/>
      <c r="C241"/>
      <c r="D241"/>
    </row>
    <row r="242" spans="1:4">
      <c r="A242" s="274"/>
      <c r="B242"/>
      <c r="C242"/>
      <c r="D242"/>
    </row>
    <row r="243" spans="1:4">
      <c r="A243" s="274"/>
      <c r="B243"/>
      <c r="C243"/>
      <c r="D243"/>
    </row>
    <row r="244" spans="1:4">
      <c r="A244" s="274"/>
      <c r="B244"/>
      <c r="C244"/>
      <c r="D244"/>
    </row>
    <row r="245" spans="1:4">
      <c r="A245" s="274"/>
      <c r="B245"/>
      <c r="C245"/>
      <c r="D245"/>
    </row>
    <row r="246" spans="1:4">
      <c r="A246" s="274"/>
      <c r="B246"/>
      <c r="C246"/>
      <c r="D246"/>
    </row>
    <row r="247" spans="1:4">
      <c r="A247" s="274"/>
      <c r="B247"/>
      <c r="C247"/>
      <c r="D247"/>
    </row>
    <row r="248" spans="1:4">
      <c r="A248" s="274"/>
      <c r="B248"/>
      <c r="C248"/>
      <c r="D248"/>
    </row>
    <row r="249" spans="1:4">
      <c r="A249" s="274"/>
      <c r="B249"/>
      <c r="C249"/>
      <c r="D249"/>
    </row>
    <row r="250" spans="1:4">
      <c r="A250" s="274"/>
      <c r="B250"/>
      <c r="C250"/>
      <c r="D250"/>
    </row>
    <row r="251" spans="1:4">
      <c r="A251" s="274"/>
      <c r="B251"/>
      <c r="C251"/>
      <c r="D251"/>
    </row>
    <row r="252" spans="1:4">
      <c r="A252" s="274"/>
      <c r="B252"/>
      <c r="C252"/>
      <c r="D252"/>
    </row>
    <row r="253" spans="1:4">
      <c r="A253" s="274"/>
      <c r="B253"/>
      <c r="C253"/>
      <c r="D253"/>
    </row>
    <row r="254" spans="1:4">
      <c r="A254" s="274"/>
      <c r="B254"/>
      <c r="C254"/>
      <c r="D254"/>
    </row>
    <row r="255" spans="1:4">
      <c r="A255" s="274"/>
      <c r="B255"/>
      <c r="C255"/>
      <c r="D255"/>
    </row>
    <row r="256" spans="1:4">
      <c r="A256" s="274"/>
      <c r="B256"/>
      <c r="C256"/>
      <c r="D256"/>
    </row>
  </sheetData>
  <sheetProtection password="DC9E" sheet="1" objects="1" scenarios="1"/>
  <mergeCells count="1">
    <mergeCell ref="A2:D2"/>
  </mergeCells>
  <phoneticPr fontId="10" type="noConversion"/>
  <printOptions horizontalCentered="1"/>
  <pageMargins left="0.75" right="0.75" top="0.79000000000000015" bottom="0.59" header="0.51" footer="0.51"/>
  <pageSetup paperSize="9" orientation="portrait"/>
  <headerFooter scaleWithDoc="0"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sheetPr enableFormatConditionsCalculation="0">
    <tabColor theme="5"/>
  </sheetPr>
  <dimension ref="A1:I255"/>
  <sheetViews>
    <sheetView zoomScale="80" workbookViewId="0">
      <selection activeCell="A5" sqref="A5:XFD5"/>
    </sheetView>
  </sheetViews>
  <sheetFormatPr defaultRowHeight="14.25"/>
  <cols>
    <col min="1" max="1" width="30.125" style="530" customWidth="1"/>
    <col min="2" max="2" width="12" style="530" customWidth="1"/>
    <col min="3" max="3" width="10.625" style="530" customWidth="1"/>
    <col min="4" max="4" width="12.125" style="530" customWidth="1"/>
    <col min="5" max="5" width="10.625" style="530" customWidth="1"/>
    <col min="6" max="6" width="9" style="520"/>
    <col min="7" max="7" width="10.5" style="520" customWidth="1"/>
    <col min="8" max="8" width="9.75" style="520" bestFit="1" customWidth="1"/>
    <col min="9" max="9" width="11.75" style="520" bestFit="1" customWidth="1"/>
    <col min="10" max="16384" width="9" style="520"/>
  </cols>
  <sheetData>
    <row r="1" spans="1:9" customFormat="1" ht="28.5" customHeight="1">
      <c r="A1" s="740" t="s">
        <v>142</v>
      </c>
      <c r="B1" s="740"/>
      <c r="C1" s="740"/>
      <c r="D1" s="740"/>
      <c r="E1" s="740"/>
    </row>
    <row r="2" spans="1:9" customFormat="1" ht="19.5" customHeight="1">
      <c r="A2" s="570"/>
      <c r="B2" s="570"/>
      <c r="C2" s="570"/>
      <c r="D2" s="741" t="s">
        <v>47</v>
      </c>
      <c r="E2" s="741"/>
    </row>
    <row r="3" spans="1:9" customFormat="1" ht="24" customHeight="1">
      <c r="A3" s="571" t="s">
        <v>48</v>
      </c>
      <c r="B3" s="787" t="s">
        <v>90</v>
      </c>
      <c r="C3" s="788" t="s">
        <v>91</v>
      </c>
      <c r="D3" s="789" t="s">
        <v>49</v>
      </c>
      <c r="E3" s="572" t="s">
        <v>91</v>
      </c>
      <c r="G3" s="553"/>
      <c r="I3" s="553"/>
    </row>
    <row r="4" spans="1:9" customFormat="1" ht="23.1" customHeight="1">
      <c r="A4" s="573" t="s">
        <v>143</v>
      </c>
      <c r="B4" s="574">
        <v>221.24019999999999</v>
      </c>
      <c r="C4" s="575">
        <v>6.8</v>
      </c>
      <c r="D4" s="576">
        <v>1674.6179999999999</v>
      </c>
      <c r="E4" s="577">
        <v>-1.9</v>
      </c>
      <c r="G4" s="553"/>
      <c r="I4" s="553"/>
    </row>
    <row r="5" spans="1:9" customFormat="1" ht="23.1" customHeight="1">
      <c r="A5" s="535" t="s">
        <v>144</v>
      </c>
      <c r="B5" s="578">
        <v>0</v>
      </c>
      <c r="C5" s="537">
        <v>0</v>
      </c>
      <c r="D5" s="579">
        <v>0.18529999999999999</v>
      </c>
      <c r="E5" s="538">
        <v>-74.5</v>
      </c>
      <c r="G5" s="553"/>
      <c r="I5" s="553"/>
    </row>
    <row r="6" spans="1:9" customFormat="1" ht="23.1" customHeight="1">
      <c r="A6" s="535" t="s">
        <v>145</v>
      </c>
      <c r="B6" s="578">
        <v>0.35299999999999998</v>
      </c>
      <c r="C6" s="537">
        <v>57.2</v>
      </c>
      <c r="D6" s="579">
        <v>2.6036999999999999</v>
      </c>
      <c r="E6" s="538">
        <v>82.1</v>
      </c>
      <c r="G6" s="553"/>
      <c r="I6" s="553"/>
    </row>
    <row r="7" spans="1:9" customFormat="1" ht="23.1" customHeight="1">
      <c r="A7" s="535" t="s">
        <v>146</v>
      </c>
      <c r="B7" s="578">
        <v>0.87409999999999999</v>
      </c>
      <c r="C7" s="537">
        <v>-66.7</v>
      </c>
      <c r="D7" s="579">
        <v>7.3605</v>
      </c>
      <c r="E7" s="538">
        <v>-19.2</v>
      </c>
      <c r="G7" s="553"/>
      <c r="I7" s="553"/>
    </row>
    <row r="8" spans="1:9" customFormat="1" ht="23.1" customHeight="1">
      <c r="A8" s="535" t="s">
        <v>147</v>
      </c>
      <c r="B8" s="578">
        <v>0.30149999999999999</v>
      </c>
      <c r="C8" s="537">
        <v>-51.4</v>
      </c>
      <c r="D8" s="579">
        <v>3.8437000000000001</v>
      </c>
      <c r="E8" s="538">
        <v>25.2</v>
      </c>
      <c r="G8" s="553"/>
      <c r="I8" s="553"/>
    </row>
    <row r="9" spans="1:9" customFormat="1" ht="23.1" customHeight="1">
      <c r="A9" s="535" t="s">
        <v>148</v>
      </c>
      <c r="B9" s="578">
        <v>0</v>
      </c>
      <c r="C9" s="537">
        <v>0</v>
      </c>
      <c r="D9" s="579">
        <v>0</v>
      </c>
      <c r="E9" s="538">
        <v>0</v>
      </c>
      <c r="G9" s="553"/>
      <c r="I9" s="553"/>
    </row>
    <row r="10" spans="1:9" customFormat="1" ht="23.1" customHeight="1">
      <c r="A10" s="535" t="s">
        <v>149</v>
      </c>
      <c r="B10" s="578">
        <v>34.719299999999997</v>
      </c>
      <c r="C10" s="537">
        <v>4.5</v>
      </c>
      <c r="D10" s="579">
        <v>270.92160000000001</v>
      </c>
      <c r="E10" s="538">
        <v>-0.3</v>
      </c>
      <c r="G10" s="553"/>
      <c r="I10" s="553"/>
    </row>
    <row r="11" spans="1:9" customFormat="1" ht="23.1" customHeight="1">
      <c r="A11" s="535" t="s">
        <v>150</v>
      </c>
      <c r="B11" s="578">
        <v>8.7825000000000006</v>
      </c>
      <c r="C11" s="537">
        <v>11.4</v>
      </c>
      <c r="D11" s="579">
        <v>57.263399999999997</v>
      </c>
      <c r="E11" s="538">
        <v>3.1</v>
      </c>
      <c r="G11" s="553"/>
      <c r="I11" s="553"/>
    </row>
    <row r="12" spans="1:9" customFormat="1" ht="23.1" customHeight="1">
      <c r="A12" s="535" t="s">
        <v>151</v>
      </c>
      <c r="B12" s="578">
        <v>1.6759999999999999</v>
      </c>
      <c r="C12" s="537">
        <v>107.6</v>
      </c>
      <c r="D12" s="579">
        <v>37.493099999999998</v>
      </c>
      <c r="E12" s="538">
        <v>-2.7</v>
      </c>
      <c r="G12" s="553"/>
      <c r="I12" s="553"/>
    </row>
    <row r="13" spans="1:9" customFormat="1" ht="23.1" customHeight="1">
      <c r="A13" s="580" t="s">
        <v>152</v>
      </c>
      <c r="B13" s="578">
        <v>8.6989999999999998</v>
      </c>
      <c r="C13" s="568">
        <v>-5.4</v>
      </c>
      <c r="D13" s="579">
        <v>65.1738</v>
      </c>
      <c r="E13" s="538">
        <v>-10.9</v>
      </c>
      <c r="G13" s="553"/>
      <c r="I13" s="553"/>
    </row>
    <row r="14" spans="1:9" customFormat="1" ht="23.1" customHeight="1">
      <c r="A14" s="580" t="s">
        <v>153</v>
      </c>
      <c r="B14" s="578">
        <v>2.7866</v>
      </c>
      <c r="C14" s="568">
        <v>-7.8</v>
      </c>
      <c r="D14" s="579">
        <v>14.5535</v>
      </c>
      <c r="E14" s="538">
        <v>-8.1999999999999993</v>
      </c>
      <c r="G14" s="553"/>
      <c r="I14" s="553"/>
    </row>
    <row r="15" spans="1:9" customFormat="1" ht="23.1" customHeight="1">
      <c r="A15" s="535" t="s">
        <v>154</v>
      </c>
      <c r="B15" s="578">
        <v>1.9218999999999999</v>
      </c>
      <c r="C15" s="537">
        <v>-34.200000000000003</v>
      </c>
      <c r="D15" s="579">
        <v>16.246500000000001</v>
      </c>
      <c r="E15" s="538">
        <v>-8.1</v>
      </c>
      <c r="G15" s="553"/>
      <c r="I15" s="553"/>
    </row>
    <row r="16" spans="1:9" customFormat="1" ht="23.1" customHeight="1">
      <c r="A16" s="535" t="s">
        <v>155</v>
      </c>
      <c r="B16" s="578">
        <v>2.2591999999999999</v>
      </c>
      <c r="C16" s="537">
        <v>47.5</v>
      </c>
      <c r="D16" s="579">
        <v>17.0762</v>
      </c>
      <c r="E16" s="538">
        <v>11.5</v>
      </c>
      <c r="F16" s="581"/>
      <c r="G16" s="582"/>
      <c r="I16" s="553"/>
    </row>
    <row r="17" spans="1:9" customFormat="1" ht="23.1" customHeight="1">
      <c r="A17" s="535" t="s">
        <v>156</v>
      </c>
      <c r="B17" s="578">
        <v>0.94120000000000004</v>
      </c>
      <c r="C17" s="537">
        <v>21.9</v>
      </c>
      <c r="D17" s="579">
        <v>7.2874999999999996</v>
      </c>
      <c r="E17" s="538">
        <v>3</v>
      </c>
      <c r="F17" s="581"/>
      <c r="G17" s="553"/>
      <c r="I17" s="553"/>
    </row>
    <row r="18" spans="1:9" customFormat="1" ht="23.1" customHeight="1">
      <c r="A18" s="535" t="s">
        <v>157</v>
      </c>
      <c r="B18" s="578">
        <v>0.57589999999999997</v>
      </c>
      <c r="C18" s="537">
        <v>121.4</v>
      </c>
      <c r="D18" s="579">
        <v>3.5566</v>
      </c>
      <c r="E18" s="538">
        <v>16.5</v>
      </c>
      <c r="F18" s="581"/>
      <c r="G18" s="553"/>
      <c r="I18" s="553"/>
    </row>
    <row r="19" spans="1:9" customFormat="1" ht="23.1" customHeight="1">
      <c r="A19" s="535" t="s">
        <v>158</v>
      </c>
      <c r="B19" s="578">
        <v>7.9078999999999997</v>
      </c>
      <c r="C19" s="537">
        <v>73.099999999999994</v>
      </c>
      <c r="D19" s="579">
        <v>38.962800000000001</v>
      </c>
      <c r="E19" s="538">
        <v>15.4</v>
      </c>
      <c r="G19" s="553"/>
      <c r="I19" s="553"/>
    </row>
    <row r="20" spans="1:9" customFormat="1" ht="23.1" customHeight="1">
      <c r="A20" s="535" t="s">
        <v>159</v>
      </c>
      <c r="B20" s="578">
        <v>2.7111999999999998</v>
      </c>
      <c r="C20" s="537">
        <v>-10.9</v>
      </c>
      <c r="D20" s="579">
        <v>25.541799999999999</v>
      </c>
      <c r="E20" s="538">
        <v>-1.6</v>
      </c>
      <c r="G20" s="553"/>
      <c r="I20" s="553"/>
    </row>
    <row r="21" spans="1:9" customFormat="1" ht="23.1" customHeight="1">
      <c r="A21" s="535" t="s">
        <v>160</v>
      </c>
      <c r="B21" s="578">
        <v>2.4973999999999998</v>
      </c>
      <c r="C21" s="537">
        <v>-50.8</v>
      </c>
      <c r="D21" s="579">
        <v>28.568999999999999</v>
      </c>
      <c r="E21" s="538">
        <v>-19.399999999999999</v>
      </c>
      <c r="G21" s="553"/>
      <c r="I21" s="553"/>
    </row>
    <row r="22" spans="1:9" customFormat="1" ht="23.1" customHeight="1">
      <c r="A22" s="535" t="s">
        <v>161</v>
      </c>
      <c r="B22" s="578">
        <v>17.259499999999999</v>
      </c>
      <c r="C22" s="537">
        <v>15.5</v>
      </c>
      <c r="D22" s="579">
        <v>140.93389999999999</v>
      </c>
      <c r="E22" s="538">
        <v>15</v>
      </c>
      <c r="G22" s="553"/>
      <c r="I22" s="553"/>
    </row>
    <row r="23" spans="1:9" customFormat="1" ht="23.1" customHeight="1">
      <c r="A23" s="583" t="s">
        <v>162</v>
      </c>
      <c r="B23" s="584">
        <v>1.1907000000000001</v>
      </c>
      <c r="C23" s="585">
        <v>-41.6</v>
      </c>
      <c r="D23" s="586">
        <v>10.025</v>
      </c>
      <c r="E23" s="587">
        <v>-22.4</v>
      </c>
      <c r="G23" s="553"/>
      <c r="I23" s="553"/>
    </row>
    <row r="24" spans="1:9" customFormat="1" ht="29.1" customHeight="1">
      <c r="A24" s="741"/>
      <c r="B24" s="741"/>
      <c r="C24" s="741"/>
      <c r="D24" s="741"/>
      <c r="E24" s="741"/>
    </row>
    <row r="25" spans="1:9" customFormat="1">
      <c r="A25" s="109"/>
      <c r="B25" s="109"/>
      <c r="C25" s="109"/>
      <c r="D25" s="109"/>
      <c r="E25" s="109"/>
    </row>
    <row r="26" spans="1:9" customFormat="1">
      <c r="A26" s="109"/>
      <c r="B26" s="109"/>
      <c r="C26" s="109"/>
      <c r="D26" s="109"/>
      <c r="E26" s="109"/>
    </row>
    <row r="27" spans="1:9" customFormat="1">
      <c r="A27" s="109"/>
      <c r="B27" s="109"/>
      <c r="C27" s="109"/>
      <c r="D27" s="109"/>
      <c r="E27" s="109"/>
    </row>
    <row r="28" spans="1:9" customFormat="1">
      <c r="A28" s="109"/>
      <c r="B28" s="109"/>
      <c r="C28" s="109"/>
      <c r="D28" s="109"/>
      <c r="E28" s="109"/>
    </row>
    <row r="29" spans="1:9" customFormat="1">
      <c r="A29" s="109"/>
      <c r="B29" s="109"/>
      <c r="C29" s="109"/>
      <c r="D29" s="109"/>
      <c r="E29" s="109"/>
    </row>
    <row r="30" spans="1:9" customFormat="1">
      <c r="A30" s="109"/>
      <c r="B30" s="109"/>
      <c r="C30" s="109"/>
      <c r="D30" s="109"/>
      <c r="E30" s="109"/>
    </row>
    <row r="31" spans="1:9" customFormat="1">
      <c r="A31" s="109"/>
      <c r="B31" s="109"/>
      <c r="C31" s="109"/>
      <c r="D31" s="109"/>
      <c r="E31" s="109"/>
    </row>
    <row r="32" spans="1:9" customFormat="1">
      <c r="A32" s="109"/>
      <c r="B32" s="109"/>
      <c r="C32" s="109"/>
      <c r="D32" s="109"/>
      <c r="E32" s="109"/>
    </row>
    <row r="33" spans="1:5" customFormat="1">
      <c r="A33" s="109"/>
      <c r="B33" s="109"/>
      <c r="C33" s="109"/>
      <c r="D33" s="109"/>
      <c r="E33" s="109"/>
    </row>
    <row r="34" spans="1:5" customFormat="1">
      <c r="A34" s="109"/>
      <c r="B34" s="109"/>
      <c r="C34" s="109"/>
      <c r="D34" s="109"/>
      <c r="E34" s="109"/>
    </row>
    <row r="35" spans="1:5" customFormat="1">
      <c r="A35" s="109"/>
      <c r="B35" s="109"/>
      <c r="C35" s="109"/>
      <c r="D35" s="109"/>
      <c r="E35" s="109"/>
    </row>
    <row r="36" spans="1:5" customFormat="1">
      <c r="A36" s="109"/>
      <c r="B36" s="109"/>
      <c r="C36" s="109"/>
      <c r="D36" s="109"/>
      <c r="E36" s="109"/>
    </row>
    <row r="37" spans="1:5" customFormat="1">
      <c r="A37" s="109"/>
      <c r="B37" s="109"/>
      <c r="C37" s="109"/>
      <c r="D37" s="109"/>
      <c r="E37" s="109"/>
    </row>
    <row r="38" spans="1:5" customFormat="1">
      <c r="A38" s="109"/>
      <c r="B38" s="109"/>
      <c r="C38" s="109"/>
      <c r="D38" s="109"/>
      <c r="E38" s="109"/>
    </row>
    <row r="39" spans="1:5" customFormat="1">
      <c r="A39" s="109"/>
      <c r="B39" s="109"/>
      <c r="C39" s="109"/>
      <c r="D39" s="109"/>
      <c r="E39" s="109"/>
    </row>
    <row r="40" spans="1:5" customFormat="1">
      <c r="A40" s="109"/>
      <c r="B40" s="109"/>
      <c r="C40" s="109"/>
      <c r="D40" s="109"/>
      <c r="E40" s="109"/>
    </row>
    <row r="41" spans="1:5" customFormat="1">
      <c r="A41" s="109"/>
      <c r="B41" s="109"/>
      <c r="C41" s="109"/>
      <c r="D41" s="109"/>
      <c r="E41" s="109"/>
    </row>
    <row r="42" spans="1:5" customFormat="1">
      <c r="A42" s="109"/>
      <c r="B42" s="109"/>
      <c r="C42" s="109"/>
      <c r="D42" s="109"/>
      <c r="E42" s="109"/>
    </row>
    <row r="43" spans="1:5" customFormat="1">
      <c r="A43" s="109"/>
      <c r="B43" s="109"/>
      <c r="C43" s="109"/>
      <c r="D43" s="109"/>
      <c r="E43" s="109"/>
    </row>
    <row r="44" spans="1:5" customFormat="1">
      <c r="A44" s="109"/>
      <c r="B44" s="109"/>
      <c r="C44" s="109"/>
      <c r="D44" s="109"/>
      <c r="E44" s="109"/>
    </row>
    <row r="45" spans="1:5" customFormat="1">
      <c r="A45" s="109"/>
      <c r="B45" s="109"/>
      <c r="C45" s="109"/>
      <c r="D45" s="109"/>
      <c r="E45" s="109"/>
    </row>
    <row r="46" spans="1:5" customFormat="1">
      <c r="A46" s="109"/>
      <c r="B46" s="109"/>
      <c r="C46" s="109"/>
      <c r="D46" s="109"/>
      <c r="E46" s="109"/>
    </row>
    <row r="47" spans="1:5" customFormat="1">
      <c r="A47" s="109"/>
      <c r="B47" s="109"/>
      <c r="C47" s="109"/>
      <c r="D47" s="109"/>
      <c r="E47" s="109"/>
    </row>
    <row r="48" spans="1:5" customFormat="1">
      <c r="A48" s="109"/>
      <c r="B48" s="109"/>
      <c r="C48" s="109"/>
      <c r="D48" s="109"/>
      <c r="E48" s="109"/>
    </row>
    <row r="49" spans="1:5" customFormat="1">
      <c r="A49" s="109"/>
      <c r="B49" s="109"/>
      <c r="C49" s="109"/>
      <c r="D49" s="109"/>
      <c r="E49" s="109"/>
    </row>
    <row r="50" spans="1:5" customFormat="1">
      <c r="A50" s="109"/>
      <c r="B50" s="109"/>
      <c r="C50" s="109"/>
      <c r="D50" s="109"/>
      <c r="E50" s="109"/>
    </row>
    <row r="51" spans="1:5" customFormat="1">
      <c r="A51" s="109"/>
      <c r="B51" s="109"/>
      <c r="C51" s="109"/>
      <c r="D51" s="109"/>
      <c r="E51" s="109"/>
    </row>
    <row r="52" spans="1:5" customFormat="1">
      <c r="A52" s="109"/>
      <c r="B52" s="109"/>
      <c r="C52" s="109"/>
      <c r="D52" s="109"/>
      <c r="E52" s="109"/>
    </row>
    <row r="53" spans="1:5" customFormat="1">
      <c r="A53" s="109"/>
      <c r="B53" s="109"/>
      <c r="C53" s="109"/>
      <c r="D53" s="109"/>
      <c r="E53" s="109"/>
    </row>
    <row r="54" spans="1:5" customFormat="1">
      <c r="A54" s="109"/>
      <c r="B54" s="109"/>
      <c r="C54" s="109"/>
      <c r="D54" s="109"/>
      <c r="E54" s="109"/>
    </row>
    <row r="55" spans="1:5" customFormat="1">
      <c r="A55" s="109"/>
      <c r="B55" s="109"/>
      <c r="C55" s="109"/>
      <c r="D55" s="109"/>
      <c r="E55" s="109"/>
    </row>
    <row r="56" spans="1:5" customFormat="1">
      <c r="A56" s="109"/>
      <c r="B56" s="109"/>
      <c r="C56" s="109"/>
      <c r="D56" s="109"/>
      <c r="E56" s="109"/>
    </row>
    <row r="57" spans="1:5" customFormat="1">
      <c r="A57" s="109"/>
      <c r="B57" s="109"/>
      <c r="C57" s="109"/>
      <c r="D57" s="109"/>
      <c r="E57" s="109"/>
    </row>
    <row r="58" spans="1:5" customFormat="1">
      <c r="A58" s="109"/>
      <c r="B58" s="109"/>
      <c r="C58" s="109"/>
      <c r="D58" s="109"/>
      <c r="E58" s="109"/>
    </row>
    <row r="59" spans="1:5" customFormat="1">
      <c r="A59" s="109"/>
      <c r="B59" s="109"/>
      <c r="C59" s="109"/>
      <c r="D59" s="109"/>
      <c r="E59" s="109"/>
    </row>
    <row r="60" spans="1:5" customFormat="1">
      <c r="A60" s="109"/>
      <c r="B60" s="109"/>
      <c r="C60" s="109"/>
      <c r="D60" s="109"/>
      <c r="E60" s="109"/>
    </row>
    <row r="61" spans="1:5" customFormat="1">
      <c r="A61" s="109"/>
      <c r="B61" s="109"/>
      <c r="C61" s="109"/>
      <c r="D61" s="109"/>
      <c r="E61" s="109"/>
    </row>
    <row r="62" spans="1:5" customFormat="1">
      <c r="A62" s="109"/>
      <c r="B62" s="109"/>
      <c r="C62" s="109"/>
      <c r="D62" s="109"/>
      <c r="E62" s="109"/>
    </row>
    <row r="63" spans="1:5" customFormat="1">
      <c r="A63" s="109"/>
      <c r="B63" s="109"/>
      <c r="C63" s="109"/>
      <c r="D63" s="109"/>
      <c r="E63" s="109"/>
    </row>
    <row r="64" spans="1:5" customFormat="1">
      <c r="A64" s="109"/>
      <c r="B64" s="109"/>
      <c r="C64" s="109"/>
      <c r="D64" s="109"/>
      <c r="E64" s="109"/>
    </row>
    <row r="65" spans="1:5" customFormat="1">
      <c r="A65" s="109"/>
      <c r="B65" s="109"/>
      <c r="C65" s="109"/>
      <c r="D65" s="109"/>
      <c r="E65" s="109"/>
    </row>
    <row r="66" spans="1:5" customFormat="1">
      <c r="A66" s="109"/>
      <c r="B66" s="109"/>
      <c r="C66" s="109"/>
      <c r="D66" s="109"/>
      <c r="E66" s="109"/>
    </row>
    <row r="67" spans="1:5" customFormat="1">
      <c r="A67" s="109"/>
      <c r="B67" s="109"/>
      <c r="C67" s="109"/>
      <c r="D67" s="109"/>
      <c r="E67" s="109"/>
    </row>
    <row r="68" spans="1:5" customFormat="1">
      <c r="A68" s="109"/>
      <c r="B68" s="109"/>
      <c r="C68" s="109"/>
      <c r="D68" s="109"/>
      <c r="E68" s="109"/>
    </row>
    <row r="69" spans="1:5" customFormat="1">
      <c r="A69" s="109"/>
      <c r="B69" s="109"/>
      <c r="C69" s="109"/>
      <c r="D69" s="109"/>
      <c r="E69" s="109"/>
    </row>
    <row r="70" spans="1:5" customFormat="1">
      <c r="A70" s="109"/>
      <c r="B70" s="109"/>
      <c r="C70" s="109"/>
      <c r="D70" s="109"/>
      <c r="E70" s="109"/>
    </row>
    <row r="71" spans="1:5" customFormat="1">
      <c r="A71" s="109"/>
      <c r="B71" s="109"/>
      <c r="C71" s="109"/>
      <c r="D71" s="109"/>
      <c r="E71" s="109"/>
    </row>
    <row r="72" spans="1:5" customFormat="1">
      <c r="A72" s="109"/>
      <c r="B72" s="109"/>
      <c r="C72" s="109"/>
      <c r="D72" s="109"/>
      <c r="E72" s="109"/>
    </row>
    <row r="73" spans="1:5" customFormat="1">
      <c r="A73" s="109"/>
      <c r="B73" s="109"/>
      <c r="C73" s="109"/>
      <c r="D73" s="109"/>
      <c r="E73" s="109"/>
    </row>
    <row r="74" spans="1:5" customFormat="1">
      <c r="A74" s="109"/>
      <c r="B74" s="109"/>
      <c r="C74" s="109"/>
      <c r="D74" s="109"/>
      <c r="E74" s="109"/>
    </row>
    <row r="75" spans="1:5" customFormat="1">
      <c r="A75" s="109"/>
      <c r="B75" s="109"/>
      <c r="C75" s="109"/>
      <c r="D75" s="109"/>
      <c r="E75" s="109"/>
    </row>
    <row r="76" spans="1:5" customFormat="1">
      <c r="A76" s="109"/>
      <c r="B76" s="109"/>
      <c r="C76" s="109"/>
      <c r="D76" s="109"/>
      <c r="E76" s="109"/>
    </row>
    <row r="77" spans="1:5" customFormat="1">
      <c r="A77" s="109"/>
      <c r="B77" s="109"/>
      <c r="C77" s="109"/>
      <c r="D77" s="109"/>
      <c r="E77" s="109"/>
    </row>
    <row r="78" spans="1:5" customFormat="1">
      <c r="A78" s="109"/>
      <c r="B78" s="109"/>
      <c r="C78" s="109"/>
      <c r="D78" s="109"/>
      <c r="E78" s="109"/>
    </row>
    <row r="79" spans="1:5" customFormat="1">
      <c r="A79" s="109"/>
      <c r="B79" s="109"/>
      <c r="C79" s="109"/>
      <c r="D79" s="109"/>
      <c r="E79" s="109"/>
    </row>
    <row r="80" spans="1:5" customFormat="1">
      <c r="A80" s="109"/>
      <c r="B80" s="109"/>
      <c r="C80" s="109"/>
      <c r="D80" s="109"/>
      <c r="E80" s="109"/>
    </row>
    <row r="81" spans="1:5" customFormat="1">
      <c r="A81" s="109"/>
      <c r="B81" s="109"/>
      <c r="C81" s="109"/>
      <c r="D81" s="109"/>
      <c r="E81" s="109"/>
    </row>
    <row r="82" spans="1:5" customFormat="1">
      <c r="A82" s="109"/>
      <c r="B82" s="109"/>
      <c r="C82" s="109"/>
      <c r="D82" s="109"/>
      <c r="E82" s="109"/>
    </row>
    <row r="83" spans="1:5" customFormat="1">
      <c r="A83" s="109"/>
      <c r="B83" s="109"/>
      <c r="C83" s="109"/>
      <c r="D83" s="109"/>
      <c r="E83" s="109"/>
    </row>
    <row r="84" spans="1:5" customFormat="1">
      <c r="A84" s="109"/>
      <c r="B84" s="109"/>
      <c r="C84" s="109"/>
      <c r="D84" s="109"/>
      <c r="E84" s="109"/>
    </row>
    <row r="85" spans="1:5" customFormat="1">
      <c r="A85" s="109"/>
      <c r="B85" s="109"/>
      <c r="C85" s="109"/>
      <c r="D85" s="109"/>
      <c r="E85" s="109"/>
    </row>
    <row r="86" spans="1:5" customFormat="1">
      <c r="A86" s="109"/>
      <c r="B86" s="109"/>
      <c r="C86" s="109"/>
      <c r="D86" s="109"/>
      <c r="E86" s="109"/>
    </row>
    <row r="87" spans="1:5" customFormat="1">
      <c r="A87" s="109"/>
      <c r="B87" s="109"/>
      <c r="C87" s="109"/>
      <c r="D87" s="109"/>
      <c r="E87" s="109"/>
    </row>
    <row r="88" spans="1:5" customFormat="1">
      <c r="A88" s="109"/>
      <c r="B88" s="109"/>
      <c r="C88" s="109"/>
      <c r="D88" s="109"/>
      <c r="E88" s="109"/>
    </row>
    <row r="89" spans="1:5" customFormat="1">
      <c r="A89" s="109"/>
      <c r="B89" s="109"/>
      <c r="C89" s="109"/>
      <c r="D89" s="109"/>
      <c r="E89" s="109"/>
    </row>
    <row r="90" spans="1:5" customFormat="1">
      <c r="A90" s="109"/>
      <c r="B90" s="109"/>
      <c r="C90" s="109"/>
      <c r="D90" s="109"/>
      <c r="E90" s="109"/>
    </row>
    <row r="91" spans="1:5" customFormat="1">
      <c r="A91" s="109"/>
      <c r="B91" s="109"/>
      <c r="C91" s="109"/>
      <c r="D91" s="109"/>
      <c r="E91" s="109"/>
    </row>
    <row r="92" spans="1:5" customFormat="1">
      <c r="A92" s="109"/>
      <c r="B92" s="109"/>
      <c r="C92" s="109"/>
      <c r="D92" s="109"/>
      <c r="E92" s="109"/>
    </row>
    <row r="93" spans="1:5" customFormat="1">
      <c r="A93" s="109"/>
      <c r="B93" s="109"/>
      <c r="C93" s="109"/>
      <c r="D93" s="109"/>
      <c r="E93" s="109"/>
    </row>
    <row r="94" spans="1:5" customFormat="1">
      <c r="A94" s="109"/>
      <c r="B94" s="109"/>
      <c r="C94" s="109"/>
      <c r="D94" s="109"/>
      <c r="E94" s="109"/>
    </row>
    <row r="95" spans="1:5" customFormat="1">
      <c r="A95" s="109"/>
      <c r="B95" s="109"/>
      <c r="C95" s="109"/>
      <c r="D95" s="109"/>
      <c r="E95" s="109"/>
    </row>
    <row r="96" spans="1:5" customFormat="1">
      <c r="A96" s="109"/>
      <c r="B96" s="109"/>
      <c r="C96" s="109"/>
      <c r="D96" s="109"/>
      <c r="E96" s="109"/>
    </row>
    <row r="97" spans="1:5" customFormat="1">
      <c r="A97" s="109"/>
      <c r="B97" s="109"/>
      <c r="C97" s="109"/>
      <c r="D97" s="109"/>
      <c r="E97" s="109"/>
    </row>
    <row r="98" spans="1:5" customFormat="1">
      <c r="A98" s="109"/>
      <c r="B98" s="109"/>
      <c r="C98" s="109"/>
      <c r="D98" s="109"/>
      <c r="E98" s="109"/>
    </row>
    <row r="99" spans="1:5" customFormat="1">
      <c r="A99" s="109"/>
      <c r="B99" s="109"/>
      <c r="C99" s="109"/>
      <c r="D99" s="109"/>
      <c r="E99" s="109"/>
    </row>
    <row r="100" spans="1:5" customFormat="1">
      <c r="A100" s="109"/>
      <c r="B100" s="109"/>
      <c r="C100" s="109"/>
      <c r="D100" s="109"/>
      <c r="E100" s="109"/>
    </row>
    <row r="101" spans="1:5" customFormat="1">
      <c r="A101" s="109"/>
      <c r="B101" s="109"/>
      <c r="C101" s="109"/>
      <c r="D101" s="109"/>
      <c r="E101" s="109"/>
    </row>
    <row r="102" spans="1:5" customFormat="1">
      <c r="A102" s="109"/>
      <c r="B102" s="109"/>
      <c r="C102" s="109"/>
      <c r="D102" s="109"/>
      <c r="E102" s="109"/>
    </row>
    <row r="103" spans="1:5" customFormat="1">
      <c r="A103" s="109"/>
      <c r="B103" s="109"/>
      <c r="C103" s="109"/>
      <c r="D103" s="109"/>
      <c r="E103" s="109"/>
    </row>
    <row r="104" spans="1:5" customFormat="1">
      <c r="A104" s="109"/>
      <c r="B104" s="109"/>
      <c r="C104" s="109"/>
      <c r="D104" s="109"/>
      <c r="E104" s="109"/>
    </row>
    <row r="105" spans="1:5" customFormat="1">
      <c r="A105" s="109"/>
      <c r="B105" s="109"/>
      <c r="C105" s="109"/>
      <c r="D105" s="109"/>
      <c r="E105" s="109"/>
    </row>
    <row r="106" spans="1:5" customFormat="1">
      <c r="A106" s="109"/>
      <c r="B106" s="109"/>
      <c r="C106" s="109"/>
      <c r="D106" s="109"/>
      <c r="E106" s="109"/>
    </row>
    <row r="107" spans="1:5" customFormat="1">
      <c r="A107" s="109"/>
      <c r="B107" s="109"/>
      <c r="C107" s="109"/>
      <c r="D107" s="109"/>
      <c r="E107" s="109"/>
    </row>
    <row r="108" spans="1:5" customFormat="1">
      <c r="A108" s="109"/>
      <c r="B108" s="109"/>
      <c r="C108" s="109"/>
      <c r="D108" s="109"/>
      <c r="E108" s="109"/>
    </row>
    <row r="109" spans="1:5" customFormat="1">
      <c r="A109" s="109"/>
      <c r="B109" s="109"/>
      <c r="C109" s="109"/>
      <c r="D109" s="109"/>
      <c r="E109" s="109"/>
    </row>
    <row r="110" spans="1:5" customFormat="1">
      <c r="A110" s="109"/>
      <c r="B110" s="109"/>
      <c r="C110" s="109"/>
      <c r="D110" s="109"/>
      <c r="E110" s="109"/>
    </row>
    <row r="111" spans="1:5" customFormat="1">
      <c r="A111" s="109"/>
      <c r="B111" s="109"/>
      <c r="C111" s="109"/>
      <c r="D111" s="109"/>
      <c r="E111" s="109"/>
    </row>
    <row r="112" spans="1:5" customFormat="1">
      <c r="A112" s="109"/>
      <c r="B112" s="109"/>
      <c r="C112" s="109"/>
      <c r="D112" s="109"/>
      <c r="E112" s="109"/>
    </row>
    <row r="113" spans="1:5" customFormat="1">
      <c r="A113" s="109"/>
      <c r="B113" s="109"/>
      <c r="C113" s="109"/>
      <c r="D113" s="109"/>
      <c r="E113" s="109"/>
    </row>
    <row r="114" spans="1:5" customFormat="1">
      <c r="A114" s="109"/>
      <c r="B114" s="109"/>
      <c r="C114" s="109"/>
      <c r="D114" s="109"/>
      <c r="E114" s="109"/>
    </row>
    <row r="115" spans="1:5" customFormat="1">
      <c r="A115" s="109"/>
      <c r="B115" s="109"/>
      <c r="C115" s="109"/>
      <c r="D115" s="109"/>
      <c r="E115" s="109"/>
    </row>
    <row r="116" spans="1:5" customFormat="1">
      <c r="A116" s="109"/>
      <c r="B116" s="109"/>
      <c r="C116" s="109"/>
      <c r="D116" s="109"/>
      <c r="E116" s="109"/>
    </row>
    <row r="117" spans="1:5" customFormat="1">
      <c r="A117" s="109"/>
      <c r="B117" s="109"/>
      <c r="C117" s="109"/>
      <c r="D117" s="109"/>
      <c r="E117" s="109"/>
    </row>
    <row r="118" spans="1:5" customFormat="1">
      <c r="A118" s="109"/>
      <c r="B118" s="109"/>
      <c r="C118" s="109"/>
      <c r="D118" s="109"/>
      <c r="E118" s="109"/>
    </row>
    <row r="119" spans="1:5" customFormat="1">
      <c r="A119" s="109"/>
      <c r="B119" s="109"/>
      <c r="C119" s="109"/>
      <c r="D119" s="109"/>
      <c r="E119" s="109"/>
    </row>
    <row r="120" spans="1:5" customFormat="1">
      <c r="A120" s="109"/>
      <c r="B120" s="109"/>
      <c r="C120" s="109"/>
      <c r="D120" s="109"/>
      <c r="E120" s="109"/>
    </row>
    <row r="121" spans="1:5" customFormat="1">
      <c r="A121" s="109"/>
      <c r="B121" s="109"/>
      <c r="C121" s="109"/>
      <c r="D121" s="109"/>
      <c r="E121" s="109"/>
    </row>
    <row r="122" spans="1:5" customFormat="1">
      <c r="A122" s="109"/>
      <c r="B122" s="109"/>
      <c r="C122" s="109"/>
      <c r="D122" s="109"/>
      <c r="E122" s="109"/>
    </row>
    <row r="123" spans="1:5" customFormat="1">
      <c r="A123" s="109"/>
      <c r="B123" s="109"/>
      <c r="C123" s="109"/>
      <c r="D123" s="109"/>
      <c r="E123" s="109"/>
    </row>
    <row r="124" spans="1:5" customFormat="1">
      <c r="A124" s="109"/>
      <c r="B124" s="109"/>
      <c r="C124" s="109"/>
      <c r="D124" s="109"/>
      <c r="E124" s="109"/>
    </row>
    <row r="125" spans="1:5" customFormat="1">
      <c r="A125" s="109"/>
      <c r="B125" s="109"/>
      <c r="C125" s="109"/>
      <c r="D125" s="109"/>
      <c r="E125" s="109"/>
    </row>
    <row r="126" spans="1:5" customFormat="1">
      <c r="A126" s="109"/>
      <c r="B126" s="109"/>
      <c r="C126" s="109"/>
      <c r="D126" s="109"/>
      <c r="E126" s="109"/>
    </row>
    <row r="127" spans="1:5" customFormat="1">
      <c r="A127" s="109"/>
      <c r="B127" s="109"/>
      <c r="C127" s="109"/>
      <c r="D127" s="109"/>
      <c r="E127" s="109"/>
    </row>
    <row r="128" spans="1:5" customFormat="1">
      <c r="A128" s="109"/>
      <c r="B128" s="109"/>
      <c r="C128" s="109"/>
      <c r="D128" s="109"/>
      <c r="E128" s="109"/>
    </row>
    <row r="129" spans="1:5" customFormat="1">
      <c r="A129" s="109"/>
      <c r="B129" s="109"/>
      <c r="C129" s="109"/>
      <c r="D129" s="109"/>
      <c r="E129" s="109"/>
    </row>
    <row r="130" spans="1:5" customFormat="1">
      <c r="A130" s="109"/>
      <c r="B130" s="109"/>
      <c r="C130" s="109"/>
      <c r="D130" s="109"/>
      <c r="E130" s="109"/>
    </row>
    <row r="131" spans="1:5" customFormat="1">
      <c r="A131" s="109"/>
      <c r="B131" s="109"/>
      <c r="C131" s="109"/>
      <c r="D131" s="109"/>
      <c r="E131" s="109"/>
    </row>
    <row r="132" spans="1:5" customFormat="1">
      <c r="A132" s="109"/>
      <c r="B132" s="109"/>
      <c r="C132" s="109"/>
      <c r="D132" s="109"/>
      <c r="E132" s="109"/>
    </row>
    <row r="133" spans="1:5" customFormat="1">
      <c r="A133" s="109"/>
      <c r="B133" s="109"/>
      <c r="C133" s="109"/>
      <c r="D133" s="109"/>
      <c r="E133" s="109"/>
    </row>
    <row r="134" spans="1:5" customFormat="1">
      <c r="A134" s="109"/>
      <c r="B134" s="109"/>
      <c r="C134" s="109"/>
      <c r="D134" s="109"/>
      <c r="E134" s="109"/>
    </row>
    <row r="135" spans="1:5" customFormat="1">
      <c r="A135" s="109"/>
      <c r="B135" s="109"/>
      <c r="C135" s="109"/>
      <c r="D135" s="109"/>
      <c r="E135" s="109"/>
    </row>
    <row r="136" spans="1:5" customFormat="1">
      <c r="A136" s="109"/>
      <c r="B136" s="109"/>
      <c r="C136" s="109"/>
      <c r="D136" s="109"/>
      <c r="E136" s="109"/>
    </row>
    <row r="137" spans="1:5" customFormat="1">
      <c r="A137" s="109"/>
      <c r="B137" s="109"/>
      <c r="C137" s="109"/>
      <c r="D137" s="109"/>
      <c r="E137" s="109"/>
    </row>
    <row r="138" spans="1:5" customFormat="1">
      <c r="A138" s="109"/>
      <c r="B138" s="109"/>
      <c r="C138" s="109"/>
      <c r="D138" s="109"/>
      <c r="E138" s="109"/>
    </row>
    <row r="139" spans="1:5" customFormat="1">
      <c r="A139" s="109"/>
      <c r="B139" s="109"/>
      <c r="C139" s="109"/>
      <c r="D139" s="109"/>
      <c r="E139" s="109"/>
    </row>
    <row r="140" spans="1:5" customFormat="1">
      <c r="A140" s="109"/>
      <c r="B140" s="109"/>
      <c r="C140" s="109"/>
      <c r="D140" s="109"/>
      <c r="E140" s="109"/>
    </row>
    <row r="141" spans="1:5" customFormat="1">
      <c r="A141" s="109"/>
      <c r="B141" s="109"/>
      <c r="C141" s="109"/>
      <c r="D141" s="109"/>
      <c r="E141" s="109"/>
    </row>
    <row r="142" spans="1:5" customFormat="1">
      <c r="A142" s="109"/>
      <c r="B142" s="109"/>
      <c r="C142" s="109"/>
      <c r="D142" s="109"/>
      <c r="E142" s="109"/>
    </row>
    <row r="143" spans="1:5" customFormat="1">
      <c r="A143" s="109"/>
      <c r="B143" s="109"/>
      <c r="C143" s="109"/>
      <c r="D143" s="109"/>
      <c r="E143" s="109"/>
    </row>
    <row r="144" spans="1:5" customFormat="1">
      <c r="A144" s="109"/>
      <c r="B144" s="109"/>
      <c r="C144" s="109"/>
      <c r="D144" s="109"/>
      <c r="E144" s="109"/>
    </row>
    <row r="145" spans="1:5" customFormat="1">
      <c r="A145" s="109"/>
      <c r="B145" s="109"/>
      <c r="C145" s="109"/>
      <c r="D145" s="109"/>
      <c r="E145" s="109"/>
    </row>
    <row r="146" spans="1:5" customFormat="1">
      <c r="A146" s="109"/>
      <c r="B146" s="109"/>
      <c r="C146" s="109"/>
      <c r="D146" s="109"/>
      <c r="E146" s="109"/>
    </row>
    <row r="147" spans="1:5" customFormat="1">
      <c r="A147" s="109"/>
      <c r="B147" s="109"/>
      <c r="C147" s="109"/>
      <c r="D147" s="109"/>
      <c r="E147" s="109"/>
    </row>
    <row r="148" spans="1:5" customFormat="1">
      <c r="A148" s="109"/>
      <c r="B148" s="109"/>
      <c r="C148" s="109"/>
      <c r="D148" s="109"/>
      <c r="E148" s="109"/>
    </row>
    <row r="149" spans="1:5" customFormat="1">
      <c r="A149" s="109"/>
      <c r="B149" s="109"/>
      <c r="C149" s="109"/>
      <c r="D149" s="109"/>
      <c r="E149" s="109"/>
    </row>
    <row r="150" spans="1:5" customFormat="1">
      <c r="A150" s="109"/>
      <c r="B150" s="109"/>
      <c r="C150" s="109"/>
      <c r="D150" s="109"/>
      <c r="E150" s="109"/>
    </row>
    <row r="151" spans="1:5" customFormat="1">
      <c r="A151" s="109"/>
      <c r="B151" s="109"/>
      <c r="C151" s="109"/>
      <c r="D151" s="109"/>
      <c r="E151" s="109"/>
    </row>
    <row r="152" spans="1:5" customFormat="1">
      <c r="A152" s="109"/>
      <c r="B152" s="109"/>
      <c r="C152" s="109"/>
      <c r="D152" s="109"/>
      <c r="E152" s="109"/>
    </row>
    <row r="153" spans="1:5" customFormat="1">
      <c r="A153" s="109"/>
      <c r="B153" s="109"/>
      <c r="C153" s="109"/>
      <c r="D153" s="109"/>
      <c r="E153" s="109"/>
    </row>
    <row r="154" spans="1:5" customFormat="1">
      <c r="A154" s="109"/>
      <c r="B154" s="109"/>
      <c r="C154" s="109"/>
      <c r="D154" s="109"/>
      <c r="E154" s="109"/>
    </row>
    <row r="155" spans="1:5" customFormat="1">
      <c r="A155" s="109"/>
      <c r="B155" s="109"/>
      <c r="C155" s="109"/>
      <c r="D155" s="109"/>
      <c r="E155" s="109"/>
    </row>
    <row r="156" spans="1:5" customFormat="1">
      <c r="A156" s="109"/>
      <c r="B156" s="109"/>
      <c r="C156" s="109"/>
      <c r="D156" s="109"/>
      <c r="E156" s="109"/>
    </row>
    <row r="157" spans="1:5" customFormat="1">
      <c r="A157" s="109"/>
      <c r="B157" s="109"/>
      <c r="C157" s="109"/>
      <c r="D157" s="109"/>
      <c r="E157" s="109"/>
    </row>
    <row r="158" spans="1:5" customFormat="1">
      <c r="A158" s="109"/>
      <c r="B158" s="109"/>
      <c r="C158" s="109"/>
      <c r="D158" s="109"/>
      <c r="E158" s="109"/>
    </row>
    <row r="159" spans="1:5" customFormat="1">
      <c r="A159" s="109"/>
      <c r="B159" s="109"/>
      <c r="C159" s="109"/>
      <c r="D159" s="109"/>
      <c r="E159" s="109"/>
    </row>
    <row r="160" spans="1:5" customFormat="1">
      <c r="A160" s="109"/>
      <c r="B160" s="109"/>
      <c r="C160" s="109"/>
      <c r="D160" s="109"/>
      <c r="E160" s="109"/>
    </row>
    <row r="161" spans="1:5" customFormat="1">
      <c r="A161" s="109"/>
      <c r="B161" s="109"/>
      <c r="C161" s="109"/>
      <c r="D161" s="109"/>
      <c r="E161" s="109"/>
    </row>
    <row r="162" spans="1:5" customFormat="1">
      <c r="A162" s="109"/>
      <c r="B162" s="109"/>
      <c r="C162" s="109"/>
      <c r="D162" s="109"/>
      <c r="E162" s="109"/>
    </row>
    <row r="163" spans="1:5" customFormat="1">
      <c r="A163" s="109"/>
      <c r="B163" s="109"/>
      <c r="C163" s="109"/>
      <c r="D163" s="109"/>
      <c r="E163" s="109"/>
    </row>
    <row r="164" spans="1:5" customFormat="1">
      <c r="A164" s="109"/>
      <c r="B164" s="109"/>
      <c r="C164" s="109"/>
      <c r="D164" s="109"/>
      <c r="E164" s="109"/>
    </row>
    <row r="165" spans="1:5" customFormat="1">
      <c r="A165" s="109"/>
      <c r="B165" s="109"/>
      <c r="C165" s="109"/>
      <c r="D165" s="109"/>
      <c r="E165" s="109"/>
    </row>
    <row r="166" spans="1:5" customFormat="1">
      <c r="A166" s="109"/>
      <c r="B166" s="109"/>
      <c r="C166" s="109"/>
      <c r="D166" s="109"/>
      <c r="E166" s="109"/>
    </row>
    <row r="167" spans="1:5" customFormat="1">
      <c r="A167" s="109"/>
      <c r="B167" s="109"/>
      <c r="C167" s="109"/>
      <c r="D167" s="109"/>
      <c r="E167" s="109"/>
    </row>
    <row r="168" spans="1:5" customFormat="1">
      <c r="A168" s="109"/>
      <c r="B168" s="109"/>
      <c r="C168" s="109"/>
      <c r="D168" s="109"/>
      <c r="E168" s="109"/>
    </row>
    <row r="169" spans="1:5" customFormat="1">
      <c r="A169" s="109"/>
      <c r="B169" s="109"/>
      <c r="C169" s="109"/>
      <c r="D169" s="109"/>
      <c r="E169" s="109"/>
    </row>
    <row r="170" spans="1:5" customFormat="1">
      <c r="A170" s="109"/>
      <c r="B170" s="109"/>
      <c r="C170" s="109"/>
      <c r="D170" s="109"/>
      <c r="E170" s="109"/>
    </row>
    <row r="171" spans="1:5" customFormat="1">
      <c r="A171" s="109"/>
      <c r="B171" s="109"/>
      <c r="C171" s="109"/>
      <c r="D171" s="109"/>
      <c r="E171" s="109"/>
    </row>
    <row r="172" spans="1:5" customFormat="1">
      <c r="A172" s="109"/>
      <c r="B172" s="109"/>
      <c r="C172" s="109"/>
      <c r="D172" s="109"/>
      <c r="E172" s="109"/>
    </row>
    <row r="173" spans="1:5" customFormat="1">
      <c r="A173" s="109"/>
      <c r="B173" s="109"/>
      <c r="C173" s="109"/>
      <c r="D173" s="109"/>
      <c r="E173" s="109"/>
    </row>
    <row r="174" spans="1:5" customFormat="1">
      <c r="A174" s="109"/>
      <c r="B174" s="109"/>
      <c r="C174" s="109"/>
      <c r="D174" s="109"/>
      <c r="E174" s="109"/>
    </row>
    <row r="175" spans="1:5" customFormat="1">
      <c r="A175" s="109"/>
      <c r="B175" s="109"/>
      <c r="C175" s="109"/>
      <c r="D175" s="109"/>
      <c r="E175" s="109"/>
    </row>
    <row r="176" spans="1:5" customFormat="1">
      <c r="A176" s="109"/>
      <c r="B176" s="109"/>
      <c r="C176" s="109"/>
      <c r="D176" s="109"/>
      <c r="E176" s="109"/>
    </row>
    <row r="177" spans="1:5" customFormat="1">
      <c r="A177" s="109"/>
      <c r="B177" s="109"/>
      <c r="C177" s="109"/>
      <c r="D177" s="109"/>
      <c r="E177" s="109"/>
    </row>
    <row r="178" spans="1:5" customFormat="1">
      <c r="A178" s="109"/>
      <c r="B178" s="109"/>
      <c r="C178" s="109"/>
      <c r="D178" s="109"/>
      <c r="E178" s="109"/>
    </row>
    <row r="179" spans="1:5" customFormat="1">
      <c r="A179" s="109"/>
      <c r="B179" s="109"/>
      <c r="C179" s="109"/>
      <c r="D179" s="109"/>
      <c r="E179" s="109"/>
    </row>
    <row r="180" spans="1:5" customFormat="1">
      <c r="A180" s="109"/>
      <c r="B180" s="109"/>
      <c r="C180" s="109"/>
      <c r="D180" s="109"/>
      <c r="E180" s="109"/>
    </row>
    <row r="181" spans="1:5" customFormat="1">
      <c r="A181" s="109"/>
      <c r="B181" s="109"/>
      <c r="C181" s="109"/>
      <c r="D181" s="109"/>
      <c r="E181" s="109"/>
    </row>
    <row r="182" spans="1:5" customFormat="1">
      <c r="A182" s="109"/>
      <c r="B182" s="109"/>
      <c r="C182" s="109"/>
      <c r="D182" s="109"/>
      <c r="E182" s="109"/>
    </row>
    <row r="183" spans="1:5" customFormat="1">
      <c r="A183" s="109"/>
      <c r="B183" s="109"/>
      <c r="C183" s="109"/>
      <c r="D183" s="109"/>
      <c r="E183" s="109"/>
    </row>
    <row r="184" spans="1:5" customFormat="1">
      <c r="A184" s="109"/>
      <c r="B184" s="109"/>
      <c r="C184" s="109"/>
      <c r="D184" s="109"/>
      <c r="E184" s="109"/>
    </row>
    <row r="185" spans="1:5" customFormat="1">
      <c r="A185" s="109"/>
      <c r="B185" s="109"/>
      <c r="C185" s="109"/>
      <c r="D185" s="109"/>
      <c r="E185" s="109"/>
    </row>
    <row r="186" spans="1:5" customFormat="1">
      <c r="A186" s="109"/>
      <c r="B186" s="109"/>
      <c r="C186" s="109"/>
      <c r="D186" s="109"/>
      <c r="E186" s="109"/>
    </row>
    <row r="187" spans="1:5" customFormat="1">
      <c r="A187" s="109"/>
      <c r="B187" s="109"/>
      <c r="C187" s="109"/>
      <c r="D187" s="109"/>
      <c r="E187" s="109"/>
    </row>
    <row r="188" spans="1:5" customFormat="1">
      <c r="A188" s="109"/>
      <c r="B188" s="109"/>
      <c r="C188" s="109"/>
      <c r="D188" s="109"/>
      <c r="E188" s="109"/>
    </row>
    <row r="189" spans="1:5" customFormat="1">
      <c r="A189" s="109"/>
      <c r="B189" s="109"/>
      <c r="C189" s="109"/>
      <c r="D189" s="109"/>
      <c r="E189" s="109"/>
    </row>
    <row r="190" spans="1:5" customFormat="1">
      <c r="A190" s="109"/>
      <c r="B190" s="109"/>
      <c r="C190" s="109"/>
      <c r="D190" s="109"/>
      <c r="E190" s="109"/>
    </row>
    <row r="191" spans="1:5" customFormat="1">
      <c r="A191" s="109"/>
      <c r="B191" s="109"/>
      <c r="C191" s="109"/>
      <c r="D191" s="109"/>
      <c r="E191" s="109"/>
    </row>
    <row r="192" spans="1:5" customFormat="1">
      <c r="A192" s="109"/>
      <c r="B192" s="109"/>
      <c r="C192" s="109"/>
      <c r="D192" s="109"/>
      <c r="E192" s="109"/>
    </row>
    <row r="193" spans="1:5" customFormat="1">
      <c r="A193" s="109"/>
      <c r="B193" s="109"/>
      <c r="C193" s="109"/>
      <c r="D193" s="109"/>
      <c r="E193" s="109"/>
    </row>
    <row r="194" spans="1:5" customFormat="1">
      <c r="A194" s="109"/>
      <c r="B194" s="109"/>
      <c r="C194" s="109"/>
      <c r="D194" s="109"/>
      <c r="E194" s="109"/>
    </row>
    <row r="195" spans="1:5" customFormat="1">
      <c r="A195" s="109"/>
      <c r="B195" s="109"/>
      <c r="C195" s="109"/>
      <c r="D195" s="109"/>
      <c r="E195" s="109"/>
    </row>
    <row r="196" spans="1:5" customFormat="1">
      <c r="A196" s="109"/>
      <c r="B196" s="109"/>
      <c r="C196" s="109"/>
      <c r="D196" s="109"/>
      <c r="E196" s="109"/>
    </row>
    <row r="197" spans="1:5" customFormat="1">
      <c r="A197" s="109"/>
      <c r="B197" s="109"/>
      <c r="C197" s="109"/>
      <c r="D197" s="109"/>
      <c r="E197" s="109"/>
    </row>
    <row r="198" spans="1:5" customFormat="1">
      <c r="A198" s="109"/>
      <c r="B198" s="109"/>
      <c r="C198" s="109"/>
      <c r="D198" s="109"/>
      <c r="E198" s="109"/>
    </row>
    <row r="199" spans="1:5" customFormat="1">
      <c r="A199" s="109"/>
      <c r="B199" s="109"/>
      <c r="C199" s="109"/>
      <c r="D199" s="109"/>
      <c r="E199" s="109"/>
    </row>
    <row r="200" spans="1:5" customFormat="1">
      <c r="A200" s="109"/>
      <c r="B200" s="109"/>
      <c r="C200" s="109"/>
      <c r="D200" s="109"/>
      <c r="E200" s="109"/>
    </row>
    <row r="201" spans="1:5" customFormat="1">
      <c r="A201" s="109"/>
      <c r="B201" s="109"/>
      <c r="C201" s="109"/>
      <c r="D201" s="109"/>
      <c r="E201" s="109"/>
    </row>
    <row r="202" spans="1:5" customFormat="1">
      <c r="A202" s="109"/>
      <c r="B202" s="109"/>
      <c r="C202" s="109"/>
      <c r="D202" s="109"/>
      <c r="E202" s="109"/>
    </row>
    <row r="203" spans="1:5" customFormat="1">
      <c r="A203" s="109"/>
      <c r="B203" s="109"/>
      <c r="C203" s="109"/>
      <c r="D203" s="109"/>
      <c r="E203" s="109"/>
    </row>
    <row r="204" spans="1:5" customFormat="1">
      <c r="A204" s="109"/>
      <c r="B204" s="109"/>
      <c r="C204" s="109"/>
      <c r="D204" s="109"/>
      <c r="E204" s="109"/>
    </row>
    <row r="205" spans="1:5" customFormat="1">
      <c r="A205" s="109"/>
      <c r="B205" s="109"/>
      <c r="C205" s="109"/>
      <c r="D205" s="109"/>
      <c r="E205" s="109"/>
    </row>
    <row r="206" spans="1:5" customFormat="1">
      <c r="A206" s="109"/>
      <c r="B206" s="109"/>
      <c r="C206" s="109"/>
      <c r="D206" s="109"/>
      <c r="E206" s="109"/>
    </row>
    <row r="207" spans="1:5" customFormat="1">
      <c r="A207" s="109"/>
      <c r="B207" s="109"/>
      <c r="C207" s="109"/>
      <c r="D207" s="109"/>
      <c r="E207" s="109"/>
    </row>
    <row r="208" spans="1:5" customFormat="1">
      <c r="A208" s="109"/>
      <c r="B208" s="109"/>
      <c r="C208" s="109"/>
      <c r="D208" s="109"/>
      <c r="E208" s="109"/>
    </row>
    <row r="209" spans="1:5" customFormat="1">
      <c r="A209" s="109"/>
      <c r="B209" s="109"/>
      <c r="C209" s="109"/>
      <c r="D209" s="109"/>
      <c r="E209" s="109"/>
    </row>
    <row r="210" spans="1:5" customFormat="1">
      <c r="A210" s="109"/>
      <c r="B210" s="109"/>
      <c r="C210" s="109"/>
      <c r="D210" s="109"/>
      <c r="E210" s="109"/>
    </row>
    <row r="211" spans="1:5" customFormat="1">
      <c r="A211" s="109"/>
      <c r="B211" s="109"/>
      <c r="C211" s="109"/>
      <c r="D211" s="109"/>
      <c r="E211" s="109"/>
    </row>
    <row r="212" spans="1:5" customFormat="1">
      <c r="A212" s="109"/>
      <c r="B212" s="109"/>
      <c r="C212" s="109"/>
      <c r="D212" s="109"/>
      <c r="E212" s="109"/>
    </row>
    <row r="213" spans="1:5" customFormat="1">
      <c r="A213" s="109"/>
      <c r="B213" s="109"/>
      <c r="C213" s="109"/>
      <c r="D213" s="109"/>
      <c r="E213" s="109"/>
    </row>
    <row r="214" spans="1:5" customFormat="1">
      <c r="A214" s="109"/>
      <c r="B214" s="109"/>
      <c r="C214" s="109"/>
      <c r="D214" s="109"/>
      <c r="E214" s="109"/>
    </row>
    <row r="215" spans="1:5" customFormat="1">
      <c r="A215" s="109"/>
      <c r="B215" s="109"/>
      <c r="C215" s="109"/>
      <c r="D215" s="109"/>
      <c r="E215" s="109"/>
    </row>
    <row r="216" spans="1:5" customFormat="1">
      <c r="A216" s="109"/>
      <c r="B216" s="109"/>
      <c r="C216" s="109"/>
      <c r="D216" s="109"/>
      <c r="E216" s="109"/>
    </row>
    <row r="217" spans="1:5" customFormat="1">
      <c r="A217" s="109"/>
      <c r="B217" s="109"/>
      <c r="C217" s="109"/>
      <c r="D217" s="109"/>
      <c r="E217" s="109"/>
    </row>
    <row r="218" spans="1:5" customFormat="1">
      <c r="A218" s="109"/>
      <c r="B218" s="109"/>
      <c r="C218" s="109"/>
      <c r="D218" s="109"/>
      <c r="E218" s="109"/>
    </row>
    <row r="219" spans="1:5" customFormat="1">
      <c r="A219" s="109"/>
      <c r="B219" s="109"/>
      <c r="C219" s="109"/>
      <c r="D219" s="109"/>
      <c r="E219" s="109"/>
    </row>
    <row r="220" spans="1:5" customFormat="1">
      <c r="A220" s="109"/>
      <c r="B220" s="109"/>
      <c r="C220" s="109"/>
      <c r="D220" s="109"/>
      <c r="E220" s="109"/>
    </row>
    <row r="221" spans="1:5" customFormat="1">
      <c r="A221" s="109"/>
      <c r="B221" s="109"/>
      <c r="C221" s="109"/>
      <c r="D221" s="109"/>
      <c r="E221" s="109"/>
    </row>
    <row r="222" spans="1:5" customFormat="1">
      <c r="A222" s="109"/>
      <c r="B222" s="109"/>
      <c r="C222" s="109"/>
      <c r="D222" s="109"/>
      <c r="E222" s="109"/>
    </row>
    <row r="223" spans="1:5" customFormat="1">
      <c r="A223" s="109"/>
      <c r="B223" s="109"/>
      <c r="C223" s="109"/>
      <c r="D223" s="109"/>
      <c r="E223" s="109"/>
    </row>
    <row r="224" spans="1:5" customFormat="1">
      <c r="A224" s="109"/>
      <c r="B224" s="109"/>
      <c r="C224" s="109"/>
      <c r="D224" s="109"/>
      <c r="E224" s="109"/>
    </row>
    <row r="225" spans="1:5" customFormat="1">
      <c r="A225" s="109"/>
      <c r="B225" s="109"/>
      <c r="C225" s="109"/>
      <c r="D225" s="109"/>
      <c r="E225" s="109"/>
    </row>
    <row r="226" spans="1:5" customFormat="1">
      <c r="A226" s="109"/>
      <c r="B226" s="109"/>
      <c r="C226" s="109"/>
      <c r="D226" s="109"/>
      <c r="E226" s="109"/>
    </row>
    <row r="227" spans="1:5" customFormat="1">
      <c r="A227" s="109"/>
      <c r="B227" s="109"/>
      <c r="C227" s="109"/>
      <c r="D227" s="109"/>
      <c r="E227" s="109"/>
    </row>
    <row r="228" spans="1:5" customFormat="1">
      <c r="A228" s="109"/>
      <c r="B228" s="109"/>
      <c r="C228" s="109"/>
      <c r="D228" s="109"/>
      <c r="E228" s="109"/>
    </row>
    <row r="229" spans="1:5" customFormat="1">
      <c r="A229" s="109"/>
      <c r="B229" s="109"/>
      <c r="C229" s="109"/>
      <c r="D229" s="109"/>
      <c r="E229" s="109"/>
    </row>
    <row r="230" spans="1:5" customFormat="1">
      <c r="A230" s="109"/>
      <c r="B230" s="109"/>
      <c r="C230" s="109"/>
      <c r="D230" s="109"/>
      <c r="E230" s="109"/>
    </row>
    <row r="231" spans="1:5" customFormat="1">
      <c r="A231" s="109"/>
      <c r="B231" s="109"/>
      <c r="C231" s="109"/>
      <c r="D231" s="109"/>
      <c r="E231" s="109"/>
    </row>
    <row r="232" spans="1:5" customFormat="1">
      <c r="A232" s="109"/>
      <c r="B232" s="109"/>
      <c r="C232" s="109"/>
      <c r="D232" s="109"/>
      <c r="E232" s="109"/>
    </row>
    <row r="233" spans="1:5" customFormat="1">
      <c r="A233" s="109"/>
      <c r="B233" s="109"/>
      <c r="C233" s="109"/>
      <c r="D233" s="109"/>
      <c r="E233" s="109"/>
    </row>
    <row r="234" spans="1:5" customFormat="1">
      <c r="A234" s="109"/>
      <c r="B234" s="109"/>
      <c r="C234" s="109"/>
      <c r="D234" s="109"/>
      <c r="E234" s="109"/>
    </row>
    <row r="235" spans="1:5" customFormat="1">
      <c r="A235" s="109"/>
      <c r="B235" s="109"/>
      <c r="C235" s="109"/>
      <c r="D235" s="109"/>
      <c r="E235" s="109"/>
    </row>
    <row r="236" spans="1:5" customFormat="1">
      <c r="A236" s="109"/>
      <c r="B236" s="109"/>
      <c r="C236" s="109"/>
      <c r="D236" s="109"/>
      <c r="E236" s="109"/>
    </row>
    <row r="237" spans="1:5" customFormat="1">
      <c r="A237" s="109"/>
      <c r="B237" s="109"/>
      <c r="C237" s="109"/>
      <c r="D237" s="109"/>
      <c r="E237" s="109"/>
    </row>
    <row r="238" spans="1:5" customFormat="1">
      <c r="A238" s="109"/>
      <c r="B238" s="109"/>
      <c r="C238" s="109"/>
      <c r="D238" s="109"/>
      <c r="E238" s="109"/>
    </row>
    <row r="239" spans="1:5" customFormat="1">
      <c r="A239" s="109"/>
      <c r="B239" s="109"/>
      <c r="C239" s="109"/>
      <c r="D239" s="109"/>
      <c r="E239" s="109"/>
    </row>
    <row r="240" spans="1:5" customFormat="1">
      <c r="A240" s="109"/>
      <c r="B240" s="109"/>
      <c r="C240" s="109"/>
      <c r="D240" s="109"/>
      <c r="E240" s="109"/>
    </row>
    <row r="241" spans="1:5" customFormat="1">
      <c r="A241" s="109"/>
      <c r="B241" s="109"/>
      <c r="C241" s="109"/>
      <c r="D241" s="109"/>
      <c r="E241" s="109"/>
    </row>
    <row r="242" spans="1:5" customFormat="1">
      <c r="A242" s="109"/>
      <c r="B242" s="109"/>
      <c r="C242" s="109"/>
      <c r="D242" s="109"/>
      <c r="E242" s="109"/>
    </row>
    <row r="243" spans="1:5" customFormat="1">
      <c r="A243" s="109"/>
      <c r="B243" s="109"/>
      <c r="C243" s="109"/>
      <c r="D243" s="109"/>
      <c r="E243" s="109"/>
    </row>
    <row r="244" spans="1:5" customFormat="1">
      <c r="A244" s="109"/>
      <c r="B244" s="109"/>
      <c r="C244" s="109"/>
      <c r="D244" s="109"/>
      <c r="E244" s="109"/>
    </row>
    <row r="245" spans="1:5" customFormat="1">
      <c r="A245" s="109"/>
      <c r="B245" s="109"/>
      <c r="C245" s="109"/>
      <c r="D245" s="109"/>
      <c r="E245" s="109"/>
    </row>
    <row r="246" spans="1:5" customFormat="1">
      <c r="A246" s="109"/>
      <c r="B246" s="109"/>
      <c r="C246" s="109"/>
      <c r="D246" s="109"/>
      <c r="E246" s="109"/>
    </row>
    <row r="247" spans="1:5" customFormat="1">
      <c r="A247" s="109"/>
      <c r="B247" s="109"/>
      <c r="C247" s="109"/>
      <c r="D247" s="109"/>
      <c r="E247" s="109"/>
    </row>
    <row r="248" spans="1:5" customFormat="1">
      <c r="A248" s="109"/>
      <c r="B248" s="109"/>
      <c r="C248" s="109"/>
      <c r="D248" s="109"/>
      <c r="E248" s="109"/>
    </row>
    <row r="249" spans="1:5" customFormat="1">
      <c r="A249" s="109"/>
      <c r="B249" s="109"/>
      <c r="C249" s="109"/>
      <c r="D249" s="109"/>
      <c r="E249" s="109"/>
    </row>
    <row r="250" spans="1:5" customFormat="1">
      <c r="A250" s="109"/>
      <c r="B250" s="109"/>
      <c r="C250" s="109"/>
      <c r="D250" s="109"/>
      <c r="E250" s="109"/>
    </row>
    <row r="251" spans="1:5" customFormat="1">
      <c r="A251" s="109"/>
      <c r="B251" s="109"/>
      <c r="C251" s="109"/>
      <c r="D251" s="109"/>
      <c r="E251" s="109"/>
    </row>
    <row r="252" spans="1:5" customFormat="1">
      <c r="A252" s="109"/>
      <c r="B252" s="109"/>
      <c r="C252" s="109"/>
      <c r="D252" s="109"/>
      <c r="E252" s="109"/>
    </row>
    <row r="253" spans="1:5" customFormat="1">
      <c r="A253" s="109"/>
      <c r="B253" s="109"/>
      <c r="C253" s="109"/>
      <c r="D253" s="109"/>
      <c r="E253" s="109"/>
    </row>
    <row r="254" spans="1:5" customFormat="1">
      <c r="A254" s="109"/>
      <c r="B254" s="109"/>
      <c r="C254" s="109"/>
      <c r="D254" s="109"/>
      <c r="E254" s="109"/>
    </row>
    <row r="255" spans="1:5" customFormat="1">
      <c r="A255" s="109"/>
      <c r="B255" s="109"/>
      <c r="C255" s="109"/>
      <c r="D255" s="109"/>
      <c r="E255" s="109"/>
    </row>
  </sheetData>
  <sheetProtection password="DC9E" sheet="1" objects="1" scenarios="1"/>
  <mergeCells count="3">
    <mergeCell ref="A1:E1"/>
    <mergeCell ref="D2:E2"/>
    <mergeCell ref="A24:E24"/>
  </mergeCells>
  <phoneticPr fontId="10" type="noConversion"/>
  <pageMargins left="0.75" right="0.75" top="1" bottom="1" header="0.5" footer="0.5"/>
  <pageSetup paperSize="9" orientation="portrait" verticalDpi="0"/>
  <headerFooter scaleWithDoc="0"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sheetPr enableFormatConditionsCalculation="0">
    <tabColor theme="5"/>
  </sheetPr>
  <dimension ref="A1:I25"/>
  <sheetViews>
    <sheetView zoomScale="80" workbookViewId="0">
      <selection activeCell="B2" sqref="B2:E3"/>
    </sheetView>
  </sheetViews>
  <sheetFormatPr defaultRowHeight="14.25"/>
  <cols>
    <col min="1" max="1" width="32.375" style="520" customWidth="1"/>
    <col min="2" max="2" width="12" style="520" customWidth="1"/>
    <col min="3" max="3" width="10.625" style="520" customWidth="1"/>
    <col min="4" max="4" width="12.125" style="530" customWidth="1"/>
    <col min="5" max="5" width="10.625" style="520" customWidth="1"/>
    <col min="6" max="6" width="9" style="520"/>
    <col min="7" max="7" width="10.5" style="520" customWidth="1"/>
    <col min="8" max="8" width="9.75" style="520" bestFit="1" customWidth="1"/>
    <col min="9" max="9" width="11.75" style="520" bestFit="1" customWidth="1"/>
    <col min="10" max="16384" width="9" style="520"/>
  </cols>
  <sheetData>
    <row r="1" spans="1:9" ht="28.5" customHeight="1">
      <c r="A1" s="740" t="s">
        <v>163</v>
      </c>
      <c r="B1" s="740"/>
      <c r="C1" s="740"/>
      <c r="D1" s="740"/>
      <c r="E1" s="740"/>
    </row>
    <row r="2" spans="1:9" ht="19.5" customHeight="1">
      <c r="A2" s="531"/>
      <c r="B2" s="531"/>
      <c r="C2" s="531"/>
      <c r="D2" s="760" t="s">
        <v>47</v>
      </c>
      <c r="E2" s="761"/>
    </row>
    <row r="3" spans="1:9" ht="23.1" customHeight="1">
      <c r="A3" s="532" t="s">
        <v>48</v>
      </c>
      <c r="B3" s="790" t="s">
        <v>90</v>
      </c>
      <c r="C3" s="791" t="s">
        <v>91</v>
      </c>
      <c r="D3" s="792" t="s">
        <v>49</v>
      </c>
      <c r="E3" s="763" t="s">
        <v>91</v>
      </c>
      <c r="G3" s="534"/>
      <c r="I3" s="534"/>
    </row>
    <row r="4" spans="1:9" ht="23.1" customHeight="1">
      <c r="A4" s="562" t="s">
        <v>164</v>
      </c>
      <c r="B4" s="563">
        <v>0.40460000000000002</v>
      </c>
      <c r="C4" s="564">
        <v>165.8</v>
      </c>
      <c r="D4" s="565">
        <v>1.2538</v>
      </c>
      <c r="E4" s="552">
        <v>-4.4000000000000004</v>
      </c>
      <c r="G4" s="534"/>
      <c r="I4" s="534"/>
    </row>
    <row r="5" spans="1:9" ht="23.1" customHeight="1">
      <c r="A5" s="539" t="s">
        <v>165</v>
      </c>
      <c r="B5" s="536">
        <v>17.8</v>
      </c>
      <c r="C5" s="537">
        <v>-23.6</v>
      </c>
      <c r="D5" s="566">
        <v>174.54660000000001</v>
      </c>
      <c r="E5" s="170">
        <v>-20.399999999999999</v>
      </c>
      <c r="G5" s="534"/>
      <c r="I5" s="534"/>
    </row>
    <row r="6" spans="1:9" ht="23.1" customHeight="1">
      <c r="A6" s="539" t="s">
        <v>166</v>
      </c>
      <c r="B6" s="536">
        <v>3.4319000000000002</v>
      </c>
      <c r="C6" s="537">
        <v>-23.9</v>
      </c>
      <c r="D6" s="566">
        <v>36.753500000000003</v>
      </c>
      <c r="E6" s="170">
        <v>2.2999999999999998</v>
      </c>
      <c r="G6" s="534"/>
      <c r="I6" s="534"/>
    </row>
    <row r="7" spans="1:9" ht="23.1" customHeight="1">
      <c r="A7" s="539" t="s">
        <v>167</v>
      </c>
      <c r="B7" s="536">
        <v>1.7282999999999999</v>
      </c>
      <c r="C7" s="537">
        <v>-8.3000000000000007</v>
      </c>
      <c r="D7" s="566">
        <v>16.1083</v>
      </c>
      <c r="E7" s="170">
        <v>10.7</v>
      </c>
      <c r="G7" s="534"/>
      <c r="I7" s="534"/>
    </row>
    <row r="8" spans="1:9" ht="23.1" customHeight="1">
      <c r="A8" s="539" t="s">
        <v>168</v>
      </c>
      <c r="B8" s="536">
        <v>1.9856</v>
      </c>
      <c r="C8" s="537">
        <v>-30.1</v>
      </c>
      <c r="D8" s="566">
        <v>15.08</v>
      </c>
      <c r="E8" s="170">
        <v>-18</v>
      </c>
      <c r="G8" s="534"/>
      <c r="I8" s="534"/>
    </row>
    <row r="9" spans="1:9" ht="23.1" customHeight="1">
      <c r="A9" s="539" t="s">
        <v>169</v>
      </c>
      <c r="B9" s="536">
        <v>9.9786000000000001</v>
      </c>
      <c r="C9" s="537">
        <v>19.3</v>
      </c>
      <c r="D9" s="566">
        <v>88.094099999999997</v>
      </c>
      <c r="E9" s="170">
        <v>13.1</v>
      </c>
      <c r="G9" s="567"/>
      <c r="I9" s="534"/>
    </row>
    <row r="10" spans="1:9" ht="23.1" customHeight="1">
      <c r="A10" s="539" t="s">
        <v>170</v>
      </c>
      <c r="B10" s="536">
        <v>37.7072</v>
      </c>
      <c r="C10" s="537">
        <v>46</v>
      </c>
      <c r="D10" s="566">
        <v>274.28739999999999</v>
      </c>
      <c r="E10" s="170">
        <v>3.7</v>
      </c>
      <c r="G10" s="534"/>
      <c r="I10" s="534"/>
    </row>
    <row r="11" spans="1:9" ht="23.1" customHeight="1">
      <c r="A11" s="539" t="s">
        <v>171</v>
      </c>
      <c r="B11" s="536">
        <v>8.1299999999999997E-2</v>
      </c>
      <c r="C11" s="537">
        <v>-68.900000000000006</v>
      </c>
      <c r="D11" s="566">
        <v>1.1012999999999999</v>
      </c>
      <c r="E11" s="170">
        <v>-25.3</v>
      </c>
      <c r="G11" s="534"/>
      <c r="I11" s="534"/>
    </row>
    <row r="12" spans="1:9" ht="23.1" customHeight="1">
      <c r="A12" s="539" t="s">
        <v>172</v>
      </c>
      <c r="B12" s="536">
        <v>6.2538999999999998</v>
      </c>
      <c r="C12" s="537">
        <v>-26.4</v>
      </c>
      <c r="D12" s="566">
        <v>32.523000000000003</v>
      </c>
      <c r="E12" s="170">
        <v>-21.1</v>
      </c>
      <c r="G12" s="534"/>
      <c r="I12" s="534"/>
    </row>
    <row r="13" spans="1:9" ht="23.1" customHeight="1">
      <c r="A13" s="539" t="s">
        <v>173</v>
      </c>
      <c r="B13" s="536">
        <v>0.34310000000000002</v>
      </c>
      <c r="C13" s="537">
        <v>-6.9</v>
      </c>
      <c r="D13" s="566">
        <v>3.4592999999999998</v>
      </c>
      <c r="E13" s="170">
        <v>-19.600000000000001</v>
      </c>
      <c r="G13" s="534"/>
      <c r="I13" s="534"/>
    </row>
    <row r="14" spans="1:9" ht="23.1" customHeight="1">
      <c r="A14" s="541" t="s">
        <v>174</v>
      </c>
      <c r="B14" s="536">
        <v>0.64659999999999995</v>
      </c>
      <c r="C14" s="568">
        <v>-53.2</v>
      </c>
      <c r="D14" s="566">
        <v>9.4431999999999992</v>
      </c>
      <c r="E14" s="170">
        <v>-43.5</v>
      </c>
      <c r="G14" s="534"/>
      <c r="I14" s="534"/>
    </row>
    <row r="15" spans="1:9" ht="23.1" customHeight="1">
      <c r="A15" s="541" t="s">
        <v>175</v>
      </c>
      <c r="B15" s="536">
        <v>0.72829999999999995</v>
      </c>
      <c r="C15" s="568">
        <v>27.9</v>
      </c>
      <c r="D15" s="566">
        <v>5.2884000000000002</v>
      </c>
      <c r="E15" s="170">
        <v>10</v>
      </c>
      <c r="G15" s="534"/>
      <c r="I15" s="534"/>
    </row>
    <row r="16" spans="1:9" ht="23.1" customHeight="1">
      <c r="A16" s="539" t="s">
        <v>176</v>
      </c>
      <c r="B16" s="536">
        <v>0.1671</v>
      </c>
      <c r="C16" s="537">
        <v>7.6</v>
      </c>
      <c r="D16" s="566">
        <v>1.835</v>
      </c>
      <c r="E16" s="170">
        <v>-1.6</v>
      </c>
      <c r="G16" s="534"/>
      <c r="I16" s="534"/>
    </row>
    <row r="17" spans="1:9" ht="23.1" customHeight="1">
      <c r="A17" s="539" t="s">
        <v>177</v>
      </c>
      <c r="B17" s="536">
        <v>23.763999999999999</v>
      </c>
      <c r="C17" s="537">
        <v>3.9</v>
      </c>
      <c r="D17" s="566">
        <v>118.824</v>
      </c>
      <c r="E17" s="170">
        <v>-9.1999999999999993</v>
      </c>
      <c r="F17" s="542"/>
      <c r="G17" s="543"/>
      <c r="I17" s="534"/>
    </row>
    <row r="18" spans="1:9" ht="23.1" customHeight="1">
      <c r="A18" s="539" t="s">
        <v>178</v>
      </c>
      <c r="B18" s="536">
        <v>2.2736000000000001</v>
      </c>
      <c r="C18" s="537">
        <v>98.3</v>
      </c>
      <c r="D18" s="566">
        <v>4.6669</v>
      </c>
      <c r="E18" s="170">
        <v>46.5</v>
      </c>
      <c r="F18" s="542"/>
      <c r="G18" s="534"/>
      <c r="I18" s="534"/>
    </row>
    <row r="19" spans="1:9" ht="23.1" customHeight="1">
      <c r="A19" s="539" t="s">
        <v>179</v>
      </c>
      <c r="B19" s="536">
        <v>3.9899999999999998E-2</v>
      </c>
      <c r="C19" s="537">
        <v>8.5</v>
      </c>
      <c r="D19" s="566">
        <v>0.3044</v>
      </c>
      <c r="E19" s="170">
        <v>-21.1</v>
      </c>
      <c r="F19" s="542"/>
      <c r="G19" s="534"/>
      <c r="I19" s="534"/>
    </row>
    <row r="20" spans="1:9" ht="23.1" customHeight="1">
      <c r="A20" s="539" t="s">
        <v>180</v>
      </c>
      <c r="B20" s="536">
        <v>1.2890999999999999</v>
      </c>
      <c r="C20" s="537">
        <v>-20</v>
      </c>
      <c r="D20" s="566">
        <v>14.320600000000001</v>
      </c>
      <c r="E20" s="170">
        <v>-3.7</v>
      </c>
      <c r="G20" s="534"/>
      <c r="I20" s="534"/>
    </row>
    <row r="21" spans="1:9" ht="23.1" customHeight="1">
      <c r="A21" s="539" t="s">
        <v>181</v>
      </c>
      <c r="B21" s="536">
        <v>0.22370000000000001</v>
      </c>
      <c r="C21" s="537">
        <v>1.7</v>
      </c>
      <c r="D21" s="566">
        <v>1.8407</v>
      </c>
      <c r="E21" s="170">
        <v>-19</v>
      </c>
      <c r="G21" s="534"/>
      <c r="I21" s="534"/>
    </row>
    <row r="22" spans="1:9" ht="23.1" customHeight="1">
      <c r="A22" s="539" t="s">
        <v>182</v>
      </c>
      <c r="B22" s="536">
        <v>16.820799999999998</v>
      </c>
      <c r="C22" s="537">
        <v>28.4</v>
      </c>
      <c r="D22" s="566">
        <v>119.0671</v>
      </c>
      <c r="E22" s="170">
        <v>6.3</v>
      </c>
      <c r="G22" s="534"/>
      <c r="I22" s="534"/>
    </row>
    <row r="23" spans="1:9" ht="23.1" customHeight="1">
      <c r="A23" s="539" t="s">
        <v>183</v>
      </c>
      <c r="B23" s="536">
        <v>0.4945</v>
      </c>
      <c r="C23" s="537">
        <v>10.7</v>
      </c>
      <c r="D23" s="566">
        <v>4.9924999999999997</v>
      </c>
      <c r="E23" s="170">
        <v>0.9</v>
      </c>
      <c r="G23" s="534"/>
      <c r="I23" s="534"/>
    </row>
    <row r="24" spans="1:9" ht="23.1" customHeight="1">
      <c r="A24" s="544" t="s">
        <v>184</v>
      </c>
      <c r="B24" s="546">
        <v>0.66579999999999995</v>
      </c>
      <c r="C24" s="547">
        <v>12.6</v>
      </c>
      <c r="D24" s="569">
        <v>5.8338000000000001</v>
      </c>
      <c r="E24" s="173">
        <v>6.5</v>
      </c>
      <c r="G24" s="534"/>
      <c r="I24" s="534"/>
    </row>
    <row r="25" spans="1:9" ht="29.1" customHeight="1">
      <c r="A25" s="737"/>
      <c r="B25" s="737"/>
      <c r="C25" s="737"/>
      <c r="D25" s="737"/>
      <c r="E25" s="737"/>
    </row>
  </sheetData>
  <sheetProtection password="DC9E" sheet="1" objects="1" scenarios="1"/>
  <mergeCells count="3">
    <mergeCell ref="A1:E1"/>
    <mergeCell ref="D2:E2"/>
    <mergeCell ref="A25:E25"/>
  </mergeCells>
  <phoneticPr fontId="10" type="noConversion"/>
  <pageMargins left="0.75" right="0.75" top="1" bottom="1" header="0.5" footer="0.5"/>
  <pageSetup paperSize="9" orientation="portrait" verticalDpi="0"/>
  <headerFooter scaleWithDoc="0"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sheetPr enableFormatConditionsCalculation="0">
    <tabColor theme="5"/>
  </sheetPr>
  <dimension ref="A1:J21"/>
  <sheetViews>
    <sheetView zoomScale="80" workbookViewId="0">
      <selection activeCell="K17" sqref="K17"/>
    </sheetView>
  </sheetViews>
  <sheetFormatPr defaultRowHeight="14.25"/>
  <cols>
    <col min="1" max="1" width="25" style="520" customWidth="1"/>
    <col min="2" max="2" width="10.625" style="520" customWidth="1"/>
    <col min="3" max="3" width="12" style="520" customWidth="1"/>
    <col min="4" max="4" width="10.625" style="520" customWidth="1"/>
    <col min="5" max="5" width="12.125" style="530" customWidth="1"/>
    <col min="6" max="6" width="10.625" style="520" customWidth="1"/>
    <col min="7" max="7" width="9" style="520"/>
    <col min="8" max="8" width="10.5" style="520" customWidth="1"/>
    <col min="9" max="9" width="9.75" style="520" bestFit="1" customWidth="1"/>
    <col min="10" max="10" width="11.75" style="520" bestFit="1" customWidth="1"/>
    <col min="11" max="16384" width="9" style="520"/>
  </cols>
  <sheetData>
    <row r="1" spans="1:10" ht="28.5" customHeight="1">
      <c r="A1" s="739" t="s">
        <v>185</v>
      </c>
      <c r="B1" s="740"/>
      <c r="C1" s="740"/>
      <c r="D1" s="740"/>
      <c r="E1" s="742"/>
      <c r="F1" s="742"/>
    </row>
    <row r="2" spans="1:10" ht="19.5" customHeight="1">
      <c r="A2" s="531"/>
      <c r="B2" s="531"/>
      <c r="C2" s="531"/>
      <c r="D2" s="531"/>
      <c r="E2" s="738"/>
      <c r="F2" s="738"/>
    </row>
    <row r="3" spans="1:10" ht="23.1" customHeight="1">
      <c r="A3" s="532" t="s">
        <v>48</v>
      </c>
      <c r="B3" s="793" t="s">
        <v>116</v>
      </c>
      <c r="C3" s="762" t="s">
        <v>90</v>
      </c>
      <c r="D3" s="763" t="s">
        <v>91</v>
      </c>
      <c r="E3" s="715" t="s">
        <v>49</v>
      </c>
      <c r="F3" s="533" t="s">
        <v>91</v>
      </c>
      <c r="H3" s="534"/>
      <c r="J3" s="534"/>
    </row>
    <row r="4" spans="1:10" ht="23.1" customHeight="1">
      <c r="A4" s="489" t="s">
        <v>186</v>
      </c>
      <c r="B4" s="794" t="s">
        <v>79</v>
      </c>
      <c r="C4" s="795">
        <v>1.4999999999999999E-2</v>
      </c>
      <c r="D4" s="796">
        <v>-11.8</v>
      </c>
      <c r="E4" s="795">
        <v>1.8151999999999999</v>
      </c>
      <c r="F4" s="170">
        <v>28.3</v>
      </c>
      <c r="H4" s="534"/>
      <c r="J4" s="534"/>
    </row>
    <row r="5" spans="1:10" ht="23.1" customHeight="1">
      <c r="A5" s="489" t="s">
        <v>187</v>
      </c>
      <c r="B5" s="794" t="s">
        <v>79</v>
      </c>
      <c r="C5" s="795">
        <v>25.559000000000001</v>
      </c>
      <c r="D5" s="796">
        <v>-7.1</v>
      </c>
      <c r="E5" s="795">
        <v>210.46029999999999</v>
      </c>
      <c r="F5" s="170">
        <v>1.7</v>
      </c>
      <c r="H5" s="534"/>
      <c r="J5" s="534"/>
    </row>
    <row r="6" spans="1:10" ht="23.1" customHeight="1">
      <c r="A6" s="489" t="s">
        <v>188</v>
      </c>
      <c r="B6" s="794" t="s">
        <v>79</v>
      </c>
      <c r="C6" s="795">
        <v>4.4252000000000002</v>
      </c>
      <c r="D6" s="796">
        <v>-30.6</v>
      </c>
      <c r="E6" s="795">
        <v>38.5396</v>
      </c>
      <c r="F6" s="170">
        <v>6</v>
      </c>
      <c r="H6" s="534"/>
      <c r="J6" s="534"/>
    </row>
    <row r="7" spans="1:10" ht="23.1" customHeight="1">
      <c r="A7" s="489" t="s">
        <v>189</v>
      </c>
      <c r="B7" s="794" t="s">
        <v>79</v>
      </c>
      <c r="C7" s="795">
        <v>0.62</v>
      </c>
      <c r="D7" s="796">
        <v>7.6</v>
      </c>
      <c r="E7" s="795">
        <v>5.2313000000000001</v>
      </c>
      <c r="F7" s="170">
        <v>17.8</v>
      </c>
      <c r="H7" s="534"/>
      <c r="J7" s="534"/>
    </row>
    <row r="8" spans="1:10" ht="23.1" customHeight="1">
      <c r="A8" s="489" t="s">
        <v>190</v>
      </c>
      <c r="B8" s="794" t="s">
        <v>79</v>
      </c>
      <c r="C8" s="795">
        <v>0.67769999999999997</v>
      </c>
      <c r="D8" s="796">
        <v>-43.8</v>
      </c>
      <c r="E8" s="795">
        <v>8.4754000000000005</v>
      </c>
      <c r="F8" s="170">
        <v>-26.4</v>
      </c>
      <c r="H8" s="534"/>
      <c r="J8" s="534"/>
    </row>
    <row r="9" spans="1:10" ht="23.1" customHeight="1">
      <c r="A9" s="481" t="s">
        <v>191</v>
      </c>
      <c r="B9" s="794" t="s">
        <v>79</v>
      </c>
      <c r="C9" s="795">
        <v>2.7187999999999999</v>
      </c>
      <c r="D9" s="797">
        <v>74.599999999999994</v>
      </c>
      <c r="E9" s="795">
        <v>67.7881</v>
      </c>
      <c r="F9" s="170">
        <v>-3.9</v>
      </c>
      <c r="H9" s="534"/>
      <c r="J9" s="534"/>
    </row>
    <row r="10" spans="1:10" ht="23.1" customHeight="1">
      <c r="A10" s="489" t="s">
        <v>192</v>
      </c>
      <c r="B10" s="794" t="s">
        <v>79</v>
      </c>
      <c r="C10" s="795">
        <v>0.62329999999999997</v>
      </c>
      <c r="D10" s="796">
        <v>-21.5</v>
      </c>
      <c r="E10" s="795">
        <v>4.3522999999999996</v>
      </c>
      <c r="F10" s="170">
        <v>-43.3</v>
      </c>
      <c r="G10" s="542"/>
      <c r="H10" s="543"/>
      <c r="J10" s="534"/>
    </row>
    <row r="11" spans="1:10" ht="23.1" customHeight="1">
      <c r="A11" s="489" t="s">
        <v>193</v>
      </c>
      <c r="B11" s="794" t="s">
        <v>194</v>
      </c>
      <c r="C11" s="798">
        <v>7977</v>
      </c>
      <c r="D11" s="796">
        <v>-35.9</v>
      </c>
      <c r="E11" s="799">
        <v>106440</v>
      </c>
      <c r="F11" s="170">
        <v>30.5</v>
      </c>
      <c r="H11" s="534"/>
      <c r="J11" s="534"/>
    </row>
    <row r="12" spans="1:10" ht="23.1" customHeight="1">
      <c r="A12" s="489" t="s">
        <v>195</v>
      </c>
      <c r="B12" s="794" t="s">
        <v>194</v>
      </c>
      <c r="C12" s="798">
        <v>18393</v>
      </c>
      <c r="D12" s="796">
        <v>-17.399999999999999</v>
      </c>
      <c r="E12" s="799">
        <v>133303</v>
      </c>
      <c r="F12" s="170">
        <v>-15.5</v>
      </c>
      <c r="H12" s="534"/>
      <c r="J12" s="534"/>
    </row>
    <row r="13" spans="1:10" ht="23.1" customHeight="1">
      <c r="A13" s="489" t="s">
        <v>196</v>
      </c>
      <c r="B13" s="794" t="s">
        <v>194</v>
      </c>
      <c r="C13" s="798">
        <v>3610</v>
      </c>
      <c r="D13" s="796">
        <v>-20.6</v>
      </c>
      <c r="E13" s="799">
        <v>26857</v>
      </c>
      <c r="F13" s="170">
        <v>-21.1</v>
      </c>
      <c r="H13" s="534"/>
      <c r="J13" s="534"/>
    </row>
    <row r="14" spans="1:10" ht="23.1" customHeight="1">
      <c r="A14" s="489" t="s">
        <v>197</v>
      </c>
      <c r="B14" s="794" t="s">
        <v>194</v>
      </c>
      <c r="C14" s="798">
        <v>12848</v>
      </c>
      <c r="D14" s="796">
        <v>11.7</v>
      </c>
      <c r="E14" s="799">
        <v>91949</v>
      </c>
      <c r="F14" s="170">
        <v>-4.9000000000000004</v>
      </c>
    </row>
    <row r="15" spans="1:10" ht="23.1" customHeight="1">
      <c r="A15" s="550" t="s">
        <v>198</v>
      </c>
      <c r="B15" s="794" t="s">
        <v>79</v>
      </c>
      <c r="C15" s="795">
        <v>0.18640000000000001</v>
      </c>
      <c r="D15" s="800">
        <v>14.6</v>
      </c>
      <c r="E15" s="795">
        <v>1.2978000000000001</v>
      </c>
      <c r="F15" s="556">
        <v>5.3</v>
      </c>
    </row>
    <row r="16" spans="1:10" ht="23.1" customHeight="1">
      <c r="A16" s="479" t="s">
        <v>199</v>
      </c>
      <c r="B16" s="794" t="s">
        <v>79</v>
      </c>
      <c r="C16" s="795">
        <v>3.4350000000000001</v>
      </c>
      <c r="D16" s="800">
        <v>-16.8</v>
      </c>
      <c r="E16" s="795">
        <v>31.635100000000001</v>
      </c>
      <c r="F16" s="556">
        <v>-9.1</v>
      </c>
    </row>
    <row r="17" spans="1:6" ht="23.1" customHeight="1">
      <c r="A17" s="481" t="s">
        <v>200</v>
      </c>
      <c r="B17" s="794" t="s">
        <v>79</v>
      </c>
      <c r="C17" s="795">
        <v>2.1932999999999998</v>
      </c>
      <c r="D17" s="797">
        <v>-2.5</v>
      </c>
      <c r="E17" s="795">
        <v>17.028300000000002</v>
      </c>
      <c r="F17" s="556">
        <v>-0.1</v>
      </c>
    </row>
    <row r="18" spans="1:6" ht="23.1" customHeight="1">
      <c r="A18" s="481" t="s">
        <v>201</v>
      </c>
      <c r="B18" s="794" t="s">
        <v>202</v>
      </c>
      <c r="C18" s="801">
        <v>11.992800000000001</v>
      </c>
      <c r="D18" s="797">
        <v>42.8</v>
      </c>
      <c r="E18" s="801">
        <v>88.242800000000003</v>
      </c>
      <c r="F18" s="556">
        <v>-2</v>
      </c>
    </row>
    <row r="19" spans="1:6" ht="23.1" customHeight="1">
      <c r="A19" s="481" t="s">
        <v>203</v>
      </c>
      <c r="B19" s="794" t="s">
        <v>79</v>
      </c>
      <c r="C19" s="795">
        <v>0.1265</v>
      </c>
      <c r="D19" s="797">
        <v>12.1</v>
      </c>
      <c r="E19" s="795">
        <v>1.0448999999999999</v>
      </c>
      <c r="F19" s="556">
        <v>8</v>
      </c>
    </row>
    <row r="20" spans="1:6" ht="23.1" customHeight="1">
      <c r="A20" s="481" t="s">
        <v>204</v>
      </c>
      <c r="B20" s="794" t="s">
        <v>205</v>
      </c>
      <c r="C20" s="798">
        <v>9117</v>
      </c>
      <c r="D20" s="797">
        <v>108.6</v>
      </c>
      <c r="E20" s="799">
        <v>50029</v>
      </c>
      <c r="F20" s="556">
        <v>28.1</v>
      </c>
    </row>
    <row r="21" spans="1:6" ht="23.1" customHeight="1">
      <c r="A21" s="557" t="s">
        <v>206</v>
      </c>
      <c r="B21" s="558" t="s">
        <v>207</v>
      </c>
      <c r="C21" s="559">
        <v>96</v>
      </c>
      <c r="D21" s="560">
        <v>3.6</v>
      </c>
      <c r="E21" s="446">
        <v>629</v>
      </c>
      <c r="F21" s="561">
        <v>-23.2</v>
      </c>
    </row>
  </sheetData>
  <sheetProtection password="DC9E" sheet="1" objects="1" scenarios="1"/>
  <mergeCells count="2">
    <mergeCell ref="A1:F1"/>
    <mergeCell ref="E2:F2"/>
  </mergeCells>
  <phoneticPr fontId="10" type="noConversion"/>
  <pageMargins left="0.75" right="0.75" top="1" bottom="1" header="0.5" footer="0.5"/>
  <pageSetup paperSize="9" orientation="portrait" verticalDpi="0"/>
  <headerFooter scaleWithDoc="0"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sheetPr enableFormatConditionsCalculation="0">
    <tabColor theme="5"/>
  </sheetPr>
  <dimension ref="A1:J27"/>
  <sheetViews>
    <sheetView zoomScale="80" workbookViewId="0">
      <selection activeCell="H9" sqref="H9"/>
    </sheetView>
  </sheetViews>
  <sheetFormatPr defaultRowHeight="14.25"/>
  <cols>
    <col min="1" max="1" width="25" style="520" customWidth="1"/>
    <col min="2" max="2" width="10.625" style="520" customWidth="1"/>
    <col min="3" max="3" width="12" style="520" customWidth="1"/>
    <col min="4" max="4" width="10.625" style="520" customWidth="1"/>
    <col min="5" max="5" width="12.125" style="530" customWidth="1"/>
    <col min="6" max="6" width="10.625" style="520" customWidth="1"/>
    <col min="7" max="7" width="9" style="520"/>
    <col min="8" max="8" width="10.5" style="520" customWidth="1"/>
    <col min="9" max="9" width="9.75" style="520" bestFit="1" customWidth="1"/>
    <col min="10" max="10" width="11.75" style="520" bestFit="1" customWidth="1"/>
    <col min="11" max="16384" width="9" style="520"/>
  </cols>
  <sheetData>
    <row r="1" spans="1:10" ht="28.5" customHeight="1">
      <c r="A1" s="734" t="s">
        <v>208</v>
      </c>
      <c r="B1" s="735"/>
      <c r="C1" s="735"/>
      <c r="D1" s="735"/>
      <c r="E1" s="736"/>
      <c r="F1" s="736"/>
    </row>
    <row r="2" spans="1:10" ht="19.5" customHeight="1">
      <c r="A2" s="531"/>
      <c r="B2" s="531"/>
      <c r="C2" s="531"/>
      <c r="D2" s="531"/>
      <c r="E2" s="738"/>
      <c r="F2" s="738"/>
    </row>
    <row r="3" spans="1:10" ht="23.1" customHeight="1">
      <c r="A3" s="802" t="s">
        <v>48</v>
      </c>
      <c r="B3" s="802" t="s">
        <v>116</v>
      </c>
      <c r="C3" s="803" t="s">
        <v>90</v>
      </c>
      <c r="D3" s="804" t="s">
        <v>91</v>
      </c>
      <c r="E3" s="805" t="s">
        <v>49</v>
      </c>
      <c r="F3" s="804" t="s">
        <v>91</v>
      </c>
      <c r="H3" s="534"/>
      <c r="J3" s="534"/>
    </row>
    <row r="4" spans="1:10" ht="23.1" customHeight="1">
      <c r="A4" s="806" t="s">
        <v>209</v>
      </c>
      <c r="B4" s="807" t="s">
        <v>79</v>
      </c>
      <c r="C4" s="808">
        <v>4.1997</v>
      </c>
      <c r="D4" s="809">
        <v>-2.4</v>
      </c>
      <c r="E4" s="810">
        <v>34.431100000000001</v>
      </c>
      <c r="F4" s="811">
        <v>-2.2000000000000002</v>
      </c>
      <c r="H4" s="534"/>
      <c r="J4" s="534"/>
    </row>
    <row r="5" spans="1:10" ht="23.1" customHeight="1">
      <c r="A5" s="806" t="s">
        <v>210</v>
      </c>
      <c r="B5" s="807" t="s">
        <v>211</v>
      </c>
      <c r="C5" s="808">
        <v>8.7654999999999994</v>
      </c>
      <c r="D5" s="809">
        <v>34.700000000000003</v>
      </c>
      <c r="E5" s="810">
        <v>75.332899999999995</v>
      </c>
      <c r="F5" s="811">
        <v>34.6</v>
      </c>
      <c r="H5" s="534"/>
      <c r="J5" s="534"/>
    </row>
    <row r="6" spans="1:10" ht="23.1" customHeight="1">
      <c r="A6" s="806" t="s">
        <v>212</v>
      </c>
      <c r="B6" s="807" t="s">
        <v>207</v>
      </c>
      <c r="C6" s="808">
        <v>21.916399999999999</v>
      </c>
      <c r="D6" s="809">
        <v>-45.4</v>
      </c>
      <c r="E6" s="810">
        <v>189.93680000000001</v>
      </c>
      <c r="F6" s="811">
        <v>-29.1</v>
      </c>
      <c r="H6" s="534"/>
      <c r="J6" s="534"/>
    </row>
    <row r="7" spans="1:10" ht="23.1" customHeight="1">
      <c r="A7" s="806" t="s">
        <v>213</v>
      </c>
      <c r="B7" s="807" t="s">
        <v>79</v>
      </c>
      <c r="C7" s="808">
        <v>4.4854000000000003</v>
      </c>
      <c r="D7" s="809">
        <v>-13.8</v>
      </c>
      <c r="E7" s="810">
        <v>40.744900000000001</v>
      </c>
      <c r="F7" s="811">
        <v>-7.2</v>
      </c>
      <c r="H7" s="534"/>
      <c r="J7" s="534"/>
    </row>
    <row r="8" spans="1:10" ht="23.1" customHeight="1">
      <c r="A8" s="806" t="s">
        <v>214</v>
      </c>
      <c r="B8" s="807" t="s">
        <v>79</v>
      </c>
      <c r="C8" s="808">
        <v>19.971800000000002</v>
      </c>
      <c r="D8" s="809">
        <v>10.7</v>
      </c>
      <c r="E8" s="810">
        <v>158.4307</v>
      </c>
      <c r="F8" s="811">
        <v>16.2</v>
      </c>
      <c r="H8" s="534"/>
      <c r="J8" s="534"/>
    </row>
    <row r="9" spans="1:10" ht="23.1" customHeight="1">
      <c r="A9" s="806" t="s">
        <v>215</v>
      </c>
      <c r="B9" s="807" t="s">
        <v>79</v>
      </c>
      <c r="C9" s="808">
        <v>35.612200000000001</v>
      </c>
      <c r="D9" s="809">
        <v>-17</v>
      </c>
      <c r="E9" s="810">
        <v>318.4151</v>
      </c>
      <c r="F9" s="811">
        <v>-20.2</v>
      </c>
      <c r="H9" s="534"/>
      <c r="J9" s="534"/>
    </row>
    <row r="10" spans="1:10" ht="23.1" customHeight="1">
      <c r="A10" s="806" t="s">
        <v>216</v>
      </c>
      <c r="B10" s="807" t="s">
        <v>79</v>
      </c>
      <c r="C10" s="808">
        <v>9.7535000000000007</v>
      </c>
      <c r="D10" s="809">
        <v>-33.200000000000003</v>
      </c>
      <c r="E10" s="810">
        <v>103.8934</v>
      </c>
      <c r="F10" s="811">
        <v>-23.2</v>
      </c>
      <c r="H10" s="534"/>
      <c r="J10" s="534"/>
    </row>
    <row r="11" spans="1:10" ht="23.1" customHeight="1">
      <c r="A11" s="812" t="s">
        <v>217</v>
      </c>
      <c r="B11" s="813" t="s">
        <v>79</v>
      </c>
      <c r="C11" s="808">
        <v>12.6616</v>
      </c>
      <c r="D11" s="809">
        <v>-21.9</v>
      </c>
      <c r="E11" s="810">
        <v>121.2929</v>
      </c>
      <c r="F11" s="811">
        <v>-20.5</v>
      </c>
      <c r="H11" s="534"/>
      <c r="J11" s="534"/>
    </row>
    <row r="12" spans="1:10" ht="23.1" customHeight="1">
      <c r="A12" s="806" t="s">
        <v>218</v>
      </c>
      <c r="B12" s="807" t="s">
        <v>79</v>
      </c>
      <c r="C12" s="808">
        <v>1.1152</v>
      </c>
      <c r="D12" s="809">
        <v>-40.6</v>
      </c>
      <c r="E12" s="810">
        <v>9.7828999999999997</v>
      </c>
      <c r="F12" s="811">
        <v>-17.100000000000001</v>
      </c>
      <c r="H12" s="534"/>
      <c r="J12" s="534"/>
    </row>
    <row r="13" spans="1:10" ht="23.1" customHeight="1">
      <c r="A13" s="806" t="s">
        <v>219</v>
      </c>
      <c r="B13" s="807" t="s">
        <v>79</v>
      </c>
      <c r="C13" s="808">
        <v>9.11E-2</v>
      </c>
      <c r="D13" s="809">
        <v>0</v>
      </c>
      <c r="E13" s="810">
        <v>5.1460999999999997</v>
      </c>
      <c r="F13" s="811">
        <v>160.6</v>
      </c>
      <c r="H13" s="534"/>
      <c r="J13" s="534"/>
    </row>
    <row r="14" spans="1:10" ht="23.1" customHeight="1">
      <c r="A14" s="806" t="s">
        <v>220</v>
      </c>
      <c r="B14" s="807" t="s">
        <v>79</v>
      </c>
      <c r="C14" s="808">
        <v>5.8159999999999998</v>
      </c>
      <c r="D14" s="809">
        <v>52.5</v>
      </c>
      <c r="E14" s="810">
        <v>37.549300000000002</v>
      </c>
      <c r="F14" s="811">
        <v>16.899999999999999</v>
      </c>
      <c r="H14" s="534"/>
      <c r="J14" s="534"/>
    </row>
    <row r="15" spans="1:10" ht="23.1" customHeight="1">
      <c r="A15" s="806" t="s">
        <v>221</v>
      </c>
      <c r="B15" s="807" t="s">
        <v>79</v>
      </c>
      <c r="C15" s="808">
        <v>1.8071999999999999</v>
      </c>
      <c r="D15" s="809">
        <v>-23.4</v>
      </c>
      <c r="E15" s="810">
        <v>17.3887</v>
      </c>
      <c r="F15" s="811">
        <v>-23.3</v>
      </c>
      <c r="H15" s="534"/>
      <c r="J15" s="534"/>
    </row>
    <row r="16" spans="1:10" ht="23.1" customHeight="1">
      <c r="A16" s="814" t="s">
        <v>222</v>
      </c>
      <c r="B16" s="807" t="s">
        <v>79</v>
      </c>
      <c r="C16" s="808">
        <v>0</v>
      </c>
      <c r="D16" s="815">
        <v>0</v>
      </c>
      <c r="E16" s="810">
        <v>9.5562000000000005</v>
      </c>
      <c r="F16" s="811">
        <v>-24.6</v>
      </c>
      <c r="H16" s="534"/>
      <c r="J16" s="534"/>
    </row>
    <row r="17" spans="1:10" ht="23.1" customHeight="1">
      <c r="A17" s="806" t="s">
        <v>223</v>
      </c>
      <c r="B17" s="807" t="s">
        <v>79</v>
      </c>
      <c r="C17" s="808">
        <v>4.5199999999999997E-2</v>
      </c>
      <c r="D17" s="809">
        <v>-45.3</v>
      </c>
      <c r="E17" s="810">
        <v>0.56220000000000003</v>
      </c>
      <c r="F17" s="811">
        <v>14.2</v>
      </c>
      <c r="H17" s="534"/>
      <c r="J17" s="534"/>
    </row>
    <row r="18" spans="1:10" ht="23.1" customHeight="1">
      <c r="A18" s="806" t="s">
        <v>224</v>
      </c>
      <c r="B18" s="807" t="s">
        <v>79</v>
      </c>
      <c r="C18" s="808">
        <v>0.35730000000000001</v>
      </c>
      <c r="D18" s="809">
        <v>-51.6</v>
      </c>
      <c r="E18" s="810">
        <v>7.0015999999999998</v>
      </c>
      <c r="F18" s="811">
        <v>-16.899999999999999</v>
      </c>
      <c r="H18" s="534"/>
      <c r="J18" s="534"/>
    </row>
    <row r="19" spans="1:10" ht="23.1" customHeight="1">
      <c r="A19" s="806" t="s">
        <v>225</v>
      </c>
      <c r="B19" s="807" t="s">
        <v>79</v>
      </c>
      <c r="C19" s="808">
        <v>0</v>
      </c>
      <c r="D19" s="809">
        <v>0</v>
      </c>
      <c r="E19" s="810">
        <v>8.0490999999999993</v>
      </c>
      <c r="F19" s="811">
        <v>-25.4</v>
      </c>
      <c r="H19" s="534"/>
      <c r="J19" s="534"/>
    </row>
    <row r="20" spans="1:10" ht="23.1" customHeight="1">
      <c r="A20" s="806" t="s">
        <v>226</v>
      </c>
      <c r="B20" s="807" t="s">
        <v>79</v>
      </c>
      <c r="C20" s="808">
        <v>0.91559999999999997</v>
      </c>
      <c r="D20" s="809">
        <v>-45.2</v>
      </c>
      <c r="E20" s="810">
        <v>12.882099999999999</v>
      </c>
      <c r="F20" s="811">
        <v>-15.9</v>
      </c>
      <c r="H20" s="534"/>
      <c r="J20" s="534"/>
    </row>
    <row r="21" spans="1:10" ht="23.1" customHeight="1">
      <c r="A21" s="806" t="s">
        <v>227</v>
      </c>
      <c r="B21" s="807" t="s">
        <v>79</v>
      </c>
      <c r="C21" s="808">
        <v>3.0999999999999999E-3</v>
      </c>
      <c r="D21" s="809">
        <v>-61.7</v>
      </c>
      <c r="E21" s="810">
        <v>0.1004</v>
      </c>
      <c r="F21" s="811">
        <v>-4.0999999999999996</v>
      </c>
      <c r="G21" s="542"/>
      <c r="H21" s="543"/>
      <c r="J21" s="534"/>
    </row>
    <row r="22" spans="1:10" ht="23.1" customHeight="1">
      <c r="A22" s="806" t="s">
        <v>228</v>
      </c>
      <c r="B22" s="807" t="s">
        <v>79</v>
      </c>
      <c r="C22" s="808">
        <v>0</v>
      </c>
      <c r="D22" s="809">
        <v>0</v>
      </c>
      <c r="E22" s="810">
        <v>0</v>
      </c>
      <c r="F22" s="811">
        <v>0</v>
      </c>
      <c r="G22" s="542"/>
      <c r="H22" s="534"/>
      <c r="J22" s="534"/>
    </row>
    <row r="23" spans="1:10" ht="23.1" customHeight="1">
      <c r="A23" s="816" t="s">
        <v>229</v>
      </c>
      <c r="B23" s="817" t="s">
        <v>79</v>
      </c>
      <c r="C23" s="818">
        <v>4.2799999999999998E-2</v>
      </c>
      <c r="D23" s="819">
        <v>23.5</v>
      </c>
      <c r="E23" s="820">
        <v>0.37209999999999999</v>
      </c>
      <c r="F23" s="821">
        <v>-2.6</v>
      </c>
      <c r="G23" s="542"/>
      <c r="H23" s="534"/>
      <c r="J23" s="534"/>
    </row>
    <row r="24" spans="1:10" ht="26.1" customHeight="1">
      <c r="E24" s="520"/>
      <c r="H24" s="534"/>
      <c r="J24" s="534"/>
    </row>
    <row r="25" spans="1:10" ht="26.1" customHeight="1">
      <c r="E25" s="520"/>
      <c r="H25" s="534"/>
      <c r="J25" s="534"/>
    </row>
    <row r="26" spans="1:10" ht="26.1" customHeight="1">
      <c r="E26" s="520"/>
      <c r="H26" s="534"/>
      <c r="J26" s="534"/>
    </row>
    <row r="27" spans="1:10" ht="29.1" customHeight="1">
      <c r="A27" s="737"/>
      <c r="B27" s="737"/>
      <c r="C27" s="737"/>
      <c r="D27" s="737"/>
      <c r="E27" s="737"/>
      <c r="F27" s="737"/>
    </row>
  </sheetData>
  <sheetProtection password="DC9E" sheet="1" objects="1" scenarios="1"/>
  <mergeCells count="3">
    <mergeCell ref="A1:F1"/>
    <mergeCell ref="E2:F2"/>
    <mergeCell ref="A27:F27"/>
  </mergeCells>
  <phoneticPr fontId="10" type="noConversion"/>
  <pageMargins left="0.75" right="0.75" top="1" bottom="1" header="0.5" footer="0.5"/>
  <pageSetup paperSize="9" scale="98" orientation="portrait" verticalDpi="0"/>
  <headerFooter scaleWithDoc="0"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sheetPr enableFormatConditionsCalculation="0">
    <tabColor theme="5"/>
  </sheetPr>
  <dimension ref="A1:J27"/>
  <sheetViews>
    <sheetView zoomScale="80" workbookViewId="0">
      <selection activeCell="K9" sqref="K9"/>
    </sheetView>
  </sheetViews>
  <sheetFormatPr defaultRowHeight="14.25"/>
  <cols>
    <col min="1" max="1" width="25" style="520" customWidth="1"/>
    <col min="2" max="2" width="10.625" style="520" customWidth="1"/>
    <col min="3" max="3" width="12" style="520" customWidth="1"/>
    <col min="4" max="4" width="10.625" style="520" customWidth="1"/>
    <col min="5" max="5" width="12.125" style="530" customWidth="1"/>
    <col min="6" max="6" width="10.625" style="520" customWidth="1"/>
    <col min="7" max="7" width="9" style="520"/>
    <col min="8" max="8" width="10.5" style="520" customWidth="1"/>
    <col min="9" max="9" width="9.75" style="520" bestFit="1" customWidth="1"/>
    <col min="10" max="10" width="11.75" style="520" bestFit="1" customWidth="1"/>
    <col min="11" max="16384" width="9" style="520"/>
  </cols>
  <sheetData>
    <row r="1" spans="1:10" ht="28.5" customHeight="1">
      <c r="A1" s="734" t="s">
        <v>230</v>
      </c>
      <c r="B1" s="735"/>
      <c r="C1" s="735"/>
      <c r="D1" s="735"/>
      <c r="E1" s="736"/>
      <c r="F1" s="736"/>
    </row>
    <row r="2" spans="1:10" ht="19.5" customHeight="1">
      <c r="A2" s="531"/>
      <c r="B2" s="531"/>
      <c r="C2" s="531"/>
      <c r="D2" s="531"/>
      <c r="E2" s="738"/>
      <c r="F2" s="738"/>
    </row>
    <row r="3" spans="1:10" ht="23.1" customHeight="1">
      <c r="A3" s="532" t="s">
        <v>48</v>
      </c>
      <c r="B3" s="802" t="s">
        <v>116</v>
      </c>
      <c r="C3" s="803" t="s">
        <v>90</v>
      </c>
      <c r="D3" s="804" t="s">
        <v>91</v>
      </c>
      <c r="E3" s="805" t="s">
        <v>49</v>
      </c>
      <c r="F3" s="804" t="s">
        <v>91</v>
      </c>
      <c r="H3" s="534"/>
      <c r="J3" s="534"/>
    </row>
    <row r="4" spans="1:10" ht="23.1" customHeight="1">
      <c r="A4" s="535" t="s">
        <v>231</v>
      </c>
      <c r="B4" s="807" t="s">
        <v>79</v>
      </c>
      <c r="C4" s="808">
        <v>1.5139</v>
      </c>
      <c r="D4" s="809">
        <v>-9.9</v>
      </c>
      <c r="E4" s="810">
        <v>10.007899999999999</v>
      </c>
      <c r="F4" s="811">
        <v>-11.1</v>
      </c>
      <c r="H4" s="534"/>
      <c r="J4" s="534"/>
    </row>
    <row r="5" spans="1:10" ht="23.1" customHeight="1">
      <c r="A5" s="535" t="s">
        <v>232</v>
      </c>
      <c r="B5" s="807" t="s">
        <v>79</v>
      </c>
      <c r="C5" s="808">
        <v>0.1825</v>
      </c>
      <c r="D5" s="809">
        <v>-14.2</v>
      </c>
      <c r="E5" s="810">
        <v>1.4446000000000001</v>
      </c>
      <c r="F5" s="811">
        <v>-19.8</v>
      </c>
      <c r="H5" s="534"/>
      <c r="J5" s="534"/>
    </row>
    <row r="6" spans="1:10" ht="23.1" customHeight="1">
      <c r="A6" s="539" t="s">
        <v>233</v>
      </c>
      <c r="B6" s="807" t="s">
        <v>234</v>
      </c>
      <c r="C6" s="808">
        <v>0</v>
      </c>
      <c r="D6" s="809">
        <v>0</v>
      </c>
      <c r="E6" s="810">
        <v>0</v>
      </c>
      <c r="F6" s="811">
        <v>0</v>
      </c>
      <c r="H6" s="534"/>
      <c r="J6" s="534"/>
    </row>
    <row r="7" spans="1:10" ht="23.1" customHeight="1">
      <c r="A7" s="539" t="s">
        <v>235</v>
      </c>
      <c r="B7" s="807" t="s">
        <v>79</v>
      </c>
      <c r="C7" s="808">
        <v>74.003299999999996</v>
      </c>
      <c r="D7" s="809">
        <v>22.1</v>
      </c>
      <c r="E7" s="810">
        <v>609.93809999999996</v>
      </c>
      <c r="F7" s="811">
        <v>-1.9</v>
      </c>
      <c r="H7" s="534"/>
      <c r="J7" s="534"/>
    </row>
    <row r="8" spans="1:10" ht="23.1" customHeight="1">
      <c r="A8" s="539" t="s">
        <v>236</v>
      </c>
      <c r="B8" s="807" t="s">
        <v>237</v>
      </c>
      <c r="C8" s="808">
        <v>75.266599999999997</v>
      </c>
      <c r="D8" s="809">
        <v>3.5</v>
      </c>
      <c r="E8" s="810">
        <v>680.37900000000002</v>
      </c>
      <c r="F8" s="811">
        <v>3.4</v>
      </c>
      <c r="H8" s="534"/>
      <c r="J8" s="534"/>
    </row>
    <row r="9" spans="1:10" ht="23.1" customHeight="1">
      <c r="A9" s="539" t="s">
        <v>238</v>
      </c>
      <c r="B9" s="807" t="s">
        <v>239</v>
      </c>
      <c r="C9" s="808">
        <v>1.123</v>
      </c>
      <c r="D9" s="809">
        <v>-3.3</v>
      </c>
      <c r="E9" s="810">
        <v>15.416600000000001</v>
      </c>
      <c r="F9" s="811">
        <v>44.4</v>
      </c>
      <c r="H9" s="534"/>
      <c r="J9" s="534"/>
    </row>
    <row r="10" spans="1:10" ht="23.1" customHeight="1">
      <c r="A10" s="539" t="s">
        <v>240</v>
      </c>
      <c r="B10" s="807" t="s">
        <v>79</v>
      </c>
      <c r="C10" s="808">
        <v>0.2392</v>
      </c>
      <c r="D10" s="809">
        <v>-14.1</v>
      </c>
      <c r="E10" s="810">
        <v>2.2004000000000001</v>
      </c>
      <c r="F10" s="811">
        <v>-6.1</v>
      </c>
      <c r="H10" s="534"/>
      <c r="J10" s="534"/>
    </row>
    <row r="11" spans="1:10" ht="23.1" customHeight="1">
      <c r="A11" s="540" t="s">
        <v>241</v>
      </c>
      <c r="B11" s="813" t="s">
        <v>242</v>
      </c>
      <c r="C11" s="808">
        <v>9.7994000000000003</v>
      </c>
      <c r="D11" s="809">
        <v>-55.4</v>
      </c>
      <c r="E11" s="810">
        <v>67.049800000000005</v>
      </c>
      <c r="F11" s="811">
        <v>-60.9</v>
      </c>
      <c r="H11" s="534"/>
      <c r="J11" s="534"/>
    </row>
    <row r="12" spans="1:10" ht="23.1" customHeight="1">
      <c r="A12" s="539" t="s">
        <v>243</v>
      </c>
      <c r="B12" s="807" t="s">
        <v>79</v>
      </c>
      <c r="C12" s="808">
        <v>69.309100000000001</v>
      </c>
      <c r="D12" s="809">
        <v>2.8</v>
      </c>
      <c r="E12" s="810">
        <v>622.03629999999998</v>
      </c>
      <c r="F12" s="811">
        <v>-1.2</v>
      </c>
      <c r="H12" s="534"/>
      <c r="J12" s="534"/>
    </row>
    <row r="13" spans="1:10" ht="23.1" customHeight="1">
      <c r="A13" s="539" t="s">
        <v>244</v>
      </c>
      <c r="B13" s="807" t="s">
        <v>79</v>
      </c>
      <c r="C13" s="808">
        <v>71.863</v>
      </c>
      <c r="D13" s="809">
        <v>4.5999999999999996</v>
      </c>
      <c r="E13" s="810">
        <v>653.65549999999996</v>
      </c>
      <c r="F13" s="811">
        <v>-0.6</v>
      </c>
      <c r="H13" s="534"/>
      <c r="J13" s="534"/>
    </row>
    <row r="14" spans="1:10" ht="23.1" customHeight="1">
      <c r="A14" s="539" t="s">
        <v>245</v>
      </c>
      <c r="B14" s="807" t="s">
        <v>79</v>
      </c>
      <c r="C14" s="808">
        <v>72.566199999999995</v>
      </c>
      <c r="D14" s="809">
        <v>2.4</v>
      </c>
      <c r="E14" s="810">
        <v>613.99599999999998</v>
      </c>
      <c r="F14" s="811">
        <v>3.6</v>
      </c>
      <c r="H14" s="534"/>
      <c r="J14" s="534"/>
    </row>
    <row r="15" spans="1:10" ht="23.1" customHeight="1">
      <c r="A15" s="539" t="s">
        <v>246</v>
      </c>
      <c r="B15" s="807" t="s">
        <v>79</v>
      </c>
      <c r="C15" s="808">
        <v>0.31869999999999998</v>
      </c>
      <c r="D15" s="809">
        <v>-56.2</v>
      </c>
      <c r="E15" s="810">
        <v>8.3306000000000004</v>
      </c>
      <c r="F15" s="811">
        <v>29.1</v>
      </c>
      <c r="H15" s="534"/>
      <c r="J15" s="534"/>
    </row>
    <row r="16" spans="1:10" ht="23.1" customHeight="1">
      <c r="A16" s="539" t="s">
        <v>247</v>
      </c>
      <c r="B16" s="807" t="s">
        <v>79</v>
      </c>
      <c r="C16" s="808">
        <v>0</v>
      </c>
      <c r="D16" s="809">
        <v>0</v>
      </c>
      <c r="E16" s="810">
        <v>0.26240000000000002</v>
      </c>
      <c r="F16" s="811">
        <v>-58</v>
      </c>
      <c r="H16" s="534"/>
      <c r="J16" s="534"/>
    </row>
    <row r="17" spans="1:10" ht="23.1" customHeight="1">
      <c r="A17" s="541" t="s">
        <v>248</v>
      </c>
      <c r="B17" s="807" t="s">
        <v>79</v>
      </c>
      <c r="C17" s="808">
        <v>7.0300000000000001E-2</v>
      </c>
      <c r="D17" s="809">
        <v>10.3</v>
      </c>
      <c r="E17" s="810">
        <v>0.64629999999999999</v>
      </c>
      <c r="F17" s="811">
        <v>-6</v>
      </c>
      <c r="H17" s="534"/>
      <c r="J17" s="534"/>
    </row>
    <row r="18" spans="1:10" ht="23.1" customHeight="1">
      <c r="A18" s="539" t="s">
        <v>249</v>
      </c>
      <c r="B18" s="807" t="s">
        <v>250</v>
      </c>
      <c r="C18" s="822">
        <v>40</v>
      </c>
      <c r="D18" s="809">
        <v>471.4</v>
      </c>
      <c r="E18" s="823">
        <v>295</v>
      </c>
      <c r="F18" s="811">
        <v>-86.2</v>
      </c>
      <c r="H18" s="534"/>
      <c r="J18" s="534"/>
    </row>
    <row r="19" spans="1:10" ht="23.1" customHeight="1">
      <c r="A19" s="539" t="s">
        <v>251</v>
      </c>
      <c r="B19" s="807" t="s">
        <v>252</v>
      </c>
      <c r="C19" s="808">
        <v>0.22700000000000001</v>
      </c>
      <c r="D19" s="809">
        <v>-35.5</v>
      </c>
      <c r="E19" s="810">
        <v>7.6832000000000003</v>
      </c>
      <c r="F19" s="811">
        <v>-18.600000000000001</v>
      </c>
      <c r="H19" s="534"/>
      <c r="J19" s="534"/>
    </row>
    <row r="20" spans="1:10" ht="23.1" customHeight="1">
      <c r="A20" s="539" t="s">
        <v>253</v>
      </c>
      <c r="B20" s="807" t="s">
        <v>254</v>
      </c>
      <c r="C20" s="808">
        <v>1733.9552000000001</v>
      </c>
      <c r="D20" s="809">
        <v>6</v>
      </c>
      <c r="E20" s="810">
        <v>8536.5818999999992</v>
      </c>
      <c r="F20" s="811">
        <v>-8.1999999999999993</v>
      </c>
      <c r="H20" s="534"/>
      <c r="J20" s="534"/>
    </row>
    <row r="21" spans="1:10" ht="23.1" customHeight="1">
      <c r="A21" s="539" t="s">
        <v>255</v>
      </c>
      <c r="B21" s="807" t="s">
        <v>256</v>
      </c>
      <c r="C21" s="808">
        <v>9.5292999999999992</v>
      </c>
      <c r="D21" s="809">
        <v>-1.4</v>
      </c>
      <c r="E21" s="810">
        <v>137.84719999999999</v>
      </c>
      <c r="F21" s="811">
        <v>37.200000000000003</v>
      </c>
      <c r="G21" s="542"/>
      <c r="H21" s="543"/>
      <c r="J21" s="534"/>
    </row>
    <row r="22" spans="1:10" ht="23.1" customHeight="1">
      <c r="A22" s="539" t="s">
        <v>257</v>
      </c>
      <c r="B22" s="807" t="s">
        <v>32</v>
      </c>
      <c r="C22" s="808">
        <v>19.004899999999999</v>
      </c>
      <c r="D22" s="809">
        <v>11.2</v>
      </c>
      <c r="E22" s="810">
        <v>154.54689999999999</v>
      </c>
      <c r="F22" s="811">
        <v>-3.8</v>
      </c>
      <c r="G22" s="542"/>
      <c r="H22" s="534"/>
      <c r="J22" s="534"/>
    </row>
    <row r="23" spans="1:10" ht="23.1" customHeight="1">
      <c r="A23" s="544" t="s">
        <v>258</v>
      </c>
      <c r="B23" s="545" t="s">
        <v>32</v>
      </c>
      <c r="C23" s="546">
        <v>12.952400000000001</v>
      </c>
      <c r="D23" s="547">
        <v>11.8</v>
      </c>
      <c r="E23" s="548">
        <v>101.818</v>
      </c>
      <c r="F23" s="549">
        <v>12.2</v>
      </c>
      <c r="G23" s="542"/>
      <c r="H23" s="534"/>
      <c r="J23" s="534"/>
    </row>
    <row r="24" spans="1:10" ht="26.1" customHeight="1">
      <c r="E24" s="520"/>
      <c r="H24" s="534"/>
      <c r="J24" s="534"/>
    </row>
    <row r="25" spans="1:10" ht="26.1" customHeight="1">
      <c r="E25" s="520"/>
      <c r="H25" s="534"/>
      <c r="J25" s="534"/>
    </row>
    <row r="26" spans="1:10" ht="26.1" customHeight="1">
      <c r="E26" s="520"/>
      <c r="H26" s="534"/>
      <c r="J26" s="534"/>
    </row>
    <row r="27" spans="1:10" ht="29.1" customHeight="1">
      <c r="A27" s="737"/>
      <c r="B27" s="737"/>
      <c r="C27" s="737"/>
      <c r="D27" s="737"/>
      <c r="E27" s="737"/>
      <c r="F27" s="737"/>
    </row>
  </sheetData>
  <sheetProtection password="DC9E" sheet="1" objects="1" scenarios="1"/>
  <mergeCells count="3">
    <mergeCell ref="A1:F1"/>
    <mergeCell ref="E2:F2"/>
    <mergeCell ref="A27:F27"/>
  </mergeCells>
  <phoneticPr fontId="10" type="noConversion"/>
  <pageMargins left="0.75" right="0.75" top="1" bottom="1" header="0.5" footer="0.5"/>
  <pageSetup paperSize="9" orientation="portrait" verticalDpi="0"/>
  <headerFooter scaleWithDoc="0" alignWithMargins="0"/>
</worksheet>
</file>

<file path=xl/worksheets/sheet17.xml><?xml version="1.0" encoding="utf-8"?>
<worksheet xmlns="http://schemas.openxmlformats.org/spreadsheetml/2006/main" xmlns:r="http://schemas.openxmlformats.org/officeDocument/2006/relationships">
  <sheetPr enableFormatConditionsCalculation="0">
    <tabColor theme="5"/>
  </sheetPr>
  <dimension ref="A1:C15"/>
  <sheetViews>
    <sheetView zoomScale="90" workbookViewId="0">
      <selection activeCell="B3" sqref="B3"/>
    </sheetView>
  </sheetViews>
  <sheetFormatPr defaultRowHeight="14.25"/>
  <cols>
    <col min="1" max="1" width="46.25" style="520" customWidth="1"/>
    <col min="2" max="3" width="14.5" style="521" customWidth="1"/>
    <col min="4" max="16384" width="9" style="520"/>
  </cols>
  <sheetData>
    <row r="1" spans="1:3" ht="28.5" customHeight="1">
      <c r="A1" s="734" t="s">
        <v>259</v>
      </c>
      <c r="B1" s="738"/>
      <c r="C1" s="738"/>
    </row>
    <row r="2" spans="1:3" ht="28.5" customHeight="1">
      <c r="A2" s="522"/>
      <c r="B2" s="738" t="s">
        <v>260</v>
      </c>
      <c r="C2" s="738"/>
    </row>
    <row r="3" spans="1:3" s="518" customFormat="1" ht="40.5" customHeight="1">
      <c r="A3" s="523" t="s">
        <v>48</v>
      </c>
      <c r="B3" s="715" t="s">
        <v>49</v>
      </c>
      <c r="C3" s="524" t="s">
        <v>6</v>
      </c>
    </row>
    <row r="4" spans="1:3" s="519" customFormat="1" ht="30" customHeight="1">
      <c r="A4" s="525" t="s">
        <v>261</v>
      </c>
      <c r="B4" s="526">
        <v>836.14</v>
      </c>
      <c r="C4" s="527">
        <v>-3.2</v>
      </c>
    </row>
    <row r="5" spans="1:3" s="519" customFormat="1" ht="30" customHeight="1">
      <c r="A5" s="525" t="s">
        <v>262</v>
      </c>
      <c r="B5" s="526">
        <v>36.520000000000003</v>
      </c>
      <c r="C5" s="527">
        <v>15.1</v>
      </c>
    </row>
    <row r="6" spans="1:3" s="518" customFormat="1" ht="30" customHeight="1">
      <c r="A6" s="525" t="s">
        <v>263</v>
      </c>
      <c r="B6" s="526">
        <v>629.74</v>
      </c>
      <c r="C6" s="527">
        <v>-3.3</v>
      </c>
    </row>
    <row r="7" spans="1:3" s="518" customFormat="1" ht="30" customHeight="1">
      <c r="A7" s="528" t="s">
        <v>264</v>
      </c>
      <c r="B7" s="526">
        <v>169.88</v>
      </c>
      <c r="C7" s="527">
        <v>-6.3</v>
      </c>
    </row>
    <row r="8" spans="1:3" s="518" customFormat="1" ht="30" customHeight="1">
      <c r="A8" s="528" t="s">
        <v>265</v>
      </c>
      <c r="B8" s="526">
        <v>696.77</v>
      </c>
      <c r="C8" s="527">
        <v>-3.6</v>
      </c>
    </row>
    <row r="9" spans="1:3" s="518" customFormat="1" ht="30" customHeight="1">
      <c r="A9" s="528" t="s">
        <v>266</v>
      </c>
      <c r="B9" s="526">
        <v>45.54</v>
      </c>
      <c r="C9" s="527">
        <v>-25.9</v>
      </c>
    </row>
    <row r="10" spans="1:3" s="518" customFormat="1" ht="30" customHeight="1">
      <c r="A10" s="528" t="s">
        <v>267</v>
      </c>
      <c r="B10" s="526">
        <v>2.4500000000000002</v>
      </c>
      <c r="C10" s="527">
        <v>4.0999999999999996</v>
      </c>
    </row>
    <row r="11" spans="1:3" s="518" customFormat="1" ht="30" customHeight="1">
      <c r="A11" s="528" t="s">
        <v>268</v>
      </c>
      <c r="B11" s="526">
        <v>28.5</v>
      </c>
      <c r="C11" s="527">
        <v>2.8</v>
      </c>
    </row>
    <row r="12" spans="1:3" s="518" customFormat="1" ht="30" customHeight="1">
      <c r="A12" s="528" t="s">
        <v>269</v>
      </c>
      <c r="B12" s="526">
        <v>451.39</v>
      </c>
      <c r="C12" s="527">
        <v>0.1</v>
      </c>
    </row>
    <row r="13" spans="1:3" s="518" customFormat="1" ht="30" customHeight="1">
      <c r="A13" s="529" t="s">
        <v>270</v>
      </c>
      <c r="B13" s="526">
        <v>0.03</v>
      </c>
      <c r="C13" s="527">
        <v>-54.4</v>
      </c>
    </row>
    <row r="14" spans="1:3" s="518" customFormat="1" ht="30" customHeight="1">
      <c r="A14" s="529" t="s">
        <v>271</v>
      </c>
      <c r="B14" s="526">
        <v>168.88</v>
      </c>
      <c r="C14" s="527">
        <v>-6.3</v>
      </c>
    </row>
    <row r="15" spans="1:3" ht="32.1" customHeight="1">
      <c r="A15" s="743" t="s">
        <v>272</v>
      </c>
      <c r="B15" s="743"/>
      <c r="C15" s="743"/>
    </row>
  </sheetData>
  <sheetProtection password="DC9E" sheet="1" objects="1" scenarios="1"/>
  <mergeCells count="3">
    <mergeCell ref="A1:C1"/>
    <mergeCell ref="B2:C2"/>
    <mergeCell ref="A15:C15"/>
  </mergeCells>
  <phoneticPr fontId="10" type="noConversion"/>
  <pageMargins left="0.75" right="0.75" top="1" bottom="1" header="0.5" footer="0.5"/>
  <pageSetup paperSize="9" orientation="portrait" verticalDpi="0"/>
  <headerFooter scaleWithDoc="0" alignWithMargins="0"/>
</worksheet>
</file>

<file path=xl/worksheets/sheet18.xml><?xml version="1.0" encoding="utf-8"?>
<worksheet xmlns="http://schemas.openxmlformats.org/spreadsheetml/2006/main" xmlns:r="http://schemas.openxmlformats.org/officeDocument/2006/relationships">
  <sheetPr enableFormatConditionsCalculation="0">
    <tabColor theme="4"/>
  </sheetPr>
  <dimension ref="A1:P24"/>
  <sheetViews>
    <sheetView zoomScale="80" workbookViewId="0">
      <selection activeCell="A4" sqref="A4:D19"/>
    </sheetView>
  </sheetViews>
  <sheetFormatPr defaultColWidth="9" defaultRowHeight="14.25"/>
  <cols>
    <col min="1" max="1" width="29.75" customWidth="1"/>
    <col min="2" max="2" width="13.375" customWidth="1"/>
    <col min="3" max="3" width="12.875" customWidth="1"/>
    <col min="4" max="4" width="13.125" customWidth="1"/>
  </cols>
  <sheetData>
    <row r="1" spans="1:7" ht="34.5" customHeight="1">
      <c r="A1" s="734" t="s">
        <v>273</v>
      </c>
      <c r="B1" s="738"/>
      <c r="C1" s="736"/>
      <c r="D1" s="738"/>
      <c r="E1" s="506"/>
      <c r="F1" s="396"/>
      <c r="G1" s="396"/>
    </row>
    <row r="2" spans="1:7" hidden="1">
      <c r="B2" s="738"/>
      <c r="C2" s="738"/>
      <c r="D2" s="738"/>
      <c r="E2" s="738"/>
    </row>
    <row r="3" spans="1:7" ht="12.75" customHeight="1">
      <c r="B3" s="451"/>
      <c r="C3" s="468"/>
      <c r="D3" s="451"/>
      <c r="E3" s="468"/>
    </row>
    <row r="4" spans="1:7" ht="32.25" customHeight="1">
      <c r="A4" s="824" t="s">
        <v>48</v>
      </c>
      <c r="B4" s="715" t="s">
        <v>274</v>
      </c>
      <c r="C4" s="715" t="s">
        <v>49</v>
      </c>
      <c r="D4" s="824" t="s">
        <v>275</v>
      </c>
      <c r="E4" s="401"/>
      <c r="F4" s="109"/>
      <c r="G4" s="109"/>
    </row>
    <row r="5" spans="1:7" ht="30" customHeight="1">
      <c r="A5" s="825" t="s">
        <v>276</v>
      </c>
      <c r="B5" s="826"/>
      <c r="C5" s="827"/>
      <c r="D5" s="828"/>
      <c r="E5" s="401"/>
      <c r="F5" s="109"/>
      <c r="G5" s="109"/>
    </row>
    <row r="6" spans="1:7" ht="30" customHeight="1">
      <c r="A6" s="829" t="s">
        <v>277</v>
      </c>
      <c r="B6" s="830" t="s">
        <v>79</v>
      </c>
      <c r="C6" s="831">
        <v>15905.77</v>
      </c>
      <c r="D6" s="828">
        <v>-2.2999999999999998</v>
      </c>
      <c r="E6" s="401"/>
      <c r="F6" s="109"/>
      <c r="G6" s="109"/>
    </row>
    <row r="7" spans="1:7" ht="30" customHeight="1">
      <c r="A7" s="832" t="s">
        <v>278</v>
      </c>
      <c r="B7" s="830" t="s">
        <v>79</v>
      </c>
      <c r="C7" s="827">
        <v>7876</v>
      </c>
      <c r="D7" s="833">
        <v>0.2</v>
      </c>
      <c r="E7" s="508"/>
    </row>
    <row r="8" spans="1:7" ht="30" customHeight="1">
      <c r="A8" s="829" t="s">
        <v>279</v>
      </c>
      <c r="B8" s="834" t="s">
        <v>280</v>
      </c>
      <c r="C8" s="831">
        <v>80.84</v>
      </c>
      <c r="D8" s="828">
        <v>11.83</v>
      </c>
      <c r="E8" s="45"/>
    </row>
    <row r="9" spans="1:7" s="45" customFormat="1" ht="30" customHeight="1">
      <c r="A9" s="835" t="s">
        <v>281</v>
      </c>
      <c r="B9" s="836"/>
      <c r="C9" s="827"/>
      <c r="D9" s="828"/>
    </row>
    <row r="10" spans="1:7" ht="30" customHeight="1">
      <c r="A10" s="837" t="s">
        <v>282</v>
      </c>
      <c r="B10" s="830" t="s">
        <v>63</v>
      </c>
      <c r="C10" s="827"/>
      <c r="D10" s="828"/>
      <c r="E10" s="508"/>
    </row>
    <row r="11" spans="1:7" ht="30" customHeight="1">
      <c r="A11" s="837" t="s">
        <v>283</v>
      </c>
      <c r="B11" s="830" t="s">
        <v>284</v>
      </c>
      <c r="C11" s="831">
        <v>1.1943778707773436</v>
      </c>
      <c r="D11" s="828">
        <v>13.23</v>
      </c>
      <c r="E11" s="509"/>
    </row>
    <row r="12" spans="1:7" ht="30" customHeight="1">
      <c r="A12" s="837" t="s">
        <v>285</v>
      </c>
      <c r="B12" s="830" t="s">
        <v>286</v>
      </c>
      <c r="C12" s="831">
        <v>267.85280780165891</v>
      </c>
      <c r="D12" s="828">
        <v>12.19</v>
      </c>
      <c r="E12" s="45"/>
    </row>
    <row r="13" spans="1:7" ht="30" customHeight="1">
      <c r="A13" s="837" t="s">
        <v>287</v>
      </c>
      <c r="B13" s="830" t="s">
        <v>131</v>
      </c>
      <c r="C13" s="831">
        <v>6469.8513434635506</v>
      </c>
      <c r="D13" s="828">
        <v>-0.78</v>
      </c>
      <c r="E13" s="509"/>
    </row>
    <row r="14" spans="1:7" ht="30" customHeight="1">
      <c r="A14" s="837" t="s">
        <v>288</v>
      </c>
      <c r="B14" s="830" t="s">
        <v>289</v>
      </c>
      <c r="C14" s="831">
        <v>76.492207994394704</v>
      </c>
      <c r="D14" s="828">
        <v>8.17</v>
      </c>
      <c r="E14" s="510"/>
    </row>
    <row r="15" spans="1:7" ht="30" customHeight="1">
      <c r="A15" s="837" t="s">
        <v>290</v>
      </c>
      <c r="B15" s="836"/>
      <c r="C15" s="831"/>
      <c r="D15" s="838"/>
      <c r="E15" s="508"/>
    </row>
    <row r="16" spans="1:7" ht="30" customHeight="1">
      <c r="A16" s="837" t="s">
        <v>283</v>
      </c>
      <c r="B16" s="830" t="s">
        <v>79</v>
      </c>
      <c r="C16" s="831">
        <v>4013.8272547000006</v>
      </c>
      <c r="D16" s="828">
        <v>24.955674618056122</v>
      </c>
      <c r="E16" s="509"/>
    </row>
    <row r="17" spans="1:16" ht="30" customHeight="1">
      <c r="A17" s="837" t="s">
        <v>285</v>
      </c>
      <c r="B17" s="830" t="s">
        <v>286</v>
      </c>
      <c r="C17" s="831">
        <v>150.90078185856999</v>
      </c>
      <c r="D17" s="828">
        <v>-8.5421355872721989</v>
      </c>
      <c r="E17" s="508"/>
    </row>
    <row r="18" spans="1:16" ht="30" customHeight="1">
      <c r="A18" s="837" t="s">
        <v>287</v>
      </c>
      <c r="B18" s="830" t="s">
        <v>131</v>
      </c>
      <c r="C18" s="831">
        <v>588.13800000000003</v>
      </c>
      <c r="D18" s="828">
        <v>-5.3947411174763289</v>
      </c>
      <c r="E18" s="509"/>
    </row>
    <row r="19" spans="1:16" ht="30" customHeight="1">
      <c r="A19" s="839" t="s">
        <v>288</v>
      </c>
      <c r="B19" s="840" t="s">
        <v>289</v>
      </c>
      <c r="C19" s="841">
        <v>1.6282698190399998</v>
      </c>
      <c r="D19" s="842">
        <v>-2.76095165511326</v>
      </c>
      <c r="E19" s="510"/>
    </row>
    <row r="20" spans="1:16" ht="21.95" customHeight="1">
      <c r="A20" s="511"/>
      <c r="B20" s="512"/>
      <c r="C20" s="513"/>
      <c r="D20" s="513"/>
      <c r="E20" s="508"/>
    </row>
    <row r="21" spans="1:16" s="505" customFormat="1" ht="27.75" customHeight="1">
      <c r="A21" s="738"/>
      <c r="B21" s="738"/>
      <c r="C21" s="738"/>
      <c r="D21" s="738"/>
      <c r="E21" s="514"/>
      <c r="F21" s="514"/>
      <c r="G21" s="514"/>
      <c r="H21" s="514"/>
      <c r="I21" s="514"/>
      <c r="J21" s="514"/>
      <c r="K21" s="514"/>
      <c r="L21" s="514"/>
      <c r="M21" s="514"/>
      <c r="N21" s="517"/>
      <c r="O21" s="517"/>
      <c r="P21" s="517"/>
    </row>
    <row r="22" spans="1:16" ht="21.95" customHeight="1">
      <c r="A22" s="515"/>
      <c r="B22" s="516"/>
      <c r="C22" s="510"/>
      <c r="D22" s="510"/>
      <c r="E22" s="510"/>
    </row>
    <row r="23" spans="1:16" ht="21.95" customHeight="1">
      <c r="A23" s="515"/>
      <c r="B23" s="516"/>
      <c r="C23" s="508"/>
      <c r="D23" s="508"/>
      <c r="E23" s="508"/>
    </row>
    <row r="24" spans="1:16" ht="21.95" customHeight="1">
      <c r="A24" s="369"/>
      <c r="B24" s="369"/>
    </row>
  </sheetData>
  <mergeCells count="4">
    <mergeCell ref="A1:D1"/>
    <mergeCell ref="B2:C2"/>
    <mergeCell ref="D2:E2"/>
    <mergeCell ref="A21:D21"/>
  </mergeCells>
  <phoneticPr fontId="10" type="noConversion"/>
  <printOptions horizontalCentered="1"/>
  <pageMargins left="0.75" right="0.75" top="0.98" bottom="0.98" header="0.51" footer="0.51"/>
  <pageSetup paperSize="9" orientation="portrait" blackAndWhite="1"/>
  <headerFooter scaleWithDoc="0" alignWithMargins="0"/>
</worksheet>
</file>

<file path=xl/worksheets/sheet19.xml><?xml version="1.0" encoding="utf-8"?>
<worksheet xmlns="http://schemas.openxmlformats.org/spreadsheetml/2006/main" xmlns:r="http://schemas.openxmlformats.org/officeDocument/2006/relationships">
  <sheetPr enableFormatConditionsCalculation="0">
    <tabColor theme="5"/>
  </sheetPr>
  <dimension ref="A1:I27"/>
  <sheetViews>
    <sheetView zoomScale="75" workbookViewId="0">
      <selection activeCell="G13" sqref="G13"/>
    </sheetView>
  </sheetViews>
  <sheetFormatPr defaultRowHeight="14.25"/>
  <cols>
    <col min="1" max="1" width="41.875" style="479" customWidth="1"/>
    <col min="2" max="2" width="11.875" style="479" customWidth="1"/>
    <col min="3" max="4" width="14.5" style="480" customWidth="1"/>
    <col min="5" max="5" width="12.625" style="479" bestFit="1" customWidth="1"/>
    <col min="6" max="9" width="14.125" style="479" bestFit="1" customWidth="1"/>
    <col min="10" max="16384" width="9" style="479"/>
  </cols>
  <sheetData>
    <row r="1" spans="1:9" ht="33.75" customHeight="1">
      <c r="A1" s="739" t="s">
        <v>291</v>
      </c>
      <c r="B1" s="744"/>
      <c r="C1" s="742"/>
      <c r="D1" s="744"/>
    </row>
    <row r="2" spans="1:9" ht="27" customHeight="1">
      <c r="A2" s="843" t="s">
        <v>48</v>
      </c>
      <c r="B2" s="844" t="s">
        <v>2</v>
      </c>
      <c r="C2" s="759" t="s">
        <v>49</v>
      </c>
      <c r="D2" s="845" t="s">
        <v>6</v>
      </c>
    </row>
    <row r="3" spans="1:9" s="478" customFormat="1" ht="21.95" customHeight="1">
      <c r="A3" s="846" t="s">
        <v>292</v>
      </c>
      <c r="B3" s="847" t="s">
        <v>8</v>
      </c>
      <c r="C3" s="848"/>
      <c r="D3" s="849">
        <v>4.9000000000000004</v>
      </c>
      <c r="F3" s="484"/>
      <c r="G3" s="485"/>
    </row>
    <row r="4" spans="1:9" ht="21.95" customHeight="1">
      <c r="A4" s="846" t="s">
        <v>293</v>
      </c>
      <c r="B4" s="794" t="s">
        <v>8</v>
      </c>
      <c r="C4" s="848"/>
      <c r="D4" s="849">
        <v>8.6999999999999993</v>
      </c>
      <c r="F4" s="487"/>
      <c r="G4" s="488"/>
      <c r="I4" s="495"/>
    </row>
    <row r="5" spans="1:9" ht="21.95" customHeight="1">
      <c r="A5" s="850" t="s">
        <v>294</v>
      </c>
      <c r="B5" s="794" t="s">
        <v>8</v>
      </c>
      <c r="C5" s="848"/>
      <c r="D5" s="849">
        <v>24.9</v>
      </c>
      <c r="F5" s="490"/>
      <c r="G5" s="488"/>
      <c r="I5" s="495"/>
    </row>
    <row r="6" spans="1:9" ht="21.95" customHeight="1">
      <c r="A6" s="850" t="s">
        <v>295</v>
      </c>
      <c r="B6" s="794" t="s">
        <v>8</v>
      </c>
      <c r="C6" s="848"/>
      <c r="D6" s="851">
        <v>13.6</v>
      </c>
      <c r="E6" s="491"/>
      <c r="F6" s="491"/>
      <c r="G6" s="488"/>
      <c r="I6" s="495"/>
    </row>
    <row r="7" spans="1:9" s="478" customFormat="1" ht="21.95" customHeight="1">
      <c r="A7" s="846" t="s">
        <v>296</v>
      </c>
      <c r="B7" s="794" t="s">
        <v>8</v>
      </c>
      <c r="C7" s="848"/>
      <c r="D7" s="849">
        <v>4.2576430618444201</v>
      </c>
      <c r="F7" s="484"/>
      <c r="G7" s="492"/>
    </row>
    <row r="8" spans="1:9" s="478" customFormat="1" ht="21.95" customHeight="1">
      <c r="A8" s="852" t="s">
        <v>297</v>
      </c>
      <c r="B8" s="794" t="s">
        <v>8</v>
      </c>
      <c r="C8" s="848"/>
      <c r="D8" s="849">
        <v>4.9000000000000004</v>
      </c>
      <c r="F8" s="487"/>
    </row>
    <row r="9" spans="1:9" s="478" customFormat="1" ht="21.95" customHeight="1">
      <c r="A9" s="852" t="s">
        <v>298</v>
      </c>
      <c r="B9" s="794" t="s">
        <v>8</v>
      </c>
      <c r="C9" s="848"/>
      <c r="D9" s="849">
        <v>115.4</v>
      </c>
      <c r="F9" s="487"/>
    </row>
    <row r="10" spans="1:9" ht="21.95" customHeight="1">
      <c r="A10" s="850" t="s">
        <v>299</v>
      </c>
      <c r="B10" s="794" t="s">
        <v>8</v>
      </c>
      <c r="C10" s="848"/>
      <c r="D10" s="853">
        <v>2.7</v>
      </c>
      <c r="G10" s="495"/>
      <c r="I10" s="495"/>
    </row>
    <row r="11" spans="1:9" ht="21.95" customHeight="1">
      <c r="A11" s="850" t="s">
        <v>300</v>
      </c>
      <c r="B11" s="794" t="s">
        <v>8</v>
      </c>
      <c r="C11" s="848"/>
      <c r="D11" s="853">
        <v>-2.7</v>
      </c>
      <c r="G11" s="495"/>
      <c r="I11" s="495"/>
    </row>
    <row r="12" spans="1:9" ht="21.95" customHeight="1">
      <c r="A12" s="850" t="s">
        <v>301</v>
      </c>
      <c r="B12" s="794" t="s">
        <v>8</v>
      </c>
      <c r="C12" s="848"/>
      <c r="D12" s="849">
        <v>16.100000000000001</v>
      </c>
      <c r="G12" s="495"/>
      <c r="I12" s="495"/>
    </row>
    <row r="13" spans="1:9" ht="21.95" customHeight="1">
      <c r="A13" s="489" t="s">
        <v>302</v>
      </c>
      <c r="B13" s="486" t="s">
        <v>8</v>
      </c>
      <c r="C13" s="482"/>
      <c r="D13" s="496">
        <v>-43.4</v>
      </c>
      <c r="G13" s="495"/>
      <c r="I13" s="495"/>
    </row>
    <row r="14" spans="1:9" ht="21.95" customHeight="1">
      <c r="A14" s="493" t="s">
        <v>303</v>
      </c>
      <c r="B14" s="486" t="s">
        <v>8</v>
      </c>
      <c r="C14" s="482"/>
      <c r="D14" s="483">
        <v>4.5</v>
      </c>
      <c r="G14" s="495"/>
      <c r="I14" s="495"/>
    </row>
    <row r="15" spans="1:9" ht="21.95" customHeight="1">
      <c r="A15" s="493" t="s">
        <v>304</v>
      </c>
      <c r="B15" s="486" t="s">
        <v>8</v>
      </c>
      <c r="C15" s="482"/>
      <c r="D15" s="483">
        <v>6.6</v>
      </c>
      <c r="G15" s="495"/>
      <c r="I15" s="495"/>
    </row>
    <row r="16" spans="1:9" ht="21.95" customHeight="1">
      <c r="A16" s="497" t="s">
        <v>305</v>
      </c>
      <c r="B16" s="498" t="s">
        <v>119</v>
      </c>
      <c r="C16" s="499">
        <v>744</v>
      </c>
      <c r="D16" s="483">
        <v>8.6</v>
      </c>
      <c r="F16" s="500"/>
      <c r="G16" s="495"/>
      <c r="I16" s="495"/>
    </row>
    <row r="17" spans="1:9" ht="21.95" customHeight="1">
      <c r="A17" s="497" t="s">
        <v>306</v>
      </c>
      <c r="B17" s="498" t="s">
        <v>119</v>
      </c>
      <c r="C17" s="499">
        <v>233</v>
      </c>
      <c r="D17" s="496">
        <v>27.3</v>
      </c>
      <c r="G17" s="495"/>
      <c r="I17" s="495"/>
    </row>
    <row r="18" spans="1:9" ht="21.95" customHeight="1">
      <c r="A18" s="497" t="s">
        <v>307</v>
      </c>
      <c r="B18" s="498" t="s">
        <v>119</v>
      </c>
      <c r="C18" s="499">
        <v>173</v>
      </c>
      <c r="D18" s="483">
        <v>47.9</v>
      </c>
      <c r="G18" s="495"/>
      <c r="I18" s="495"/>
    </row>
    <row r="19" spans="1:9" ht="21.95" customHeight="1">
      <c r="A19" s="497" t="s">
        <v>308</v>
      </c>
      <c r="B19" s="498" t="s">
        <v>15</v>
      </c>
      <c r="C19" s="482">
        <v>3582.42</v>
      </c>
      <c r="D19" s="494">
        <v>23.8</v>
      </c>
      <c r="G19" s="495"/>
      <c r="I19" s="495"/>
    </row>
    <row r="20" spans="1:9" ht="21.95" customHeight="1">
      <c r="A20" s="497" t="s">
        <v>309</v>
      </c>
      <c r="B20" s="498" t="s">
        <v>15</v>
      </c>
      <c r="C20" s="482">
        <v>3421.21</v>
      </c>
      <c r="D20" s="494">
        <v>29</v>
      </c>
      <c r="G20" s="495"/>
      <c r="I20" s="495"/>
    </row>
    <row r="21" spans="1:9" ht="21.95" customHeight="1">
      <c r="A21" s="497" t="s">
        <v>310</v>
      </c>
      <c r="B21" s="498" t="s">
        <v>15</v>
      </c>
      <c r="C21" s="482">
        <v>78.89</v>
      </c>
      <c r="D21" s="494">
        <v>-58.6</v>
      </c>
    </row>
    <row r="22" spans="1:9" ht="21.95" customHeight="1">
      <c r="A22" s="497" t="s">
        <v>309</v>
      </c>
      <c r="B22" s="498" t="s">
        <v>15</v>
      </c>
      <c r="C22" s="482">
        <v>71.180000000000007</v>
      </c>
      <c r="D22" s="494">
        <v>-58.6</v>
      </c>
    </row>
    <row r="23" spans="1:9" ht="21.95" customHeight="1">
      <c r="A23" s="497" t="s">
        <v>311</v>
      </c>
      <c r="B23" s="498" t="s">
        <v>15</v>
      </c>
      <c r="C23" s="482">
        <v>394.3</v>
      </c>
      <c r="D23" s="496">
        <v>-0.7</v>
      </c>
    </row>
    <row r="24" spans="1:9" ht="21.95" customHeight="1">
      <c r="A24" s="501" t="s">
        <v>312</v>
      </c>
      <c r="B24" s="502" t="s">
        <v>8</v>
      </c>
      <c r="C24" s="503">
        <v>337.46</v>
      </c>
      <c r="D24" s="504">
        <v>6.1</v>
      </c>
    </row>
    <row r="25" spans="1:9" ht="24.95" customHeight="1">
      <c r="A25" s="744"/>
      <c r="B25" s="744"/>
      <c r="C25" s="744"/>
      <c r="D25" s="744"/>
    </row>
    <row r="26" spans="1:9" ht="24.95" customHeight="1">
      <c r="B26" s="480"/>
    </row>
    <row r="27" spans="1:9" ht="20.25" customHeight="1"/>
  </sheetData>
  <sheetProtection password="DC9E" sheet="1" objects="1" scenarios="1"/>
  <mergeCells count="2">
    <mergeCell ref="A1:D1"/>
    <mergeCell ref="A25:D25"/>
  </mergeCells>
  <phoneticPr fontId="10" type="noConversion"/>
  <printOptions horizontalCentered="1"/>
  <pageMargins left="0.55000000000000004" right="0.55000000000000004" top="0.98" bottom="0.98" header="0.51" footer="0.51"/>
  <pageSetup paperSize="9" orientation="portrait" blackAndWhite="1" horizontalDpi="200" verticalDpi="200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F25"/>
  <sheetViews>
    <sheetView tabSelected="1" zoomScaleSheetLayoutView="80" workbookViewId="0">
      <selection activeCell="H12" sqref="H12"/>
    </sheetView>
  </sheetViews>
  <sheetFormatPr defaultColWidth="9" defaultRowHeight="14.25"/>
  <cols>
    <col min="1" max="1" width="28" customWidth="1"/>
    <col min="2" max="6" width="9.125" customWidth="1"/>
  </cols>
  <sheetData>
    <row r="1" spans="1:6" ht="33" customHeight="1">
      <c r="A1" s="716" t="s">
        <v>0</v>
      </c>
      <c r="B1" s="716"/>
      <c r="C1" s="716"/>
      <c r="D1" s="716"/>
      <c r="E1" s="716"/>
      <c r="F1" s="716"/>
    </row>
    <row r="2" spans="1:6">
      <c r="A2" s="721" t="s">
        <v>1</v>
      </c>
      <c r="B2" s="722" t="s">
        <v>2</v>
      </c>
      <c r="C2" s="717" t="s">
        <v>3</v>
      </c>
      <c r="D2" s="718"/>
      <c r="E2" s="717" t="s">
        <v>4</v>
      </c>
      <c r="F2" s="718"/>
    </row>
    <row r="3" spans="1:6">
      <c r="A3" s="721"/>
      <c r="B3" s="723"/>
      <c r="C3" s="656" t="s">
        <v>5</v>
      </c>
      <c r="D3" s="656" t="s">
        <v>6</v>
      </c>
      <c r="E3" s="656" t="s">
        <v>5</v>
      </c>
      <c r="F3" s="656" t="s">
        <v>6</v>
      </c>
    </row>
    <row r="4" spans="1:6" ht="23.1" customHeight="1">
      <c r="A4" s="658" t="s">
        <v>7</v>
      </c>
      <c r="B4" s="507" t="s">
        <v>8</v>
      </c>
      <c r="C4" s="682">
        <v>2231.7800000000002</v>
      </c>
      <c r="D4" s="683">
        <v>4.0999999999999996</v>
      </c>
      <c r="E4" s="682" t="s">
        <v>9</v>
      </c>
      <c r="F4" s="683" t="s">
        <v>9</v>
      </c>
    </row>
    <row r="5" spans="1:6" ht="23.1" customHeight="1">
      <c r="A5" s="658" t="s">
        <v>10</v>
      </c>
      <c r="B5" s="507" t="s">
        <v>8</v>
      </c>
      <c r="C5" s="679">
        <v>1674.62</v>
      </c>
      <c r="D5" s="30">
        <v>-1.9</v>
      </c>
      <c r="E5" s="679">
        <v>1470.61</v>
      </c>
      <c r="F5" s="30">
        <v>-4.5</v>
      </c>
    </row>
    <row r="6" spans="1:6" ht="23.1" customHeight="1">
      <c r="A6" s="658" t="s">
        <v>11</v>
      </c>
      <c r="B6" s="507" t="s">
        <v>8</v>
      </c>
      <c r="C6" s="679">
        <v>529.34</v>
      </c>
      <c r="D6" s="30">
        <v>-2.4</v>
      </c>
      <c r="E6" s="679">
        <v>466.56</v>
      </c>
      <c r="F6" s="30">
        <v>-4.5</v>
      </c>
    </row>
    <row r="7" spans="1:6" ht="23.1" customHeight="1">
      <c r="A7" s="658" t="s">
        <v>12</v>
      </c>
      <c r="B7" s="507" t="s">
        <v>8</v>
      </c>
      <c r="C7" s="679"/>
      <c r="D7" s="30">
        <v>4.9000000000000004</v>
      </c>
      <c r="E7" s="679"/>
      <c r="F7" s="30">
        <v>3.1</v>
      </c>
    </row>
    <row r="8" spans="1:6" ht="23.1" customHeight="1">
      <c r="A8" s="658" t="s">
        <v>13</v>
      </c>
      <c r="B8" s="507" t="s">
        <v>8</v>
      </c>
      <c r="C8" s="679"/>
      <c r="D8" s="30">
        <v>4.26</v>
      </c>
      <c r="E8" s="679"/>
      <c r="F8" s="30">
        <v>4.5</v>
      </c>
    </row>
    <row r="9" spans="1:6" ht="23.1" customHeight="1">
      <c r="A9" s="658" t="s">
        <v>14</v>
      </c>
      <c r="B9" s="507" t="s">
        <v>15</v>
      </c>
      <c r="C9" s="679">
        <v>394.3</v>
      </c>
      <c r="D9" s="30">
        <v>-0.7</v>
      </c>
      <c r="E9" s="679">
        <v>357.69</v>
      </c>
      <c r="F9" s="30">
        <v>2.4</v>
      </c>
    </row>
    <row r="10" spans="1:6" ht="23.1" customHeight="1">
      <c r="A10" s="658" t="s">
        <v>16</v>
      </c>
      <c r="B10" s="507" t="s">
        <v>8</v>
      </c>
      <c r="C10" s="679">
        <v>1362.96</v>
      </c>
      <c r="D10" s="30">
        <v>8.5</v>
      </c>
      <c r="E10" s="679">
        <v>1199.99</v>
      </c>
      <c r="F10" s="30">
        <v>8.4</v>
      </c>
    </row>
    <row r="11" spans="1:6" ht="23.1" customHeight="1">
      <c r="A11" s="661" t="s">
        <v>17</v>
      </c>
      <c r="B11" s="507" t="s">
        <v>8</v>
      </c>
      <c r="C11" s="679">
        <v>97.96</v>
      </c>
      <c r="D11" s="29">
        <v>6.3</v>
      </c>
      <c r="E11" s="679">
        <v>87.1</v>
      </c>
      <c r="F11" s="29">
        <v>4.0999999999999996</v>
      </c>
    </row>
    <row r="12" spans="1:6" ht="23.1" customHeight="1">
      <c r="A12" s="661" t="s">
        <v>18</v>
      </c>
      <c r="B12" s="507" t="s">
        <v>8</v>
      </c>
      <c r="C12" s="680">
        <v>372.37</v>
      </c>
      <c r="D12" s="681">
        <v>6.6</v>
      </c>
      <c r="E12" s="680">
        <v>325.39999999999998</v>
      </c>
      <c r="F12" s="681">
        <v>7.1</v>
      </c>
    </row>
    <row r="13" spans="1:6" ht="23.1" customHeight="1">
      <c r="A13" s="658" t="s">
        <v>19</v>
      </c>
      <c r="B13" s="507" t="s">
        <v>8</v>
      </c>
      <c r="C13" s="696">
        <v>418.07</v>
      </c>
      <c r="D13" s="697">
        <v>1.5</v>
      </c>
      <c r="E13" s="696">
        <v>388.36</v>
      </c>
      <c r="F13" s="697">
        <v>4.0999999999999996</v>
      </c>
    </row>
    <row r="14" spans="1:6" ht="23.1" customHeight="1">
      <c r="A14" s="658" t="s">
        <v>20</v>
      </c>
      <c r="B14" s="507" t="s">
        <v>8</v>
      </c>
      <c r="C14" s="698" t="s">
        <v>9</v>
      </c>
      <c r="D14" s="698" t="s">
        <v>9</v>
      </c>
      <c r="E14" s="699">
        <v>250.47970000000001</v>
      </c>
      <c r="F14" s="700">
        <v>5.4</v>
      </c>
    </row>
    <row r="15" spans="1:6" ht="23.1" customHeight="1">
      <c r="A15" s="658" t="s">
        <v>21</v>
      </c>
      <c r="B15" s="507" t="s">
        <v>8</v>
      </c>
      <c r="C15" s="698" t="s">
        <v>9</v>
      </c>
      <c r="D15" s="698" t="s">
        <v>9</v>
      </c>
      <c r="E15" s="699">
        <v>127.7966</v>
      </c>
      <c r="F15" s="700">
        <v>1.3</v>
      </c>
    </row>
    <row r="16" spans="1:6" ht="23.1" customHeight="1">
      <c r="A16" s="658" t="s">
        <v>22</v>
      </c>
      <c r="B16" s="507" t="s">
        <v>8</v>
      </c>
      <c r="C16" s="698" t="s">
        <v>9</v>
      </c>
      <c r="D16" s="698" t="s">
        <v>9</v>
      </c>
      <c r="E16" s="699">
        <v>122.6831</v>
      </c>
      <c r="F16" s="700">
        <v>10.1</v>
      </c>
    </row>
    <row r="17" spans="1:6" ht="23.1" customHeight="1">
      <c r="A17" s="658" t="s">
        <v>23</v>
      </c>
      <c r="B17" s="507" t="s">
        <v>24</v>
      </c>
      <c r="C17" s="698">
        <v>19329</v>
      </c>
      <c r="D17" s="701">
        <v>192.5</v>
      </c>
      <c r="E17" s="698">
        <v>18168</v>
      </c>
      <c r="F17" s="701">
        <v>193.6</v>
      </c>
    </row>
    <row r="18" spans="1:6" ht="23.1" customHeight="1">
      <c r="A18" s="658" t="s">
        <v>25</v>
      </c>
      <c r="B18" s="507" t="s">
        <v>8</v>
      </c>
      <c r="C18" s="696">
        <v>3681.79</v>
      </c>
      <c r="D18" s="697">
        <v>10.3</v>
      </c>
      <c r="E18" s="696">
        <v>3657.58</v>
      </c>
      <c r="F18" s="697">
        <v>9.6</v>
      </c>
    </row>
    <row r="19" spans="1:6" ht="23.1" customHeight="1">
      <c r="A19" s="661" t="s">
        <v>26</v>
      </c>
      <c r="B19" s="507" t="s">
        <v>8</v>
      </c>
      <c r="C19" s="702">
        <v>2344.17</v>
      </c>
      <c r="D19" s="703">
        <v>11.2</v>
      </c>
      <c r="E19" s="702">
        <v>2315</v>
      </c>
      <c r="F19" s="703">
        <v>9.8000000000000007</v>
      </c>
    </row>
    <row r="20" spans="1:6" ht="23.1" customHeight="1">
      <c r="A20" s="658" t="s">
        <v>27</v>
      </c>
      <c r="B20" s="507" t="s">
        <v>8</v>
      </c>
      <c r="C20" s="702">
        <v>2426.56</v>
      </c>
      <c r="D20" s="703">
        <v>14.9</v>
      </c>
      <c r="E20" s="702">
        <v>2396.61</v>
      </c>
      <c r="F20" s="703">
        <v>13.5</v>
      </c>
    </row>
    <row r="21" spans="1:6" ht="23.1" customHeight="1">
      <c r="A21" s="658" t="s">
        <v>28</v>
      </c>
      <c r="B21" s="507" t="s">
        <v>29</v>
      </c>
      <c r="C21" s="703">
        <v>102.8</v>
      </c>
      <c r="D21" s="703">
        <v>2.8</v>
      </c>
      <c r="E21" s="703">
        <v>102.6</v>
      </c>
      <c r="F21" s="703">
        <v>2.6</v>
      </c>
    </row>
    <row r="22" spans="1:6" ht="23.1" customHeight="1">
      <c r="A22" s="658" t="s">
        <v>30</v>
      </c>
      <c r="B22" s="507" t="s">
        <v>29</v>
      </c>
      <c r="C22" s="703">
        <v>99.9</v>
      </c>
      <c r="D22" s="703">
        <v>-0.1</v>
      </c>
      <c r="E22" s="703">
        <v>100</v>
      </c>
      <c r="F22" s="703">
        <v>0</v>
      </c>
    </row>
    <row r="23" spans="1:6" ht="23.1" customHeight="1">
      <c r="A23" s="658" t="s">
        <v>31</v>
      </c>
      <c r="B23" s="507" t="s">
        <v>32</v>
      </c>
      <c r="C23" s="702">
        <v>160.56039999999999</v>
      </c>
      <c r="D23" s="703">
        <v>8.57</v>
      </c>
      <c r="E23" s="702">
        <v>141.63999999999999</v>
      </c>
      <c r="F23" s="703">
        <v>8.4</v>
      </c>
    </row>
    <row r="24" spans="1:6" ht="23.1" customHeight="1">
      <c r="A24" s="666" t="s">
        <v>33</v>
      </c>
      <c r="B24" s="667" t="s">
        <v>32</v>
      </c>
      <c r="C24" s="704">
        <v>92.865399999999994</v>
      </c>
      <c r="D24" s="705">
        <v>3.88</v>
      </c>
      <c r="E24" s="704">
        <v>81.900000000000006</v>
      </c>
      <c r="F24" s="705">
        <v>3</v>
      </c>
    </row>
    <row r="25" spans="1:6">
      <c r="A25" s="719" t="s">
        <v>34</v>
      </c>
      <c r="B25" s="720"/>
      <c r="C25" s="720"/>
      <c r="D25" s="720"/>
      <c r="E25" s="685"/>
      <c r="F25" s="685"/>
    </row>
  </sheetData>
  <sheetProtection password="DC9E" sheet="1" objects="1" scenarios="1"/>
  <mergeCells count="6">
    <mergeCell ref="A1:F1"/>
    <mergeCell ref="C2:D2"/>
    <mergeCell ref="E2:F2"/>
    <mergeCell ref="A25:D25"/>
    <mergeCell ref="A2:A3"/>
    <mergeCell ref="B2:B3"/>
  </mergeCells>
  <phoneticPr fontId="10" type="noConversion"/>
  <pageMargins left="0.75" right="0.75" top="1" bottom="1" header="0.5" footer="0.5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>
  <sheetPr enableFormatConditionsCalculation="0">
    <tabColor theme="5"/>
  </sheetPr>
  <dimension ref="A1:C31"/>
  <sheetViews>
    <sheetView zoomScale="75" workbookViewId="0">
      <selection activeCell="F6" sqref="F6"/>
    </sheetView>
  </sheetViews>
  <sheetFormatPr defaultColWidth="9" defaultRowHeight="14.25"/>
  <cols>
    <col min="1" max="1" width="43.5" customWidth="1"/>
    <col min="2" max="2" width="17.375" customWidth="1"/>
    <col min="3" max="3" width="17.125" customWidth="1"/>
  </cols>
  <sheetData>
    <row r="1" spans="1:3" ht="20.100000000000001" customHeight="1">
      <c r="A1" s="727" t="s">
        <v>16</v>
      </c>
      <c r="B1" s="727"/>
      <c r="C1" s="727"/>
    </row>
    <row r="2" spans="1:3" ht="16.5" hidden="1" customHeight="1">
      <c r="B2" s="468"/>
      <c r="C2" s="451"/>
    </row>
    <row r="3" spans="1:3" ht="16.5" customHeight="1">
      <c r="B3" s="854"/>
      <c r="C3" s="854" t="s">
        <v>47</v>
      </c>
    </row>
    <row r="4" spans="1:3" ht="21.95" customHeight="1">
      <c r="A4" s="469" t="s">
        <v>48</v>
      </c>
      <c r="B4" s="855" t="s">
        <v>49</v>
      </c>
      <c r="C4" s="855" t="s">
        <v>91</v>
      </c>
    </row>
    <row r="5" spans="1:3" s="43" customFormat="1" ht="18.95" customHeight="1">
      <c r="A5" s="342" t="s">
        <v>313</v>
      </c>
      <c r="B5" s="856">
        <v>1362.9641999999999</v>
      </c>
      <c r="C5" s="687">
        <v>8.5</v>
      </c>
    </row>
    <row r="6" spans="1:3" s="43" customFormat="1" ht="18.95" customHeight="1">
      <c r="A6" s="343" t="s">
        <v>314</v>
      </c>
      <c r="B6" s="470"/>
      <c r="C6" s="471"/>
    </row>
    <row r="7" spans="1:3" s="43" customFormat="1" ht="18.95" customHeight="1">
      <c r="A7" s="343" t="s">
        <v>315</v>
      </c>
      <c r="B7" s="470">
        <v>1103.4277</v>
      </c>
      <c r="C7" s="471">
        <v>8.4</v>
      </c>
    </row>
    <row r="8" spans="1:3" s="43" customFormat="1" ht="18.95" customHeight="1">
      <c r="A8" s="343" t="s">
        <v>316</v>
      </c>
      <c r="B8" s="470">
        <v>259.53640000000001</v>
      </c>
      <c r="C8" s="471">
        <v>9.1999999999999993</v>
      </c>
    </row>
    <row r="9" spans="1:3" s="43" customFormat="1" ht="18.95" customHeight="1">
      <c r="A9" s="343" t="s">
        <v>317</v>
      </c>
      <c r="B9" s="470"/>
      <c r="C9" s="471"/>
    </row>
    <row r="10" spans="1:3" s="43" customFormat="1" ht="18.95" customHeight="1">
      <c r="A10" s="343" t="s">
        <v>318</v>
      </c>
      <c r="B10" s="470">
        <v>1209.9281000000001</v>
      </c>
      <c r="C10" s="471">
        <v>8.6999999999999993</v>
      </c>
    </row>
    <row r="11" spans="1:3" s="43" customFormat="1" ht="18.95" customHeight="1">
      <c r="A11" s="343" t="s">
        <v>319</v>
      </c>
      <c r="B11" s="470">
        <v>153.036</v>
      </c>
      <c r="C11" s="471">
        <v>7.5</v>
      </c>
    </row>
    <row r="12" spans="1:3" s="43" customFormat="1" ht="18.95" customHeight="1">
      <c r="A12" s="472" t="s">
        <v>320</v>
      </c>
      <c r="B12" s="470">
        <v>166.83600000000001</v>
      </c>
      <c r="C12" s="471">
        <v>7.2</v>
      </c>
    </row>
    <row r="13" spans="1:3" s="43" customFormat="1" ht="18.95" customHeight="1">
      <c r="A13" s="343" t="s">
        <v>321</v>
      </c>
      <c r="B13" s="470">
        <v>30.2258</v>
      </c>
      <c r="C13" s="471">
        <v>16.399999999999999</v>
      </c>
    </row>
    <row r="14" spans="1:3" s="43" customFormat="1" ht="18.95" customHeight="1">
      <c r="A14" s="343" t="s">
        <v>322</v>
      </c>
      <c r="B14" s="470">
        <v>2.4689999999999999</v>
      </c>
      <c r="C14" s="471">
        <v>5</v>
      </c>
    </row>
    <row r="15" spans="1:3" s="43" customFormat="1" ht="18.95" customHeight="1">
      <c r="A15" s="343" t="s">
        <v>323</v>
      </c>
      <c r="B15" s="470">
        <v>1.3059000000000001</v>
      </c>
      <c r="C15" s="471">
        <v>17.7</v>
      </c>
    </row>
    <row r="16" spans="1:3" s="43" customFormat="1" ht="18.95" customHeight="1">
      <c r="A16" s="343" t="s">
        <v>324</v>
      </c>
      <c r="B16" s="470">
        <v>1.4151</v>
      </c>
      <c r="C16" s="471">
        <v>10.9</v>
      </c>
    </row>
    <row r="17" spans="1:3" s="43" customFormat="1" ht="18.95" customHeight="1">
      <c r="A17" s="473" t="s">
        <v>325</v>
      </c>
      <c r="B17" s="470">
        <v>5.9793000000000003</v>
      </c>
      <c r="C17" s="471">
        <v>16.100000000000001</v>
      </c>
    </row>
    <row r="18" spans="1:3" s="43" customFormat="1" ht="18.95" customHeight="1">
      <c r="A18" s="474" t="s">
        <v>326</v>
      </c>
      <c r="B18" s="470">
        <v>0.76239999999999997</v>
      </c>
      <c r="C18" s="471">
        <v>1.3</v>
      </c>
    </row>
    <row r="19" spans="1:3" s="43" customFormat="1" ht="18.95" customHeight="1">
      <c r="A19" s="474" t="s">
        <v>327</v>
      </c>
      <c r="B19" s="470">
        <v>9.6299999999999997E-2</v>
      </c>
      <c r="C19" s="471">
        <v>39.799999999999997</v>
      </c>
    </row>
    <row r="20" spans="1:3" s="43" customFormat="1" ht="18.95" customHeight="1">
      <c r="A20" s="474" t="s">
        <v>328</v>
      </c>
      <c r="B20" s="470">
        <v>1.4983</v>
      </c>
      <c r="C20" s="471">
        <v>10.7</v>
      </c>
    </row>
    <row r="21" spans="1:3" s="43" customFormat="1" ht="18.95" customHeight="1">
      <c r="A21" s="474" t="s">
        <v>329</v>
      </c>
      <c r="B21" s="470">
        <v>3.15E-2</v>
      </c>
      <c r="C21" s="471">
        <v>-35.1</v>
      </c>
    </row>
    <row r="22" spans="1:3" s="43" customFormat="1" ht="18.95" customHeight="1">
      <c r="A22" s="474" t="s">
        <v>330</v>
      </c>
      <c r="B22" s="470">
        <v>9.2876999999999992</v>
      </c>
      <c r="C22" s="471">
        <v>18.600000000000001</v>
      </c>
    </row>
    <row r="23" spans="1:3" s="43" customFormat="1" ht="18.95" customHeight="1">
      <c r="A23" s="474" t="s">
        <v>331</v>
      </c>
      <c r="B23" s="470">
        <v>8.7399000000000004</v>
      </c>
      <c r="C23" s="471">
        <v>23.6</v>
      </c>
    </row>
    <row r="24" spans="1:3" s="43" customFormat="1" ht="18.95" customHeight="1">
      <c r="A24" s="474" t="s">
        <v>332</v>
      </c>
      <c r="B24" s="470">
        <v>1.0831999999999999</v>
      </c>
      <c r="C24" s="471">
        <v>7.7</v>
      </c>
    </row>
    <row r="25" spans="1:3" s="43" customFormat="1" ht="18.95" customHeight="1">
      <c r="A25" s="474" t="s">
        <v>333</v>
      </c>
      <c r="B25" s="470">
        <v>1.6838</v>
      </c>
      <c r="C25" s="471">
        <v>13.2</v>
      </c>
    </row>
    <row r="26" spans="1:3" s="43" customFormat="1" ht="18.95" customHeight="1">
      <c r="A26" s="474" t="s">
        <v>334</v>
      </c>
      <c r="B26" s="470">
        <v>2.1080000000000001</v>
      </c>
      <c r="C26" s="471">
        <v>33.6</v>
      </c>
    </row>
    <row r="27" spans="1:3" s="43" customFormat="1" ht="18.95" customHeight="1">
      <c r="A27" s="474" t="s">
        <v>335</v>
      </c>
      <c r="B27" s="470">
        <v>44.063499999999998</v>
      </c>
      <c r="C27" s="471">
        <v>-5.3</v>
      </c>
    </row>
    <row r="28" spans="1:3" s="43" customFormat="1" ht="18.95" customHeight="1">
      <c r="A28" s="474" t="s">
        <v>336</v>
      </c>
      <c r="B28" s="470">
        <v>0.80559999999999998</v>
      </c>
      <c r="C28" s="471">
        <v>9.8000000000000007</v>
      </c>
    </row>
    <row r="29" spans="1:3" s="43" customFormat="1" ht="18.95" customHeight="1">
      <c r="A29" s="474" t="s">
        <v>337</v>
      </c>
      <c r="B29" s="470">
        <v>1.7518</v>
      </c>
      <c r="C29" s="471">
        <v>55.2</v>
      </c>
    </row>
    <row r="30" spans="1:3" s="43" customFormat="1" ht="18.95" customHeight="1">
      <c r="A30" s="474" t="s">
        <v>338</v>
      </c>
      <c r="B30" s="470">
        <v>49.677799999999998</v>
      </c>
      <c r="C30" s="471">
        <v>2.1</v>
      </c>
    </row>
    <row r="31" spans="1:3" ht="18.95" customHeight="1">
      <c r="A31" s="475" t="s">
        <v>339</v>
      </c>
      <c r="B31" s="476">
        <v>3.8513000000000002</v>
      </c>
      <c r="C31" s="477">
        <v>144.9</v>
      </c>
    </row>
  </sheetData>
  <sheetProtection password="DC9E" sheet="1" objects="1" scenarios="1"/>
  <mergeCells count="1">
    <mergeCell ref="A1:C1"/>
  </mergeCells>
  <phoneticPr fontId="10" type="noConversion"/>
  <pageMargins left="0.75" right="0.55000000000000004" top="0.59" bottom="0.79000000000000015" header="0.51" footer="0.51"/>
  <pageSetup paperSize="9" scale="111" orientation="portrait"/>
  <headerFooter scaleWithDoc="0" alignWithMargins="0"/>
</worksheet>
</file>

<file path=xl/worksheets/sheet21.xml><?xml version="1.0" encoding="utf-8"?>
<worksheet xmlns="http://schemas.openxmlformats.org/spreadsheetml/2006/main" xmlns:r="http://schemas.openxmlformats.org/officeDocument/2006/relationships">
  <sheetPr enableFormatConditionsCalculation="0">
    <tabColor theme="5"/>
  </sheetPr>
  <dimension ref="A1:C29"/>
  <sheetViews>
    <sheetView zoomScale="80" workbookViewId="0">
      <selection activeCell="B3" sqref="B3:C5"/>
    </sheetView>
  </sheetViews>
  <sheetFormatPr defaultRowHeight="14.25"/>
  <cols>
    <col min="1" max="1" width="43.5" style="43" customWidth="1"/>
    <col min="2" max="2" width="13.5" style="448" customWidth="1"/>
    <col min="3" max="3" width="13.875" style="43" customWidth="1"/>
    <col min="4" max="16384" width="9" style="43"/>
  </cols>
  <sheetData>
    <row r="1" spans="1:3" ht="40.5" customHeight="1">
      <c r="A1" s="727" t="s">
        <v>340</v>
      </c>
      <c r="B1" s="727"/>
      <c r="C1" s="727"/>
    </row>
    <row r="2" spans="1:3" ht="18" hidden="1" customHeight="1">
      <c r="A2" s="449"/>
      <c r="B2" s="450"/>
      <c r="C2" s="451"/>
    </row>
    <row r="3" spans="1:3" ht="21" customHeight="1">
      <c r="A3" s="449"/>
      <c r="B3" s="857"/>
      <c r="C3" s="854" t="s">
        <v>341</v>
      </c>
    </row>
    <row r="4" spans="1:3" ht="32.1" customHeight="1">
      <c r="A4" s="365" t="s">
        <v>48</v>
      </c>
      <c r="B4" s="715" t="s">
        <v>49</v>
      </c>
      <c r="C4" s="824" t="s">
        <v>342</v>
      </c>
    </row>
    <row r="5" spans="1:3" ht="21.95" customHeight="1">
      <c r="A5" s="285" t="s">
        <v>343</v>
      </c>
      <c r="B5" s="858">
        <v>97.959800000000001</v>
      </c>
      <c r="C5" s="859">
        <v>6.3</v>
      </c>
    </row>
    <row r="6" spans="1:3" ht="21.95" customHeight="1">
      <c r="A6" s="305" t="s">
        <v>344</v>
      </c>
      <c r="B6" s="464">
        <v>68.114999999999995</v>
      </c>
      <c r="C6" s="287">
        <v>0.5</v>
      </c>
    </row>
    <row r="7" spans="1:3" ht="21.95" customHeight="1">
      <c r="A7" s="305" t="s">
        <v>345</v>
      </c>
      <c r="B7" s="464">
        <v>25.462</v>
      </c>
      <c r="C7" s="287">
        <v>0.3</v>
      </c>
    </row>
    <row r="8" spans="1:3" ht="21.95" customHeight="1">
      <c r="A8" s="305" t="s">
        <v>346</v>
      </c>
      <c r="B8" s="464">
        <v>8.5806000000000004</v>
      </c>
      <c r="C8" s="287">
        <v>-3.7</v>
      </c>
    </row>
    <row r="9" spans="1:3" ht="21.95" customHeight="1">
      <c r="A9" s="305" t="s">
        <v>347</v>
      </c>
      <c r="B9" s="464">
        <v>2.0387</v>
      </c>
      <c r="C9" s="287">
        <v>-33.200000000000003</v>
      </c>
    </row>
    <row r="10" spans="1:3" ht="21.95" customHeight="1">
      <c r="A10" s="285" t="s">
        <v>348</v>
      </c>
      <c r="B10" s="464">
        <v>29.844799999999999</v>
      </c>
      <c r="C10" s="287">
        <v>22.3</v>
      </c>
    </row>
    <row r="11" spans="1:3" ht="21.95" customHeight="1">
      <c r="A11" s="285" t="s">
        <v>349</v>
      </c>
      <c r="B11" s="464">
        <v>372.36630000000002</v>
      </c>
      <c r="C11" s="287">
        <v>6.6</v>
      </c>
    </row>
    <row r="12" spans="1:3" ht="21.95" customHeight="1">
      <c r="A12" s="285" t="s">
        <v>350</v>
      </c>
      <c r="B12" s="464">
        <v>35.6541</v>
      </c>
      <c r="C12" s="287">
        <v>17.600000000000001</v>
      </c>
    </row>
    <row r="13" spans="1:3" ht="21.95" customHeight="1">
      <c r="A13" s="285" t="s">
        <v>351</v>
      </c>
      <c r="B13" s="464">
        <v>2.3283</v>
      </c>
      <c r="C13" s="287">
        <v>9.3000000000000007</v>
      </c>
    </row>
    <row r="14" spans="1:3" ht="21.95" customHeight="1">
      <c r="A14" s="285" t="s">
        <v>352</v>
      </c>
      <c r="B14" s="464">
        <v>306.63069999999999</v>
      </c>
      <c r="C14" s="287">
        <v>7.1</v>
      </c>
    </row>
    <row r="15" spans="1:3" ht="21.95" customHeight="1">
      <c r="A15" s="286" t="s">
        <v>353</v>
      </c>
      <c r="B15" s="464">
        <v>83.287000000000006</v>
      </c>
      <c r="C15" s="287">
        <v>7</v>
      </c>
    </row>
    <row r="16" spans="1:3" ht="21.95" customHeight="1">
      <c r="A16" s="285" t="s">
        <v>354</v>
      </c>
      <c r="B16" s="464">
        <v>5.3014999999999999</v>
      </c>
      <c r="C16" s="32">
        <v>-25.7</v>
      </c>
    </row>
    <row r="17" spans="1:3" ht="21.95" customHeight="1">
      <c r="A17" s="285" t="s">
        <v>355</v>
      </c>
      <c r="B17" s="464">
        <v>68.757000000000005</v>
      </c>
      <c r="C17" s="32">
        <v>16.7</v>
      </c>
    </row>
    <row r="18" spans="1:3" ht="21.95" customHeight="1">
      <c r="A18" s="285" t="s">
        <v>356</v>
      </c>
      <c r="B18" s="464">
        <v>64.089200000000005</v>
      </c>
      <c r="C18" s="32">
        <v>15.1</v>
      </c>
    </row>
    <row r="19" spans="1:3" ht="21.95" customHeight="1">
      <c r="A19" s="285" t="s">
        <v>357</v>
      </c>
      <c r="B19" s="464">
        <v>5.577</v>
      </c>
      <c r="C19" s="32">
        <v>57.9</v>
      </c>
    </row>
    <row r="20" spans="1:3" ht="21.95" customHeight="1">
      <c r="A20" s="285" t="s">
        <v>358</v>
      </c>
      <c r="B20" s="464">
        <v>24.840699999999998</v>
      </c>
      <c r="C20" s="32">
        <v>26.3</v>
      </c>
    </row>
    <row r="21" spans="1:3" ht="21.95" customHeight="1">
      <c r="A21" s="285" t="s">
        <v>359</v>
      </c>
      <c r="B21" s="464">
        <v>27.648499999999999</v>
      </c>
      <c r="C21" s="32">
        <v>-34.700000000000003</v>
      </c>
    </row>
    <row r="22" spans="1:3" ht="21.95" customHeight="1">
      <c r="A22" s="285" t="s">
        <v>360</v>
      </c>
      <c r="B22" s="464">
        <v>16.8474</v>
      </c>
      <c r="C22" s="32">
        <v>37.1</v>
      </c>
    </row>
    <row r="23" spans="1:3" ht="21.95" customHeight="1">
      <c r="A23" s="285" t="s">
        <v>361</v>
      </c>
      <c r="B23" s="464">
        <v>8.8364999999999991</v>
      </c>
      <c r="C23" s="32">
        <v>17.600000000000001</v>
      </c>
    </row>
    <row r="24" spans="1:3" ht="21.95" customHeight="1">
      <c r="A24" s="465" t="s">
        <v>362</v>
      </c>
      <c r="B24" s="466">
        <v>1.4459</v>
      </c>
      <c r="C24" s="467">
        <v>-8.5</v>
      </c>
    </row>
    <row r="25" spans="1:3" ht="18" customHeight="1">
      <c r="A25" s="738" t="s">
        <v>363</v>
      </c>
      <c r="B25" s="738"/>
      <c r="C25" s="738"/>
    </row>
    <row r="29" spans="1:3">
      <c r="A29" s="461"/>
      <c r="B29" s="462"/>
      <c r="C29" s="463"/>
    </row>
  </sheetData>
  <sheetProtection password="DC9E" sheet="1" objects="1" scenarios="1"/>
  <mergeCells count="2">
    <mergeCell ref="A1:C1"/>
    <mergeCell ref="A25:C25"/>
  </mergeCells>
  <phoneticPr fontId="10" type="noConversion"/>
  <printOptions horizontalCentered="1"/>
  <pageMargins left="0.75" right="0.75" top="0.98" bottom="0.98" header="0.51" footer="0.51"/>
  <pageSetup paperSize="9" orientation="portrait" blackAndWhite="1"/>
  <headerFooter scaleWithDoc="0" alignWithMargins="0"/>
</worksheet>
</file>

<file path=xl/worksheets/sheet22.xml><?xml version="1.0" encoding="utf-8"?>
<worksheet xmlns="http://schemas.openxmlformats.org/spreadsheetml/2006/main" xmlns:r="http://schemas.openxmlformats.org/officeDocument/2006/relationships">
  <sheetPr enableFormatConditionsCalculation="0">
    <tabColor theme="5"/>
  </sheetPr>
  <dimension ref="A1:C39"/>
  <sheetViews>
    <sheetView zoomScale="80" workbookViewId="0">
      <selection activeCell="E4" sqref="E4"/>
    </sheetView>
  </sheetViews>
  <sheetFormatPr defaultRowHeight="14.25"/>
  <cols>
    <col min="1" max="1" width="42.875" style="43" customWidth="1"/>
    <col min="2" max="2" width="17.125" style="448" customWidth="1"/>
    <col min="3" max="3" width="13.875" style="43" customWidth="1"/>
    <col min="4" max="6" width="12.625" style="43" bestFit="1" customWidth="1"/>
    <col min="7" max="16384" width="9" style="43"/>
  </cols>
  <sheetData>
    <row r="1" spans="1:3" ht="27.95" customHeight="1">
      <c r="A1" s="727" t="s">
        <v>364</v>
      </c>
      <c r="B1" s="727"/>
      <c r="C1" s="727"/>
    </row>
    <row r="2" spans="1:3" ht="18" hidden="1" customHeight="1">
      <c r="A2" s="449"/>
      <c r="B2" s="450"/>
      <c r="C2" s="451"/>
    </row>
    <row r="3" spans="1:3" ht="20.25" customHeight="1">
      <c r="A3" s="449"/>
      <c r="B3" s="860"/>
      <c r="C3" s="861" t="s">
        <v>47</v>
      </c>
    </row>
    <row r="4" spans="1:3" ht="23.1" customHeight="1">
      <c r="A4" s="365" t="s">
        <v>48</v>
      </c>
      <c r="B4" s="862" t="s">
        <v>365</v>
      </c>
      <c r="C4" s="863" t="s">
        <v>6</v>
      </c>
    </row>
    <row r="5" spans="1:3" ht="15" customHeight="1">
      <c r="A5" s="452" t="s">
        <v>366</v>
      </c>
      <c r="B5" s="864">
        <v>3681.7921999999999</v>
      </c>
      <c r="C5" s="865">
        <v>10.3</v>
      </c>
    </row>
    <row r="6" spans="1:3" ht="15" customHeight="1">
      <c r="A6" s="454" t="s">
        <v>367</v>
      </c>
      <c r="B6" s="864">
        <v>3676.9704999999999</v>
      </c>
      <c r="C6" s="866">
        <v>10.3</v>
      </c>
    </row>
    <row r="7" spans="1:3" ht="15" customHeight="1">
      <c r="A7" s="456" t="s">
        <v>368</v>
      </c>
      <c r="B7" s="864">
        <v>2344.1687000000002</v>
      </c>
      <c r="C7" s="866">
        <v>11.2</v>
      </c>
    </row>
    <row r="8" spans="1:3" ht="15" customHeight="1">
      <c r="A8" s="454" t="s">
        <v>369</v>
      </c>
      <c r="B8" s="864">
        <v>688.05600000000004</v>
      </c>
      <c r="C8" s="866">
        <v>12.5</v>
      </c>
    </row>
    <row r="9" spans="1:3" ht="15" customHeight="1">
      <c r="A9" s="454" t="s">
        <v>370</v>
      </c>
      <c r="B9" s="864">
        <v>643.8451</v>
      </c>
      <c r="C9" s="866">
        <v>5.8</v>
      </c>
    </row>
    <row r="10" spans="1:3" ht="15" customHeight="1">
      <c r="A10" s="454" t="s">
        <v>371</v>
      </c>
      <c r="B10" s="864">
        <v>0.90069999999999995</v>
      </c>
      <c r="C10" s="866">
        <v>-82.5</v>
      </c>
    </row>
    <row r="11" spans="1:3" ht="15" customHeight="1">
      <c r="A11" s="454" t="s">
        <v>372</v>
      </c>
      <c r="B11" s="864">
        <v>4.8216999999999999</v>
      </c>
      <c r="C11" s="866">
        <v>19.2</v>
      </c>
    </row>
    <row r="12" spans="1:3" ht="15" customHeight="1">
      <c r="A12" s="457" t="s">
        <v>373</v>
      </c>
      <c r="B12" s="864">
        <v>2426.5594000000001</v>
      </c>
      <c r="C12" s="866">
        <v>14.9</v>
      </c>
    </row>
    <row r="13" spans="1:3" ht="15" customHeight="1">
      <c r="A13" s="454" t="s">
        <v>374</v>
      </c>
      <c r="B13" s="864">
        <v>2425.0826999999999</v>
      </c>
      <c r="C13" s="866">
        <v>14.9</v>
      </c>
    </row>
    <row r="14" spans="1:3" ht="15" customHeight="1">
      <c r="A14" s="456" t="s">
        <v>375</v>
      </c>
      <c r="B14" s="864">
        <v>957.65179999999998</v>
      </c>
      <c r="C14" s="866">
        <v>22.3</v>
      </c>
    </row>
    <row r="15" spans="1:3" ht="15" customHeight="1">
      <c r="A15" s="456" t="s">
        <v>376</v>
      </c>
      <c r="B15" s="864">
        <v>1467.4309000000001</v>
      </c>
      <c r="C15" s="866">
        <v>10.6</v>
      </c>
    </row>
    <row r="16" spans="1:3" ht="15" customHeight="1">
      <c r="A16" s="456" t="s">
        <v>377</v>
      </c>
      <c r="B16" s="864">
        <v>0</v>
      </c>
      <c r="C16" s="866">
        <v>0</v>
      </c>
    </row>
    <row r="17" spans="1:3" ht="15" customHeight="1">
      <c r="A17" s="454" t="s">
        <v>378</v>
      </c>
      <c r="B17" s="453">
        <v>1.4766999999999999</v>
      </c>
      <c r="C17" s="455">
        <v>21.7</v>
      </c>
    </row>
    <row r="18" spans="1:3" ht="15" customHeight="1">
      <c r="A18" s="457" t="s">
        <v>379</v>
      </c>
      <c r="B18" s="453">
        <v>3666.1305000000002</v>
      </c>
      <c r="C18" s="455">
        <v>10.4</v>
      </c>
    </row>
    <row r="19" spans="1:3" ht="15" customHeight="1">
      <c r="A19" s="454" t="s">
        <v>367</v>
      </c>
      <c r="B19" s="453">
        <v>3661.4542999999999</v>
      </c>
      <c r="C19" s="455">
        <v>10.4</v>
      </c>
    </row>
    <row r="20" spans="1:3" ht="15" customHeight="1">
      <c r="A20" s="456" t="s">
        <v>368</v>
      </c>
      <c r="B20" s="453">
        <v>2336.4834000000001</v>
      </c>
      <c r="C20" s="455">
        <v>11.3</v>
      </c>
    </row>
    <row r="21" spans="1:3" ht="15" customHeight="1">
      <c r="A21" s="454" t="s">
        <v>380</v>
      </c>
      <c r="B21" s="453">
        <v>1251.8716999999999</v>
      </c>
      <c r="C21" s="455">
        <v>11.4</v>
      </c>
    </row>
    <row r="22" spans="1:3" ht="15" customHeight="1">
      <c r="A22" s="454" t="s">
        <v>369</v>
      </c>
      <c r="B22" s="453">
        <v>680.35130000000004</v>
      </c>
      <c r="C22" s="455">
        <v>12.5</v>
      </c>
    </row>
    <row r="23" spans="1:3" ht="15" customHeight="1">
      <c r="A23" s="454" t="s">
        <v>370</v>
      </c>
      <c r="B23" s="453">
        <v>643.75440000000003</v>
      </c>
      <c r="C23" s="455">
        <v>5.8</v>
      </c>
    </row>
    <row r="24" spans="1:3" ht="15" customHeight="1">
      <c r="A24" s="454" t="s">
        <v>381</v>
      </c>
      <c r="B24" s="453">
        <v>594.44550000000004</v>
      </c>
      <c r="C24" s="455">
        <v>12.9</v>
      </c>
    </row>
    <row r="25" spans="1:3" ht="15" customHeight="1">
      <c r="A25" s="454" t="s">
        <v>371</v>
      </c>
      <c r="B25" s="453">
        <v>0.86519999999999997</v>
      </c>
      <c r="C25" s="455">
        <v>-83</v>
      </c>
    </row>
    <row r="26" spans="1:3" ht="15" customHeight="1">
      <c r="A26" s="454" t="s">
        <v>372</v>
      </c>
      <c r="B26" s="453">
        <v>4.6761999999999997</v>
      </c>
      <c r="C26" s="455">
        <v>19.899999999999999</v>
      </c>
    </row>
    <row r="27" spans="1:3" ht="15" customHeight="1">
      <c r="A27" s="457" t="s">
        <v>382</v>
      </c>
      <c r="B27" s="453">
        <v>2416.9193</v>
      </c>
      <c r="C27" s="455">
        <v>15.2</v>
      </c>
    </row>
    <row r="28" spans="1:3" ht="15" customHeight="1">
      <c r="A28" s="454" t="s">
        <v>374</v>
      </c>
      <c r="B28" s="453">
        <v>2415.4425999999999</v>
      </c>
      <c r="C28" s="455">
        <v>15.2</v>
      </c>
    </row>
    <row r="29" spans="1:3" ht="15" customHeight="1">
      <c r="A29" s="456" t="s">
        <v>375</v>
      </c>
      <c r="B29" s="453">
        <v>957.61569999999995</v>
      </c>
      <c r="C29" s="455">
        <v>22.3</v>
      </c>
    </row>
    <row r="30" spans="1:3" ht="15" customHeight="1">
      <c r="A30" s="456" t="s">
        <v>383</v>
      </c>
      <c r="B30" s="453">
        <v>838.95870000000002</v>
      </c>
      <c r="C30" s="455">
        <v>23.3</v>
      </c>
    </row>
    <row r="31" spans="1:3" ht="15" customHeight="1">
      <c r="A31" s="456" t="s">
        <v>376</v>
      </c>
      <c r="B31" s="453">
        <v>1457.8269</v>
      </c>
      <c r="C31" s="455">
        <v>11</v>
      </c>
    </row>
    <row r="32" spans="1:3" ht="15" customHeight="1">
      <c r="A32" s="456" t="s">
        <v>384</v>
      </c>
      <c r="B32" s="453">
        <v>537.22349999999994</v>
      </c>
      <c r="C32" s="455">
        <v>7.2</v>
      </c>
    </row>
    <row r="33" spans="1:3" ht="15" customHeight="1">
      <c r="A33" s="456" t="s">
        <v>385</v>
      </c>
      <c r="B33" s="453">
        <v>788.75490000000002</v>
      </c>
      <c r="C33" s="455">
        <v>13.3</v>
      </c>
    </row>
    <row r="34" spans="1:3" ht="15" customHeight="1">
      <c r="A34" s="456" t="s">
        <v>377</v>
      </c>
      <c r="B34" s="453">
        <v>0</v>
      </c>
      <c r="C34" s="455">
        <v>-100</v>
      </c>
    </row>
    <row r="35" spans="1:3" ht="15" customHeight="1">
      <c r="A35" s="458" t="s">
        <v>378</v>
      </c>
      <c r="B35" s="459">
        <v>1.4766999999999999</v>
      </c>
      <c r="C35" s="460">
        <v>21.7</v>
      </c>
    </row>
    <row r="36" spans="1:3" ht="19.5" customHeight="1">
      <c r="A36" s="738" t="s">
        <v>386</v>
      </c>
      <c r="B36" s="738"/>
      <c r="C36" s="738"/>
    </row>
    <row r="39" spans="1:3">
      <c r="A39" s="461"/>
      <c r="B39" s="462"/>
      <c r="C39" s="463"/>
    </row>
  </sheetData>
  <sheetProtection password="DC9E" sheet="1" objects="1" scenarios="1"/>
  <mergeCells count="2">
    <mergeCell ref="A1:C1"/>
    <mergeCell ref="A36:C36"/>
  </mergeCells>
  <phoneticPr fontId="10" type="noConversion"/>
  <pageMargins left="0.75" right="0.75" top="0.59" bottom="0.59" header="0.51" footer="0.51"/>
  <pageSetup paperSize="9" scale="93" orientation="portrait" verticalDpi="0"/>
  <headerFooter scaleWithDoc="0" alignWithMargins="0"/>
</worksheet>
</file>

<file path=xl/worksheets/sheet23.xml><?xml version="1.0" encoding="utf-8"?>
<worksheet xmlns="http://schemas.openxmlformats.org/spreadsheetml/2006/main" xmlns:r="http://schemas.openxmlformats.org/officeDocument/2006/relationships">
  <sheetPr enableFormatConditionsCalculation="0">
    <tabColor theme="5"/>
  </sheetPr>
  <dimension ref="A1:F37"/>
  <sheetViews>
    <sheetView zoomScale="75" workbookViewId="0">
      <selection activeCell="C4" sqref="C4"/>
    </sheetView>
  </sheetViews>
  <sheetFormatPr defaultRowHeight="14.25"/>
  <cols>
    <col min="1" max="1" width="34.25" style="201" customWidth="1"/>
    <col min="2" max="2" width="10" style="201" customWidth="1"/>
    <col min="3" max="3" width="15.25" style="201" customWidth="1"/>
    <col min="4" max="4" width="15.25" style="355" customWidth="1"/>
    <col min="5" max="16384" width="9" style="201"/>
  </cols>
  <sheetData>
    <row r="1" spans="1:4" ht="29.1" customHeight="1">
      <c r="A1" s="732" t="s">
        <v>387</v>
      </c>
      <c r="B1" s="732"/>
      <c r="C1" s="732"/>
      <c r="D1" s="732"/>
    </row>
    <row r="2" spans="1:4" ht="18" hidden="1" customHeight="1">
      <c r="A2" s="430"/>
      <c r="B2" s="430"/>
      <c r="C2" s="431"/>
      <c r="D2" s="408"/>
    </row>
    <row r="3" spans="1:4" ht="15" customHeight="1">
      <c r="A3" s="430"/>
      <c r="B3" s="430"/>
      <c r="C3" s="431"/>
      <c r="D3" s="412"/>
    </row>
    <row r="4" spans="1:4" ht="17.100000000000001" customHeight="1">
      <c r="A4" s="432" t="s">
        <v>48</v>
      </c>
      <c r="B4" s="433" t="s">
        <v>2</v>
      </c>
      <c r="C4" s="759" t="s">
        <v>117</v>
      </c>
      <c r="D4" s="434" t="s">
        <v>6</v>
      </c>
    </row>
    <row r="5" spans="1:4" ht="17.100000000000001" customHeight="1">
      <c r="A5" s="435" t="s">
        <v>388</v>
      </c>
      <c r="B5" s="436" t="s">
        <v>8</v>
      </c>
      <c r="C5" s="437">
        <v>250.47970000000001</v>
      </c>
      <c r="D5" s="438">
        <v>5.4</v>
      </c>
    </row>
    <row r="6" spans="1:4" ht="17.100000000000001" customHeight="1">
      <c r="A6" s="285" t="s">
        <v>389</v>
      </c>
      <c r="B6" s="436" t="s">
        <v>8</v>
      </c>
      <c r="C6" s="437">
        <v>127.7966</v>
      </c>
      <c r="D6" s="439">
        <v>1.3</v>
      </c>
    </row>
    <row r="7" spans="1:4" ht="17.100000000000001" customHeight="1">
      <c r="A7" s="285" t="s">
        <v>390</v>
      </c>
      <c r="B7" s="436"/>
      <c r="C7" s="437"/>
      <c r="D7" s="439"/>
    </row>
    <row r="8" spans="1:4" ht="17.100000000000001" customHeight="1">
      <c r="A8" s="285" t="s">
        <v>391</v>
      </c>
      <c r="B8" s="436" t="s">
        <v>8</v>
      </c>
      <c r="C8" s="437">
        <v>101.56019999999999</v>
      </c>
      <c r="D8" s="439">
        <v>-5</v>
      </c>
    </row>
    <row r="9" spans="1:4" ht="17.100000000000001" customHeight="1">
      <c r="A9" s="285" t="s">
        <v>392</v>
      </c>
      <c r="B9" s="436" t="s">
        <v>8</v>
      </c>
      <c r="C9" s="437">
        <v>3.0091000000000001</v>
      </c>
      <c r="D9" s="439">
        <v>14.4</v>
      </c>
    </row>
    <row r="10" spans="1:4" ht="17.100000000000001" customHeight="1">
      <c r="A10" s="285" t="s">
        <v>393</v>
      </c>
      <c r="B10" s="436" t="s">
        <v>8</v>
      </c>
      <c r="C10" s="437">
        <v>4.9965999999999999</v>
      </c>
      <c r="D10" s="439">
        <v>-28.9</v>
      </c>
    </row>
    <row r="11" spans="1:4" ht="17.100000000000001" customHeight="1">
      <c r="A11" s="285" t="s">
        <v>394</v>
      </c>
      <c r="B11" s="436" t="s">
        <v>8</v>
      </c>
      <c r="C11" s="437">
        <v>0.2296</v>
      </c>
      <c r="D11" s="439">
        <v>406</v>
      </c>
    </row>
    <row r="12" spans="1:4" ht="17.100000000000001" customHeight="1">
      <c r="A12" s="285" t="s">
        <v>395</v>
      </c>
      <c r="B12" s="436"/>
      <c r="C12" s="437"/>
      <c r="D12" s="439"/>
    </row>
    <row r="13" spans="1:4" ht="17.100000000000001" customHeight="1">
      <c r="A13" s="285" t="s">
        <v>396</v>
      </c>
      <c r="B13" s="436" t="s">
        <v>8</v>
      </c>
      <c r="C13" s="437">
        <v>24.752300000000002</v>
      </c>
      <c r="D13" s="439">
        <v>13.4</v>
      </c>
    </row>
    <row r="14" spans="1:4" ht="17.100000000000001" customHeight="1">
      <c r="A14" s="285" t="s">
        <v>397</v>
      </c>
      <c r="B14" s="436" t="s">
        <v>8</v>
      </c>
      <c r="C14" s="437">
        <v>29.177</v>
      </c>
      <c r="D14" s="439">
        <v>-15.2</v>
      </c>
    </row>
    <row r="15" spans="1:4" ht="17.100000000000001" customHeight="1">
      <c r="A15" s="285" t="s">
        <v>398</v>
      </c>
      <c r="B15" s="436" t="s">
        <v>8</v>
      </c>
      <c r="C15" s="437">
        <v>0.3952</v>
      </c>
      <c r="D15" s="439">
        <v>-41.9</v>
      </c>
    </row>
    <row r="16" spans="1:4" ht="17.100000000000001" customHeight="1">
      <c r="A16" s="285" t="s">
        <v>399</v>
      </c>
      <c r="B16" s="436" t="s">
        <v>8</v>
      </c>
      <c r="C16" s="437">
        <v>73.040199999999999</v>
      </c>
      <c r="D16" s="439">
        <v>5.8</v>
      </c>
    </row>
    <row r="17" spans="1:4" ht="17.100000000000001" customHeight="1">
      <c r="A17" s="440" t="s">
        <v>400</v>
      </c>
      <c r="B17" s="436"/>
      <c r="C17" s="437"/>
      <c r="D17" s="439"/>
    </row>
    <row r="18" spans="1:4" ht="17.100000000000001" customHeight="1">
      <c r="A18" s="441" t="s">
        <v>401</v>
      </c>
      <c r="B18" s="436" t="s">
        <v>8</v>
      </c>
      <c r="C18" s="437">
        <v>19.8399</v>
      </c>
      <c r="D18" s="439">
        <v>18.8</v>
      </c>
    </row>
    <row r="19" spans="1:4" ht="17.100000000000001" customHeight="1">
      <c r="A19" s="441" t="s">
        <v>402</v>
      </c>
      <c r="B19" s="436" t="s">
        <v>8</v>
      </c>
      <c r="C19" s="437">
        <v>17.079899999999999</v>
      </c>
      <c r="D19" s="439">
        <v>13.2</v>
      </c>
    </row>
    <row r="20" spans="1:4" ht="17.100000000000001" customHeight="1">
      <c r="A20" s="867" t="s">
        <v>403</v>
      </c>
      <c r="B20" s="436" t="s">
        <v>8</v>
      </c>
      <c r="C20" s="437">
        <v>13.435499999999999</v>
      </c>
      <c r="D20" s="439">
        <v>-45.8</v>
      </c>
    </row>
    <row r="21" spans="1:4" ht="17.100000000000001" customHeight="1">
      <c r="A21" s="868" t="s">
        <v>404</v>
      </c>
      <c r="B21" s="436" t="s">
        <v>8</v>
      </c>
      <c r="C21" s="437">
        <v>6.7316000000000003</v>
      </c>
      <c r="D21" s="439">
        <v>196.2</v>
      </c>
    </row>
    <row r="22" spans="1:4" ht="17.100000000000001" customHeight="1">
      <c r="A22" s="868" t="s">
        <v>405</v>
      </c>
      <c r="B22" s="436" t="s">
        <v>8</v>
      </c>
      <c r="C22" s="437">
        <v>5.7550999999999997</v>
      </c>
      <c r="D22" s="439">
        <v>40.799999999999997</v>
      </c>
    </row>
    <row r="23" spans="1:4" ht="17.100000000000001" customHeight="1">
      <c r="A23" s="869" t="s">
        <v>406</v>
      </c>
      <c r="B23" s="436" t="s">
        <v>8</v>
      </c>
      <c r="C23" s="437">
        <v>122.6831</v>
      </c>
      <c r="D23" s="439">
        <v>10.1</v>
      </c>
    </row>
    <row r="24" spans="1:4" ht="17.100000000000001" customHeight="1">
      <c r="A24" s="869" t="s">
        <v>407</v>
      </c>
      <c r="B24" s="436"/>
      <c r="C24" s="437"/>
      <c r="D24" s="439"/>
    </row>
    <row r="25" spans="1:4" ht="17.100000000000001" customHeight="1">
      <c r="A25" s="869" t="s">
        <v>408</v>
      </c>
      <c r="B25" s="436" t="s">
        <v>8</v>
      </c>
      <c r="C25" s="437">
        <v>89.420599999999993</v>
      </c>
      <c r="D25" s="439">
        <v>2.2999999999999998</v>
      </c>
    </row>
    <row r="26" spans="1:4" ht="17.100000000000001" customHeight="1">
      <c r="A26" s="869" t="s">
        <v>409</v>
      </c>
      <c r="B26" s="436" t="s">
        <v>8</v>
      </c>
      <c r="C26" s="437">
        <v>1.7627999999999999</v>
      </c>
      <c r="D26" s="439">
        <v>-30.7</v>
      </c>
    </row>
    <row r="27" spans="1:4" ht="17.100000000000001" customHeight="1">
      <c r="A27" s="869" t="s">
        <v>410</v>
      </c>
      <c r="B27" s="436" t="s">
        <v>8</v>
      </c>
      <c r="C27" s="437">
        <v>9.8323</v>
      </c>
      <c r="D27" s="439">
        <v>113.1</v>
      </c>
    </row>
    <row r="28" spans="1:4" ht="17.100000000000001" customHeight="1">
      <c r="A28" s="869" t="s">
        <v>411</v>
      </c>
      <c r="B28" s="436" t="s">
        <v>8</v>
      </c>
      <c r="C28" s="437">
        <v>21.6629</v>
      </c>
      <c r="D28" s="439">
        <v>29.4</v>
      </c>
    </row>
    <row r="29" spans="1:4" ht="17.100000000000001" customHeight="1">
      <c r="A29" s="870" t="s">
        <v>412</v>
      </c>
      <c r="B29" s="436"/>
      <c r="C29" s="442"/>
      <c r="D29" s="197"/>
    </row>
    <row r="30" spans="1:4" ht="17.100000000000001" customHeight="1">
      <c r="A30" s="870" t="s">
        <v>413</v>
      </c>
      <c r="B30" s="436" t="s">
        <v>119</v>
      </c>
      <c r="C30" s="443">
        <v>17</v>
      </c>
      <c r="D30" s="170">
        <v>-88.1</v>
      </c>
    </row>
    <row r="31" spans="1:4" ht="17.100000000000001" customHeight="1">
      <c r="A31" s="285" t="s">
        <v>414</v>
      </c>
      <c r="B31" s="436" t="s">
        <v>24</v>
      </c>
      <c r="C31" s="444">
        <v>74462</v>
      </c>
      <c r="D31" s="170">
        <v>-7.7</v>
      </c>
    </row>
    <row r="32" spans="1:4" ht="17.100000000000001" customHeight="1">
      <c r="A32" s="289" t="s">
        <v>415</v>
      </c>
      <c r="B32" s="445" t="s">
        <v>24</v>
      </c>
      <c r="C32" s="446">
        <v>19329</v>
      </c>
      <c r="D32" s="173">
        <v>192.5</v>
      </c>
    </row>
    <row r="33" spans="1:6" ht="16.5" customHeight="1">
      <c r="A33" s="744" t="s">
        <v>416</v>
      </c>
      <c r="B33" s="744"/>
      <c r="C33" s="744"/>
      <c r="D33" s="744"/>
    </row>
    <row r="36" spans="1:6">
      <c r="B36" s="201" t="s">
        <v>417</v>
      </c>
    </row>
    <row r="37" spans="1:6">
      <c r="A37" s="447"/>
      <c r="B37" s="447"/>
      <c r="C37" s="47"/>
      <c r="D37" s="202"/>
      <c r="E37" s="47"/>
      <c r="F37" s="47"/>
    </row>
  </sheetData>
  <sheetProtection password="DC9E" sheet="1" objects="1" scenarios="1"/>
  <mergeCells count="2">
    <mergeCell ref="A1:D1"/>
    <mergeCell ref="A33:D33"/>
  </mergeCells>
  <phoneticPr fontId="10" type="noConversion"/>
  <printOptions horizontalCentered="1"/>
  <pageMargins left="0.75" right="0.75" top="0.79000000000000015" bottom="0.79000000000000015" header="0.51" footer="0.51"/>
  <pageSetup paperSize="9" orientation="portrait" blackAndWhite="1"/>
  <headerFooter scaleWithDoc="0" alignWithMargins="0"/>
</worksheet>
</file>

<file path=xl/worksheets/sheet24.xml><?xml version="1.0" encoding="utf-8"?>
<worksheet xmlns="http://schemas.openxmlformats.org/spreadsheetml/2006/main" xmlns:r="http://schemas.openxmlformats.org/officeDocument/2006/relationships">
  <sheetPr enableFormatConditionsCalculation="0">
    <tabColor theme="5" tint="-0.249977111117893"/>
  </sheetPr>
  <dimension ref="A1:AJ24"/>
  <sheetViews>
    <sheetView topLeftCell="AE1" zoomScale="80" workbookViewId="0">
      <selection activeCell="AF5" sqref="AF5"/>
    </sheetView>
  </sheetViews>
  <sheetFormatPr defaultRowHeight="14.25"/>
  <cols>
    <col min="1" max="1" width="18.25" style="274" hidden="1" customWidth="1"/>
    <col min="2" max="5" width="9" style="274" hidden="1" customWidth="1"/>
    <col min="6" max="6" width="27.25" style="405" hidden="1" customWidth="1"/>
    <col min="7" max="7" width="12" style="274" hidden="1" customWidth="1"/>
    <col min="8" max="8" width="14.375" style="274" hidden="1" customWidth="1"/>
    <col min="9" max="14" width="9" style="274" hidden="1" customWidth="1"/>
    <col min="15" max="15" width="21.125" style="274" hidden="1" customWidth="1"/>
    <col min="16" max="16" width="11.875" style="274" hidden="1" customWidth="1"/>
    <col min="17" max="20" width="9" style="274" hidden="1" customWidth="1"/>
    <col min="21" max="21" width="23.625" style="274" hidden="1" customWidth="1"/>
    <col min="22" max="30" width="9" style="274" hidden="1" customWidth="1"/>
    <col min="31" max="31" width="36.375" style="274" customWidth="1"/>
    <col min="32" max="33" width="16.625" style="274" customWidth="1"/>
    <col min="34" max="34" width="9.5" style="274" bestFit="1" customWidth="1"/>
    <col min="35" max="16384" width="9" style="274"/>
  </cols>
  <sheetData>
    <row r="1" spans="1:36" ht="34.5" customHeight="1">
      <c r="A1" s="744"/>
      <c r="B1" s="744"/>
      <c r="C1" s="744"/>
      <c r="D1" s="744"/>
      <c r="E1" s="744"/>
      <c r="F1" s="744"/>
      <c r="G1" s="744"/>
      <c r="H1" s="744"/>
      <c r="I1" s="406"/>
      <c r="J1" s="744"/>
      <c r="K1" s="744"/>
      <c r="L1" s="744"/>
      <c r="M1" s="744"/>
      <c r="N1" s="744"/>
      <c r="O1" s="744"/>
      <c r="P1" s="744"/>
      <c r="Q1" s="744"/>
      <c r="R1" s="744"/>
      <c r="S1" s="406"/>
      <c r="U1" s="744"/>
      <c r="V1" s="744"/>
      <c r="W1" s="744"/>
      <c r="X1" s="744"/>
      <c r="Y1" s="744"/>
      <c r="Z1" s="744"/>
      <c r="AA1" s="744"/>
      <c r="AB1" s="744"/>
      <c r="AC1" s="744"/>
      <c r="AD1" s="732" t="s">
        <v>418</v>
      </c>
      <c r="AE1" s="732"/>
      <c r="AF1" s="732"/>
      <c r="AG1" s="732"/>
    </row>
    <row r="2" spans="1:36" ht="17.25" hidden="1" customHeight="1">
      <c r="A2" s="406"/>
      <c r="B2" s="744"/>
      <c r="C2" s="744"/>
      <c r="D2" s="744"/>
      <c r="E2" s="744"/>
      <c r="F2" s="407"/>
      <c r="G2" s="406"/>
      <c r="H2" s="406"/>
      <c r="I2" s="406"/>
      <c r="J2" s="406"/>
      <c r="K2" s="744"/>
      <c r="L2" s="744"/>
      <c r="M2" s="744"/>
      <c r="N2" s="744"/>
      <c r="O2" s="406"/>
      <c r="P2" s="406"/>
      <c r="Q2" s="406"/>
      <c r="R2" s="406"/>
      <c r="S2" s="406"/>
      <c r="U2" s="406"/>
      <c r="V2" s="406"/>
      <c r="W2" s="406"/>
      <c r="X2" s="406"/>
      <c r="Y2" s="406"/>
      <c r="Z2" s="406"/>
      <c r="AA2" s="744"/>
      <c r="AB2" s="744"/>
      <c r="AC2" s="744"/>
      <c r="AD2" s="744"/>
      <c r="AE2" s="405"/>
    </row>
    <row r="3" spans="1:36" ht="17.25" hidden="1" customHeight="1">
      <c r="A3" s="406"/>
      <c r="B3" s="408"/>
      <c r="C3" s="409"/>
      <c r="D3" s="408"/>
      <c r="E3" s="409"/>
      <c r="F3" s="407"/>
      <c r="G3" s="406"/>
      <c r="H3" s="406"/>
      <c r="I3" s="406"/>
      <c r="J3" s="419"/>
      <c r="K3" s="313"/>
      <c r="L3" s="420"/>
      <c r="M3" s="419"/>
      <c r="N3" s="419"/>
      <c r="O3" s="419"/>
      <c r="P3" s="313"/>
      <c r="Q3" s="420"/>
      <c r="R3" s="419"/>
      <c r="S3" s="406"/>
      <c r="U3" s="419"/>
      <c r="V3" s="313"/>
      <c r="W3" s="420"/>
      <c r="X3" s="419"/>
      <c r="Y3" s="406"/>
      <c r="Z3" s="406"/>
      <c r="AA3" s="408"/>
      <c r="AB3" s="409"/>
      <c r="AC3" s="408"/>
      <c r="AD3" s="409"/>
      <c r="AE3" s="405"/>
    </row>
    <row r="4" spans="1:36" ht="22.5" customHeight="1">
      <c r="A4" s="406"/>
      <c r="B4" s="408"/>
      <c r="C4" s="409"/>
      <c r="D4" s="408"/>
      <c r="E4" s="409"/>
      <c r="F4" s="407"/>
      <c r="G4" s="406"/>
      <c r="H4" s="406"/>
      <c r="I4" s="406"/>
      <c r="J4" s="419"/>
      <c r="K4" s="313"/>
      <c r="L4" s="420"/>
      <c r="M4" s="419"/>
      <c r="N4" s="419"/>
      <c r="O4" s="419"/>
      <c r="P4" s="313"/>
      <c r="Q4" s="420"/>
      <c r="R4" s="419"/>
      <c r="S4" s="406"/>
      <c r="U4" s="419"/>
      <c r="V4" s="313"/>
      <c r="W4" s="420"/>
      <c r="X4" s="419"/>
      <c r="Y4" s="406"/>
      <c r="Z4" s="406"/>
      <c r="AA4" s="408"/>
      <c r="AB4" s="409"/>
      <c r="AC4" s="408"/>
      <c r="AD4" s="409"/>
      <c r="AE4" s="405"/>
      <c r="AG4" s="201" t="s">
        <v>419</v>
      </c>
    </row>
    <row r="5" spans="1:36" s="404" customFormat="1" ht="30" customHeight="1">
      <c r="A5" s="409"/>
      <c r="B5" s="203"/>
      <c r="C5" s="408"/>
      <c r="D5" s="409"/>
      <c r="E5" s="409"/>
      <c r="F5" s="410"/>
      <c r="G5" s="408"/>
      <c r="H5" s="409"/>
      <c r="I5" s="421"/>
      <c r="J5" s="411"/>
      <c r="K5" s="412"/>
      <c r="L5" s="421"/>
      <c r="M5" s="421"/>
      <c r="N5" s="421"/>
      <c r="O5" s="411"/>
      <c r="P5" s="421"/>
      <c r="Q5" s="421"/>
      <c r="R5" s="421"/>
      <c r="S5" s="421"/>
      <c r="U5" s="422"/>
      <c r="V5" s="421"/>
      <c r="W5" s="421"/>
      <c r="X5" s="421"/>
      <c r="Y5" s="421"/>
      <c r="Z5" s="409"/>
      <c r="AA5" s="203"/>
      <c r="AB5" s="408"/>
      <c r="AC5" s="409"/>
      <c r="AD5" s="409"/>
      <c r="AE5" s="423" t="s">
        <v>420</v>
      </c>
      <c r="AF5" s="871" t="s">
        <v>49</v>
      </c>
      <c r="AG5" s="428" t="s">
        <v>6</v>
      </c>
    </row>
    <row r="6" spans="1:36" ht="24.95" customHeight="1">
      <c r="A6" s="411"/>
      <c r="B6" s="412"/>
      <c r="C6" s="413"/>
      <c r="D6" s="406"/>
      <c r="E6" s="406"/>
      <c r="F6" s="414"/>
      <c r="G6" s="406"/>
      <c r="H6" s="406"/>
      <c r="I6" s="406"/>
      <c r="J6" s="411"/>
      <c r="K6" s="415"/>
      <c r="L6" s="415"/>
      <c r="M6" s="415"/>
      <c r="N6" s="416"/>
      <c r="O6" s="411"/>
      <c r="P6" s="406"/>
      <c r="Q6" s="406"/>
      <c r="R6" s="406"/>
      <c r="S6" s="406"/>
      <c r="U6" s="406"/>
      <c r="V6" s="406"/>
      <c r="W6" s="406"/>
      <c r="X6" s="406"/>
      <c r="Y6" s="406"/>
      <c r="Z6" s="411"/>
      <c r="AA6" s="412"/>
      <c r="AB6" s="413"/>
      <c r="AC6" s="406"/>
      <c r="AD6" s="406"/>
      <c r="AE6" s="424" t="s">
        <v>421</v>
      </c>
      <c r="AF6" s="425">
        <v>17778.3</v>
      </c>
      <c r="AG6" s="425">
        <v>8.6</v>
      </c>
    </row>
    <row r="7" spans="1:36" ht="24.95" customHeight="1">
      <c r="A7" s="411"/>
      <c r="B7" s="415"/>
      <c r="C7" s="415"/>
      <c r="D7" s="415"/>
      <c r="E7" s="416"/>
      <c r="F7" s="417"/>
      <c r="G7" s="406"/>
      <c r="H7" s="406"/>
      <c r="I7" s="406"/>
      <c r="J7" s="418"/>
      <c r="K7" s="415"/>
      <c r="L7" s="415"/>
      <c r="M7" s="415"/>
      <c r="N7" s="415"/>
      <c r="P7" s="406"/>
      <c r="Q7" s="406"/>
      <c r="R7" s="406"/>
      <c r="S7" s="406"/>
      <c r="V7" s="406"/>
      <c r="W7" s="406"/>
      <c r="X7" s="406"/>
      <c r="Y7" s="406"/>
      <c r="Z7" s="411"/>
      <c r="AA7" s="415"/>
      <c r="AB7" s="415"/>
      <c r="AC7" s="415"/>
      <c r="AD7" s="416"/>
      <c r="AE7" s="426" t="s">
        <v>422</v>
      </c>
      <c r="AF7" s="215"/>
      <c r="AG7" s="215"/>
    </row>
    <row r="8" spans="1:36" ht="24.95" customHeight="1">
      <c r="A8" s="418"/>
      <c r="B8" s="415"/>
      <c r="C8" s="415"/>
      <c r="D8" s="415"/>
      <c r="E8" s="415"/>
      <c r="F8" s="417"/>
      <c r="G8" s="406"/>
      <c r="H8" s="406"/>
      <c r="I8" s="406"/>
      <c r="J8" s="418"/>
      <c r="K8" s="415"/>
      <c r="L8" s="415"/>
      <c r="M8" s="415"/>
      <c r="N8" s="416"/>
      <c r="O8" s="418"/>
      <c r="P8" s="406"/>
      <c r="Q8" s="406"/>
      <c r="R8" s="406"/>
      <c r="S8" s="406"/>
      <c r="V8" s="406"/>
      <c r="W8" s="406"/>
      <c r="X8" s="406"/>
      <c r="Y8" s="406"/>
      <c r="Z8" s="418"/>
      <c r="AA8" s="415"/>
      <c r="AB8" s="415"/>
      <c r="AC8" s="415"/>
      <c r="AD8" s="415"/>
      <c r="AE8" s="426" t="s">
        <v>423</v>
      </c>
      <c r="AF8" s="215"/>
      <c r="AG8" s="429"/>
    </row>
    <row r="9" spans="1:36" ht="24.95" customHeight="1">
      <c r="A9" s="418"/>
      <c r="B9" s="415"/>
      <c r="C9" s="415"/>
      <c r="D9" s="415"/>
      <c r="E9" s="415"/>
      <c r="F9" s="417"/>
      <c r="G9" s="406"/>
      <c r="H9" s="406"/>
      <c r="I9" s="406"/>
      <c r="J9" s="418"/>
      <c r="K9" s="415"/>
      <c r="L9" s="415"/>
      <c r="M9" s="415"/>
      <c r="N9" s="415"/>
      <c r="P9" s="406"/>
      <c r="Q9" s="406"/>
      <c r="R9" s="406"/>
      <c r="S9" s="406"/>
      <c r="V9" s="406"/>
      <c r="W9" s="406"/>
      <c r="X9" s="406"/>
      <c r="Y9" s="406"/>
      <c r="Z9" s="418"/>
      <c r="AA9" s="415"/>
      <c r="AB9" s="415"/>
      <c r="AC9" s="415"/>
      <c r="AD9" s="415"/>
      <c r="AE9" s="426" t="s">
        <v>424</v>
      </c>
      <c r="AF9" s="215"/>
      <c r="AG9" s="429"/>
    </row>
    <row r="10" spans="1:36" ht="24.95" customHeight="1">
      <c r="A10" s="418"/>
      <c r="B10" s="415"/>
      <c r="C10" s="415"/>
      <c r="D10" s="415"/>
      <c r="E10" s="415"/>
      <c r="F10" s="417"/>
      <c r="G10" s="406"/>
      <c r="H10" s="406"/>
      <c r="I10" s="406"/>
      <c r="J10" s="418"/>
      <c r="K10" s="415"/>
      <c r="L10" s="415"/>
      <c r="M10" s="415"/>
      <c r="N10" s="415"/>
      <c r="P10" s="406"/>
      <c r="Q10" s="406"/>
      <c r="R10" s="406"/>
      <c r="S10" s="406"/>
      <c r="V10" s="406"/>
      <c r="W10" s="406"/>
      <c r="X10" s="406"/>
      <c r="Y10" s="406"/>
      <c r="Z10" s="418"/>
      <c r="AA10" s="415"/>
      <c r="AB10" s="415"/>
      <c r="AC10" s="415"/>
      <c r="AD10" s="415"/>
      <c r="AE10" s="426" t="s">
        <v>425</v>
      </c>
      <c r="AF10" s="215"/>
      <c r="AG10" s="215"/>
    </row>
    <row r="11" spans="1:36" ht="24.95" customHeight="1">
      <c r="A11" s="418"/>
      <c r="B11" s="415"/>
      <c r="C11" s="415"/>
      <c r="D11" s="415"/>
      <c r="E11" s="415"/>
      <c r="F11" s="417"/>
      <c r="G11" s="406"/>
      <c r="H11" s="406"/>
      <c r="I11" s="406"/>
      <c r="J11" s="418"/>
      <c r="K11" s="415"/>
      <c r="L11" s="415"/>
      <c r="M11" s="415"/>
      <c r="N11" s="415"/>
      <c r="O11" s="418"/>
      <c r="P11" s="406"/>
      <c r="Q11" s="406"/>
      <c r="R11" s="406"/>
      <c r="S11" s="406"/>
      <c r="V11" s="406"/>
      <c r="W11" s="406"/>
      <c r="X11" s="406"/>
      <c r="Y11" s="406"/>
      <c r="Z11" s="418"/>
      <c r="AA11" s="415"/>
      <c r="AB11" s="415"/>
      <c r="AC11" s="415"/>
      <c r="AD11" s="415"/>
      <c r="AE11" s="426" t="s">
        <v>426</v>
      </c>
      <c r="AF11" s="215">
        <v>23656.3</v>
      </c>
      <c r="AG11" s="215">
        <v>7.4</v>
      </c>
    </row>
    <row r="12" spans="1:36" ht="24.95" customHeight="1">
      <c r="A12" s="418"/>
      <c r="B12" s="415"/>
      <c r="C12" s="415"/>
      <c r="D12" s="415"/>
      <c r="E12" s="415"/>
      <c r="F12" s="417"/>
      <c r="G12" s="406"/>
      <c r="H12" s="406"/>
      <c r="I12" s="406"/>
      <c r="J12" s="418"/>
      <c r="K12" s="415"/>
      <c r="L12" s="415"/>
      <c r="M12" s="415"/>
      <c r="N12" s="415"/>
      <c r="O12" s="418"/>
      <c r="P12" s="406"/>
      <c r="Q12" s="406"/>
      <c r="R12" s="406"/>
      <c r="S12" s="406"/>
      <c r="V12" s="406"/>
      <c r="W12" s="406"/>
      <c r="X12" s="406"/>
      <c r="Y12" s="406"/>
      <c r="Z12" s="418"/>
      <c r="AA12" s="415"/>
      <c r="AB12" s="415"/>
      <c r="AC12" s="415"/>
      <c r="AD12" s="415"/>
      <c r="AE12" s="426" t="s">
        <v>427</v>
      </c>
      <c r="AF12" s="215">
        <v>13342.1</v>
      </c>
      <c r="AG12" s="215">
        <v>8.8000000000000007</v>
      </c>
    </row>
    <row r="13" spans="1:36" ht="24.95" customHeight="1">
      <c r="A13" s="418"/>
      <c r="B13" s="415"/>
      <c r="C13" s="415"/>
      <c r="D13" s="415"/>
      <c r="E13" s="415"/>
      <c r="F13" s="417"/>
      <c r="G13" s="406"/>
      <c r="H13" s="406"/>
      <c r="I13" s="406"/>
      <c r="J13" s="418"/>
      <c r="K13" s="415"/>
      <c r="L13" s="415"/>
      <c r="M13" s="415"/>
      <c r="N13" s="415"/>
      <c r="O13" s="418"/>
      <c r="P13" s="406"/>
      <c r="Q13" s="406"/>
      <c r="R13" s="406"/>
      <c r="S13" s="406"/>
      <c r="V13" s="406"/>
      <c r="W13" s="406"/>
      <c r="X13" s="406"/>
      <c r="Y13" s="406"/>
      <c r="Z13" s="418"/>
      <c r="AA13" s="415"/>
      <c r="AB13" s="415"/>
      <c r="AC13" s="415"/>
      <c r="AD13" s="415"/>
      <c r="AE13" s="426" t="s">
        <v>428</v>
      </c>
      <c r="AF13" s="215"/>
      <c r="AG13" s="215"/>
      <c r="AJ13" s="274" t="s">
        <v>63</v>
      </c>
    </row>
    <row r="14" spans="1:36" ht="24.95" customHeight="1">
      <c r="A14" s="418"/>
      <c r="B14" s="415"/>
      <c r="C14" s="415"/>
      <c r="D14" s="415"/>
      <c r="E14" s="415"/>
      <c r="F14" s="417"/>
      <c r="G14" s="406"/>
      <c r="H14" s="406"/>
      <c r="I14" s="406"/>
      <c r="J14" s="418"/>
      <c r="K14" s="415"/>
      <c r="L14" s="415"/>
      <c r="M14" s="415"/>
      <c r="N14" s="415"/>
      <c r="P14" s="406"/>
      <c r="Q14" s="406"/>
      <c r="R14" s="406"/>
      <c r="S14" s="406"/>
      <c r="V14" s="406"/>
      <c r="W14" s="406"/>
      <c r="X14" s="406"/>
      <c r="Y14" s="406"/>
      <c r="Z14" s="418"/>
      <c r="AA14" s="415"/>
      <c r="AB14" s="415"/>
      <c r="AC14" s="415"/>
      <c r="AD14" s="415"/>
      <c r="AE14" s="426" t="s">
        <v>429</v>
      </c>
      <c r="AF14" s="215"/>
      <c r="AG14" s="215"/>
    </row>
    <row r="15" spans="1:36" ht="24.95" customHeight="1">
      <c r="A15" s="418"/>
      <c r="B15" s="415"/>
      <c r="C15" s="415"/>
      <c r="D15" s="415"/>
      <c r="E15" s="415"/>
      <c r="F15" s="417"/>
      <c r="G15" s="406"/>
      <c r="H15" s="406"/>
      <c r="I15" s="406"/>
      <c r="J15" s="418"/>
      <c r="K15" s="415"/>
      <c r="L15" s="415"/>
      <c r="M15" s="415"/>
      <c r="N15" s="415"/>
      <c r="O15" s="411"/>
      <c r="P15" s="406"/>
      <c r="Q15" s="406"/>
      <c r="R15" s="406"/>
      <c r="S15" s="406"/>
      <c r="V15" s="406"/>
      <c r="W15" s="406"/>
      <c r="X15" s="406"/>
      <c r="Y15" s="406"/>
      <c r="Z15" s="418"/>
      <c r="AA15" s="415"/>
      <c r="AB15" s="415"/>
      <c r="AC15" s="415"/>
      <c r="AD15" s="415"/>
      <c r="AE15" s="426" t="s">
        <v>430</v>
      </c>
      <c r="AF15" s="215"/>
      <c r="AG15" s="215"/>
    </row>
    <row r="16" spans="1:36" ht="24.95" customHeight="1">
      <c r="A16" s="411"/>
      <c r="B16" s="415"/>
      <c r="C16" s="415"/>
      <c r="D16" s="415"/>
      <c r="E16" s="416"/>
      <c r="F16" s="417"/>
      <c r="G16" s="406"/>
      <c r="H16" s="406"/>
      <c r="I16" s="406"/>
      <c r="J16" s="418"/>
      <c r="K16" s="415"/>
      <c r="L16" s="415"/>
      <c r="M16" s="415"/>
      <c r="N16" s="415"/>
      <c r="O16" s="411"/>
      <c r="P16" s="406"/>
      <c r="Q16" s="406"/>
      <c r="R16" s="406"/>
      <c r="S16" s="406"/>
      <c r="U16" s="406"/>
      <c r="V16" s="406"/>
      <c r="W16" s="406"/>
      <c r="X16" s="406"/>
      <c r="Y16" s="406"/>
      <c r="Z16" s="418"/>
      <c r="AA16" s="415"/>
      <c r="AB16" s="415"/>
      <c r="AC16" s="415"/>
      <c r="AD16" s="415"/>
      <c r="AE16" s="426" t="s">
        <v>431</v>
      </c>
      <c r="AF16" s="215"/>
      <c r="AG16" s="215"/>
    </row>
    <row r="17" spans="1:33" ht="24.95" customHeight="1">
      <c r="A17" s="411"/>
      <c r="B17" s="415"/>
      <c r="C17" s="415"/>
      <c r="D17" s="415"/>
      <c r="E17" s="416"/>
      <c r="F17" s="417"/>
      <c r="G17" s="406"/>
      <c r="H17" s="406"/>
      <c r="I17" s="406"/>
      <c r="J17" s="418"/>
      <c r="K17" s="415"/>
      <c r="L17" s="415"/>
      <c r="M17" s="415"/>
      <c r="N17" s="415"/>
      <c r="O17" s="411"/>
      <c r="P17" s="406"/>
      <c r="Q17" s="406"/>
      <c r="R17" s="406"/>
      <c r="S17" s="406"/>
      <c r="U17" s="406"/>
      <c r="V17" s="406"/>
      <c r="W17" s="406"/>
      <c r="X17" s="406"/>
      <c r="Y17" s="406"/>
      <c r="Z17" s="418"/>
      <c r="AA17" s="415"/>
      <c r="AB17" s="415"/>
      <c r="AC17" s="415"/>
      <c r="AD17" s="415"/>
      <c r="AE17" s="426" t="s">
        <v>432</v>
      </c>
      <c r="AF17" s="215"/>
      <c r="AG17" s="215"/>
    </row>
    <row r="18" spans="1:33" ht="24.95" customHeight="1">
      <c r="A18" s="411"/>
      <c r="B18" s="415"/>
      <c r="C18" s="415"/>
      <c r="D18" s="415"/>
      <c r="E18" s="416"/>
      <c r="F18" s="417"/>
      <c r="G18" s="406"/>
      <c r="H18" s="406"/>
      <c r="I18" s="406"/>
      <c r="J18" s="418"/>
      <c r="K18" s="415"/>
      <c r="L18" s="415"/>
      <c r="M18" s="415"/>
      <c r="N18" s="415"/>
      <c r="O18" s="411"/>
      <c r="P18" s="406"/>
      <c r="Q18" s="406"/>
      <c r="R18" s="406"/>
      <c r="S18" s="406"/>
      <c r="U18" s="406"/>
      <c r="V18" s="406"/>
      <c r="W18" s="406"/>
      <c r="X18" s="406"/>
      <c r="Y18" s="406"/>
      <c r="Z18" s="418"/>
      <c r="AA18" s="415"/>
      <c r="AB18" s="415"/>
      <c r="AC18" s="415"/>
      <c r="AD18" s="415"/>
      <c r="AE18" s="426" t="s">
        <v>433</v>
      </c>
      <c r="AF18" s="215"/>
      <c r="AG18" s="215"/>
    </row>
    <row r="19" spans="1:33" ht="24.95" customHeight="1">
      <c r="A19" s="411"/>
      <c r="B19" s="415"/>
      <c r="C19" s="415"/>
      <c r="D19" s="415"/>
      <c r="E19" s="416"/>
      <c r="F19" s="417"/>
      <c r="G19" s="406"/>
      <c r="H19" s="406"/>
      <c r="I19" s="406"/>
      <c r="J19" s="418"/>
      <c r="K19" s="415"/>
      <c r="L19" s="415"/>
      <c r="M19" s="415"/>
      <c r="N19" s="415"/>
      <c r="O19" s="411"/>
      <c r="P19" s="406"/>
      <c r="Q19" s="406"/>
      <c r="R19" s="406"/>
      <c r="S19" s="406"/>
      <c r="U19" s="406"/>
      <c r="V19" s="406"/>
      <c r="W19" s="406"/>
      <c r="X19" s="406"/>
      <c r="Y19" s="406"/>
      <c r="Z19" s="418"/>
      <c r="AA19" s="415"/>
      <c r="AB19" s="415"/>
      <c r="AC19" s="415"/>
      <c r="AD19" s="415"/>
      <c r="AE19" s="426" t="s">
        <v>434</v>
      </c>
      <c r="AF19" s="215"/>
      <c r="AG19" s="215"/>
    </row>
    <row r="20" spans="1:33" ht="24.95" customHeight="1">
      <c r="A20" s="411"/>
      <c r="B20" s="415"/>
      <c r="C20" s="415"/>
      <c r="D20" s="415"/>
      <c r="E20" s="416"/>
      <c r="F20" s="417"/>
      <c r="G20" s="406"/>
      <c r="H20" s="406"/>
      <c r="I20" s="406"/>
      <c r="J20" s="418"/>
      <c r="K20" s="415"/>
      <c r="L20" s="415"/>
      <c r="M20" s="415"/>
      <c r="N20" s="415"/>
      <c r="O20" s="411"/>
      <c r="P20" s="406"/>
      <c r="Q20" s="406"/>
      <c r="R20" s="406"/>
      <c r="S20" s="406"/>
      <c r="U20" s="406"/>
      <c r="V20" s="406"/>
      <c r="W20" s="406"/>
      <c r="X20" s="406"/>
      <c r="Y20" s="406"/>
      <c r="Z20" s="418"/>
      <c r="AA20" s="415"/>
      <c r="AB20" s="415"/>
      <c r="AC20" s="415"/>
      <c r="AD20" s="415"/>
      <c r="AE20" s="426" t="s">
        <v>435</v>
      </c>
      <c r="AF20" s="215"/>
      <c r="AG20" s="215"/>
    </row>
    <row r="21" spans="1:33" ht="24.95" customHeight="1">
      <c r="A21" s="411"/>
      <c r="B21" s="415"/>
      <c r="C21" s="415"/>
      <c r="D21" s="415"/>
      <c r="E21" s="416"/>
      <c r="F21" s="417"/>
      <c r="G21" s="406"/>
      <c r="H21" s="406"/>
      <c r="I21" s="406"/>
      <c r="J21" s="418"/>
      <c r="K21" s="415"/>
      <c r="L21" s="415"/>
      <c r="M21" s="415"/>
      <c r="N21" s="415"/>
      <c r="O21" s="411"/>
      <c r="P21" s="406"/>
      <c r="Q21" s="406"/>
      <c r="R21" s="406"/>
      <c r="S21" s="406"/>
      <c r="U21" s="406"/>
      <c r="V21" s="406"/>
      <c r="W21" s="406"/>
      <c r="X21" s="406"/>
      <c r="Y21" s="406"/>
      <c r="Z21" s="418"/>
      <c r="AA21" s="415"/>
      <c r="AB21" s="415"/>
      <c r="AC21" s="415"/>
      <c r="AD21" s="415"/>
      <c r="AE21" s="426" t="s">
        <v>436</v>
      </c>
      <c r="AF21" s="215"/>
      <c r="AG21" s="215"/>
    </row>
    <row r="22" spans="1:33" ht="24.95" customHeight="1">
      <c r="A22" s="411"/>
      <c r="B22" s="415"/>
      <c r="C22" s="415"/>
      <c r="D22" s="415"/>
      <c r="E22" s="416"/>
      <c r="F22" s="417"/>
      <c r="G22" s="406"/>
      <c r="H22" s="406"/>
      <c r="I22" s="406"/>
      <c r="J22" s="418"/>
      <c r="K22" s="415"/>
      <c r="L22" s="415"/>
      <c r="M22" s="415"/>
      <c r="N22" s="415"/>
      <c r="O22" s="411"/>
      <c r="P22" s="406"/>
      <c r="Q22" s="406"/>
      <c r="R22" s="406"/>
      <c r="S22" s="406"/>
      <c r="U22" s="406"/>
      <c r="V22" s="406"/>
      <c r="W22" s="406"/>
      <c r="X22" s="406"/>
      <c r="Y22" s="406"/>
      <c r="Z22" s="418"/>
      <c r="AA22" s="415"/>
      <c r="AB22" s="415"/>
      <c r="AC22" s="415"/>
      <c r="AD22" s="415"/>
      <c r="AE22" s="426" t="s">
        <v>437</v>
      </c>
      <c r="AF22" s="215"/>
      <c r="AG22" s="215"/>
    </row>
    <row r="23" spans="1:33" ht="24.95" customHeight="1">
      <c r="A23" s="411"/>
      <c r="B23" s="415"/>
      <c r="C23" s="415"/>
      <c r="D23" s="415"/>
      <c r="E23" s="416"/>
      <c r="F23" s="417"/>
      <c r="G23" s="406"/>
      <c r="H23" s="406"/>
      <c r="I23" s="406"/>
      <c r="J23" s="418"/>
      <c r="K23" s="415"/>
      <c r="L23" s="415"/>
      <c r="M23" s="415"/>
      <c r="N23" s="415"/>
      <c r="O23" s="411"/>
      <c r="P23" s="406"/>
      <c r="Q23" s="406"/>
      <c r="R23" s="406"/>
      <c r="S23" s="406"/>
      <c r="U23" s="406"/>
      <c r="V23" s="406"/>
      <c r="W23" s="406"/>
      <c r="X23" s="406"/>
      <c r="Y23" s="406"/>
      <c r="Z23" s="418"/>
      <c r="AA23" s="415"/>
      <c r="AB23" s="415"/>
      <c r="AC23" s="415"/>
      <c r="AD23" s="415"/>
      <c r="AE23" s="427" t="s">
        <v>438</v>
      </c>
      <c r="AF23" s="221"/>
      <c r="AG23" s="221"/>
    </row>
    <row r="24" spans="1:33" ht="20.25" customHeight="1">
      <c r="AE24" s="744" t="s">
        <v>439</v>
      </c>
      <c r="AF24" s="744"/>
      <c r="AG24" s="744"/>
    </row>
  </sheetData>
  <sheetProtection password="DC9E" sheet="1" objects="1" scenarios="1"/>
  <mergeCells count="14">
    <mergeCell ref="AE24:AG24"/>
    <mergeCell ref="AD1:AG1"/>
    <mergeCell ref="B2:C2"/>
    <mergeCell ref="D2:E2"/>
    <mergeCell ref="K2:L2"/>
    <mergeCell ref="M2:N2"/>
    <mergeCell ref="AA2:AB2"/>
    <mergeCell ref="AC2:AD2"/>
    <mergeCell ref="A1:D1"/>
    <mergeCell ref="E1:H1"/>
    <mergeCell ref="J1:M1"/>
    <mergeCell ref="N1:R1"/>
    <mergeCell ref="U1:Y1"/>
    <mergeCell ref="Z1:AC1"/>
  </mergeCells>
  <phoneticPr fontId="10" type="noConversion"/>
  <printOptions horizontalCentered="1"/>
  <pageMargins left="0.75" right="0.75" top="0.98" bottom="0.98" header="0.51" footer="0.51"/>
  <pageSetup paperSize="9" orientation="portrait"/>
  <headerFooter scaleWithDoc="0" alignWithMargins="0"/>
</worksheet>
</file>

<file path=xl/worksheets/sheet25.xml><?xml version="1.0" encoding="utf-8"?>
<worksheet xmlns="http://schemas.openxmlformats.org/spreadsheetml/2006/main" xmlns:r="http://schemas.openxmlformats.org/officeDocument/2006/relationships">
  <sheetPr enableFormatConditionsCalculation="0">
    <tabColor theme="5"/>
  </sheetPr>
  <dimension ref="A1:D23"/>
  <sheetViews>
    <sheetView zoomScale="75" workbookViewId="0">
      <selection activeCell="R24" sqref="R24"/>
    </sheetView>
  </sheetViews>
  <sheetFormatPr defaultColWidth="9" defaultRowHeight="14.25"/>
  <cols>
    <col min="1" max="1" width="35.5" customWidth="1"/>
    <col min="2" max="3" width="16.125" customWidth="1"/>
  </cols>
  <sheetData>
    <row r="1" spans="1:4" ht="25.5" customHeight="1">
      <c r="A1" s="745" t="s">
        <v>440</v>
      </c>
      <c r="B1" s="745"/>
      <c r="C1" s="745"/>
    </row>
    <row r="2" spans="1:4" ht="21.75" customHeight="1">
      <c r="A2" s="3"/>
      <c r="B2" s="3"/>
      <c r="C2" s="396" t="s">
        <v>441</v>
      </c>
    </row>
    <row r="3" spans="1:4" ht="26.1" customHeight="1">
      <c r="A3" s="292" t="s">
        <v>48</v>
      </c>
      <c r="B3" s="397" t="s">
        <v>442</v>
      </c>
      <c r="C3" s="357" t="s">
        <v>443</v>
      </c>
    </row>
    <row r="4" spans="1:4" ht="26.1" customHeight="1">
      <c r="A4" s="398" t="s">
        <v>444</v>
      </c>
      <c r="B4" s="399">
        <v>104.1</v>
      </c>
      <c r="C4" s="400">
        <v>102.76032247000001</v>
      </c>
    </row>
    <row r="5" spans="1:4" s="109" customFormat="1" ht="26.1" customHeight="1">
      <c r="A5" s="358" t="s">
        <v>445</v>
      </c>
      <c r="B5" s="399">
        <v>110.1</v>
      </c>
      <c r="C5" s="400">
        <v>105.06406549</v>
      </c>
      <c r="D5" s="401"/>
    </row>
    <row r="6" spans="1:4" s="109" customFormat="1" ht="26.1" customHeight="1">
      <c r="A6" s="305" t="s">
        <v>446</v>
      </c>
      <c r="B6" s="399">
        <v>99.5</v>
      </c>
      <c r="C6" s="400">
        <v>99.242104170000005</v>
      </c>
      <c r="D6" s="401"/>
    </row>
    <row r="7" spans="1:4" s="109" customFormat="1" ht="26.1" customHeight="1">
      <c r="A7" s="305" t="s">
        <v>447</v>
      </c>
      <c r="B7" s="399">
        <v>88.4</v>
      </c>
      <c r="C7" s="400">
        <v>105.79115659999999</v>
      </c>
      <c r="D7" s="401"/>
    </row>
    <row r="8" spans="1:4" s="109" customFormat="1" ht="26.1" customHeight="1">
      <c r="A8" s="305" t="s">
        <v>448</v>
      </c>
      <c r="B8" s="399">
        <v>156.6</v>
      </c>
      <c r="C8" s="400">
        <v>111.63620645</v>
      </c>
      <c r="D8" s="402"/>
    </row>
    <row r="9" spans="1:4" s="109" customFormat="1" ht="26.1" customHeight="1">
      <c r="A9" s="305" t="s">
        <v>449</v>
      </c>
      <c r="B9" s="399">
        <v>102.5</v>
      </c>
      <c r="C9" s="400">
        <v>100.15516357</v>
      </c>
    </row>
    <row r="10" spans="1:4" s="109" customFormat="1" ht="26.1" customHeight="1">
      <c r="A10" s="305" t="s">
        <v>450</v>
      </c>
      <c r="B10" s="399">
        <v>105.4</v>
      </c>
      <c r="C10" s="400">
        <v>105.73352102</v>
      </c>
    </row>
    <row r="11" spans="1:4" s="109" customFormat="1" ht="26.1" customHeight="1">
      <c r="A11" s="305" t="s">
        <v>451</v>
      </c>
      <c r="B11" s="399">
        <v>103</v>
      </c>
      <c r="C11" s="400">
        <v>102.87637628</v>
      </c>
    </row>
    <row r="12" spans="1:4" s="109" customFormat="1" ht="26.1" customHeight="1">
      <c r="A12" s="305" t="s">
        <v>452</v>
      </c>
      <c r="B12" s="399">
        <v>103.2</v>
      </c>
      <c r="C12" s="400">
        <v>105.26676765000001</v>
      </c>
    </row>
    <row r="13" spans="1:4" s="109" customFormat="1" ht="26.1" customHeight="1">
      <c r="A13" s="305" t="s">
        <v>453</v>
      </c>
      <c r="B13" s="399">
        <v>101.6</v>
      </c>
      <c r="C13" s="400">
        <v>102.84385932000001</v>
      </c>
    </row>
    <row r="14" spans="1:4" s="109" customFormat="1" ht="26.1" customHeight="1">
      <c r="A14" s="305" t="s">
        <v>454</v>
      </c>
      <c r="B14" s="399">
        <v>99.2</v>
      </c>
      <c r="C14" s="400">
        <v>99.945534429999995</v>
      </c>
    </row>
    <row r="15" spans="1:4" s="109" customFormat="1" ht="26.1" customHeight="1">
      <c r="A15" s="305" t="s">
        <v>455</v>
      </c>
      <c r="B15" s="399">
        <v>96.8</v>
      </c>
      <c r="C15" s="400">
        <v>97.845775430000003</v>
      </c>
    </row>
    <row r="16" spans="1:4" s="109" customFormat="1" ht="26.1" customHeight="1">
      <c r="A16" s="305" t="s">
        <v>456</v>
      </c>
      <c r="B16" s="399">
        <v>101.7</v>
      </c>
      <c r="C16" s="400">
        <v>100.95634338000001</v>
      </c>
    </row>
    <row r="17" spans="1:3" s="109" customFormat="1" ht="26.1" customHeight="1">
      <c r="A17" s="305" t="s">
        <v>457</v>
      </c>
      <c r="B17" s="399">
        <v>104.4</v>
      </c>
      <c r="C17" s="400">
        <v>103.06482837</v>
      </c>
    </row>
    <row r="18" spans="1:3" s="109" customFormat="1" ht="26.1" customHeight="1">
      <c r="A18" s="305" t="s">
        <v>458</v>
      </c>
      <c r="B18" s="399">
        <v>105.4</v>
      </c>
      <c r="C18" s="400">
        <v>104.63435966999999</v>
      </c>
    </row>
    <row r="19" spans="1:3" s="109" customFormat="1" ht="26.1" customHeight="1">
      <c r="A19" s="305" t="s">
        <v>459</v>
      </c>
      <c r="B19" s="399">
        <v>105.4</v>
      </c>
      <c r="C19" s="400">
        <v>101.71176362999999</v>
      </c>
    </row>
    <row r="20" spans="1:3" s="109" customFormat="1" ht="26.1" customHeight="1">
      <c r="A20" s="305" t="s">
        <v>460</v>
      </c>
      <c r="B20" s="399">
        <v>103</v>
      </c>
      <c r="C20" s="400">
        <v>103.24210508</v>
      </c>
    </row>
    <row r="21" spans="1:3" s="109" customFormat="1" ht="26.1" customHeight="1">
      <c r="A21" s="403" t="s">
        <v>461</v>
      </c>
      <c r="B21" s="399">
        <v>101.5</v>
      </c>
      <c r="C21" s="400">
        <v>100.67363365</v>
      </c>
    </row>
    <row r="22" spans="1:3" ht="28.5" customHeight="1">
      <c r="A22" s="738" t="s">
        <v>462</v>
      </c>
      <c r="B22" s="738"/>
      <c r="C22" s="738"/>
    </row>
    <row r="23" spans="1:3" ht="7.5" customHeight="1"/>
  </sheetData>
  <sheetProtection password="DC9E" sheet="1" objects="1" scenarios="1"/>
  <mergeCells count="2">
    <mergeCell ref="A1:C1"/>
    <mergeCell ref="A22:C22"/>
  </mergeCells>
  <phoneticPr fontId="10" type="noConversion"/>
  <printOptions horizontalCentered="1"/>
  <pageMargins left="0.55000000000000004" right="0.55000000000000004" top="0.98" bottom="0.98" header="0.51" footer="0.51"/>
  <pageSetup paperSize="9" orientation="portrait"/>
  <headerFooter scaleWithDoc="0" alignWithMargins="0"/>
</worksheet>
</file>

<file path=xl/worksheets/sheet26.xml><?xml version="1.0" encoding="utf-8"?>
<worksheet xmlns="http://schemas.openxmlformats.org/spreadsheetml/2006/main" xmlns:r="http://schemas.openxmlformats.org/officeDocument/2006/relationships">
  <sheetPr enableFormatConditionsCalculation="0">
    <tabColor theme="4"/>
  </sheetPr>
  <dimension ref="A1:E28"/>
  <sheetViews>
    <sheetView zoomScale="80" workbookViewId="0">
      <selection activeCell="B3" sqref="B3"/>
    </sheetView>
  </sheetViews>
  <sheetFormatPr defaultColWidth="9" defaultRowHeight="14.25"/>
  <cols>
    <col min="1" max="1" width="33.375" style="44" customWidth="1"/>
    <col min="2" max="2" width="13.125" customWidth="1"/>
    <col min="3" max="3" width="13.125" style="160" customWidth="1"/>
    <col min="4" max="4" width="13.125" style="274" customWidth="1"/>
  </cols>
  <sheetData>
    <row r="1" spans="1:5" ht="33.75" customHeight="1">
      <c r="A1" s="746" t="s">
        <v>463</v>
      </c>
      <c r="B1" s="746"/>
      <c r="C1" s="746"/>
      <c r="D1" s="747"/>
    </row>
    <row r="2" spans="1:5" ht="20.25" customHeight="1">
      <c r="A2" s="3"/>
      <c r="B2" s="3"/>
      <c r="C2" s="390"/>
      <c r="D2" s="202" t="s">
        <v>464</v>
      </c>
    </row>
    <row r="3" spans="1:5" s="43" customFormat="1" ht="31.5" customHeight="1">
      <c r="A3" s="292" t="s">
        <v>465</v>
      </c>
      <c r="B3" s="872" t="s">
        <v>49</v>
      </c>
      <c r="C3" s="391" t="s">
        <v>6</v>
      </c>
      <c r="D3" s="392" t="s">
        <v>466</v>
      </c>
    </row>
    <row r="4" spans="1:5" ht="18" customHeight="1">
      <c r="A4" s="393" t="s">
        <v>467</v>
      </c>
      <c r="B4" s="386"/>
      <c r="C4" s="394"/>
      <c r="D4" s="355"/>
    </row>
    <row r="5" spans="1:5" ht="18" customHeight="1">
      <c r="A5" s="369" t="s">
        <v>468</v>
      </c>
      <c r="B5" s="111">
        <v>2231.7750000000001</v>
      </c>
      <c r="C5" s="270">
        <v>4.0999971611529276</v>
      </c>
      <c r="D5" s="203" t="s">
        <v>469</v>
      </c>
    </row>
    <row r="6" spans="1:5" ht="18" customHeight="1">
      <c r="A6" s="369" t="s">
        <v>470</v>
      </c>
      <c r="B6" s="111">
        <v>264.13799999999998</v>
      </c>
      <c r="C6" s="270">
        <v>5.6517813377807471</v>
      </c>
      <c r="D6" s="203">
        <f>RANK(C6,$C$6:$C$15,0)</f>
        <v>6</v>
      </c>
    </row>
    <row r="7" spans="1:5" ht="18" customHeight="1">
      <c r="A7" s="343" t="s">
        <v>471</v>
      </c>
      <c r="B7" s="111">
        <v>327.47000000000003</v>
      </c>
      <c r="C7" s="270">
        <v>-3.7191588026816902</v>
      </c>
      <c r="D7" s="203">
        <f t="shared" ref="D7:D15" si="0">RANK(C7,$C$6:$C$15,0)</f>
        <v>10</v>
      </c>
    </row>
    <row r="8" spans="1:5" ht="18" customHeight="1">
      <c r="A8" s="371" t="s">
        <v>472</v>
      </c>
      <c r="B8" s="111">
        <v>222.30719999999999</v>
      </c>
      <c r="C8" s="270">
        <v>1.8430312628466368</v>
      </c>
      <c r="D8" s="203">
        <f t="shared" si="0"/>
        <v>9</v>
      </c>
    </row>
    <row r="9" spans="1:5" ht="18" customHeight="1">
      <c r="A9" s="343" t="s">
        <v>473</v>
      </c>
      <c r="B9" s="111">
        <v>134.59700000000001</v>
      </c>
      <c r="C9" s="270">
        <v>7.4830985019155491</v>
      </c>
      <c r="D9" s="203">
        <f t="shared" si="0"/>
        <v>1</v>
      </c>
    </row>
    <row r="10" spans="1:5" ht="18" customHeight="1">
      <c r="A10" s="343" t="s">
        <v>474</v>
      </c>
      <c r="B10" s="111">
        <v>302.96019999999999</v>
      </c>
      <c r="C10" s="270">
        <v>5.8447131777786865</v>
      </c>
      <c r="D10" s="203">
        <f t="shared" si="0"/>
        <v>5</v>
      </c>
    </row>
    <row r="11" spans="1:5" ht="18" customHeight="1">
      <c r="A11" s="343" t="s">
        <v>475</v>
      </c>
      <c r="B11" s="111">
        <v>225.67160000000001</v>
      </c>
      <c r="C11" s="270">
        <v>6.0443895211194132</v>
      </c>
      <c r="D11" s="203">
        <f t="shared" si="0"/>
        <v>4</v>
      </c>
    </row>
    <row r="12" spans="1:5" ht="18" customHeight="1">
      <c r="A12" s="315" t="s">
        <v>476</v>
      </c>
      <c r="B12" s="111">
        <v>159.53440000000001</v>
      </c>
      <c r="C12" s="270">
        <v>6.6756261682508153</v>
      </c>
      <c r="D12" s="203">
        <f t="shared" si="0"/>
        <v>3</v>
      </c>
    </row>
    <row r="13" spans="1:5" ht="18" customHeight="1">
      <c r="A13" s="315" t="s">
        <v>477</v>
      </c>
      <c r="B13" s="111">
        <v>194.50640000000001</v>
      </c>
      <c r="C13" s="270">
        <v>3.1127128107917343</v>
      </c>
      <c r="D13" s="203">
        <f t="shared" si="0"/>
        <v>7</v>
      </c>
    </row>
    <row r="14" spans="1:5" ht="18" customHeight="1">
      <c r="A14" s="315" t="s">
        <v>478</v>
      </c>
      <c r="B14" s="111">
        <v>208.6747</v>
      </c>
      <c r="C14" s="270">
        <v>6.8054219664218039</v>
      </c>
      <c r="D14" s="203">
        <f t="shared" si="0"/>
        <v>2</v>
      </c>
    </row>
    <row r="15" spans="1:5" ht="18" customHeight="1">
      <c r="A15" s="315" t="s">
        <v>479</v>
      </c>
      <c r="B15" s="111">
        <v>417.79640000000001</v>
      </c>
      <c r="C15" s="270">
        <v>2.9761301171258339</v>
      </c>
      <c r="D15" s="203">
        <f t="shared" si="0"/>
        <v>8</v>
      </c>
    </row>
    <row r="16" spans="1:5" ht="18" customHeight="1">
      <c r="A16" s="384" t="s">
        <v>480</v>
      </c>
      <c r="B16" s="111"/>
      <c r="C16" s="270"/>
      <c r="D16" s="203"/>
      <c r="E16" s="297"/>
    </row>
    <row r="17" spans="1:4" ht="18" customHeight="1">
      <c r="A17" s="369" t="s">
        <v>468</v>
      </c>
      <c r="B17" s="111">
        <v>372.62</v>
      </c>
      <c r="C17" s="270">
        <v>4.6806998651243106</v>
      </c>
      <c r="D17" s="203" t="s">
        <v>469</v>
      </c>
    </row>
    <row r="18" spans="1:4" ht="18" customHeight="1">
      <c r="A18" s="369" t="s">
        <v>470</v>
      </c>
      <c r="B18" s="111">
        <v>1.0175000000000001</v>
      </c>
      <c r="C18" s="270">
        <v>-5.2052706552706667</v>
      </c>
      <c r="D18" s="203">
        <f>RANK(C18,$C$18:$C$27,0)</f>
        <v>10</v>
      </c>
    </row>
    <row r="19" spans="1:4" ht="18" customHeight="1">
      <c r="A19" s="343" t="s">
        <v>471</v>
      </c>
      <c r="B19" s="111">
        <v>1.6088</v>
      </c>
      <c r="C19" s="270">
        <v>1.8159899229401191</v>
      </c>
      <c r="D19" s="203">
        <f t="shared" ref="D19:D27" si="1">RANK(C19,$C$18:$C$27,0)</f>
        <v>9</v>
      </c>
    </row>
    <row r="20" spans="1:4" ht="18" customHeight="1">
      <c r="A20" s="371" t="s">
        <v>472</v>
      </c>
      <c r="B20" s="111">
        <v>12.6715</v>
      </c>
      <c r="C20" s="270">
        <v>2.5472711007452205</v>
      </c>
      <c r="D20" s="203">
        <f t="shared" si="1"/>
        <v>8</v>
      </c>
    </row>
    <row r="21" spans="1:4" ht="18" customHeight="1">
      <c r="A21" s="343" t="s">
        <v>473</v>
      </c>
      <c r="B21" s="111">
        <v>16.193200000000001</v>
      </c>
      <c r="C21" s="270">
        <v>4.2420038001741602</v>
      </c>
      <c r="D21" s="203">
        <f t="shared" si="1"/>
        <v>5</v>
      </c>
    </row>
    <row r="22" spans="1:4" ht="18" customHeight="1">
      <c r="A22" s="343" t="s">
        <v>474</v>
      </c>
      <c r="B22" s="111">
        <v>15.44</v>
      </c>
      <c r="C22" s="270">
        <v>3.926915832494231</v>
      </c>
      <c r="D22" s="203">
        <f t="shared" si="1"/>
        <v>6</v>
      </c>
    </row>
    <row r="23" spans="1:4" ht="18" customHeight="1">
      <c r="A23" s="343" t="s">
        <v>475</v>
      </c>
      <c r="B23" s="111">
        <v>22.6707</v>
      </c>
      <c r="C23" s="270">
        <v>4.8940689078504676</v>
      </c>
      <c r="D23" s="203">
        <f t="shared" si="1"/>
        <v>4</v>
      </c>
    </row>
    <row r="24" spans="1:4" ht="18" customHeight="1">
      <c r="A24" s="315" t="s">
        <v>476</v>
      </c>
      <c r="B24" s="111">
        <v>67.150300000000001</v>
      </c>
      <c r="C24" s="270">
        <v>5.0464207506738319</v>
      </c>
      <c r="D24" s="203">
        <f t="shared" si="1"/>
        <v>3</v>
      </c>
    </row>
    <row r="25" spans="1:4" ht="18" customHeight="1">
      <c r="A25" s="315" t="s">
        <v>477</v>
      </c>
      <c r="B25" s="111">
        <v>79.816299999999998</v>
      </c>
      <c r="C25" s="270">
        <v>5.4509674541792776</v>
      </c>
      <c r="D25" s="203">
        <f t="shared" si="1"/>
        <v>1</v>
      </c>
    </row>
    <row r="26" spans="1:4" ht="18" customHeight="1">
      <c r="A26" s="315" t="s">
        <v>478</v>
      </c>
      <c r="B26" s="111">
        <v>71.418599999999998</v>
      </c>
      <c r="C26" s="270">
        <v>5.3069200776810561</v>
      </c>
      <c r="D26" s="203">
        <f t="shared" si="1"/>
        <v>2</v>
      </c>
    </row>
    <row r="27" spans="1:4" ht="18" customHeight="1">
      <c r="A27" s="318" t="s">
        <v>479</v>
      </c>
      <c r="B27" s="129">
        <v>84.660300000000007</v>
      </c>
      <c r="C27" s="395">
        <v>3.7650895408579714</v>
      </c>
      <c r="D27" s="205">
        <f t="shared" si="1"/>
        <v>7</v>
      </c>
    </row>
    <row r="28" spans="1:4">
      <c r="A28" s="738" t="s">
        <v>481</v>
      </c>
      <c r="B28" s="738"/>
      <c r="C28" s="738"/>
      <c r="D28" s="744"/>
    </row>
  </sheetData>
  <sheetProtection password="DC9E" sheet="1" objects="1" scenarios="1"/>
  <mergeCells count="2">
    <mergeCell ref="A1:D1"/>
    <mergeCell ref="A28:D28"/>
  </mergeCells>
  <phoneticPr fontId="10" type="noConversion"/>
  <printOptions horizontalCentered="1"/>
  <pageMargins left="0.75" right="0.75" top="0.39" bottom="0.39" header="0.51" footer="0.51"/>
  <pageSetup paperSize="9" orientation="portrait"/>
  <headerFooter scaleWithDoc="0" alignWithMargins="0"/>
</worksheet>
</file>

<file path=xl/worksheets/sheet27.xml><?xml version="1.0" encoding="utf-8"?>
<worksheet xmlns="http://schemas.openxmlformats.org/spreadsheetml/2006/main" xmlns:r="http://schemas.openxmlformats.org/officeDocument/2006/relationships">
  <sheetPr enableFormatConditionsCalculation="0">
    <tabColor theme="4"/>
  </sheetPr>
  <dimension ref="A1:D42"/>
  <sheetViews>
    <sheetView zoomScale="80" workbookViewId="0">
      <selection activeCell="F11" sqref="F11"/>
    </sheetView>
  </sheetViews>
  <sheetFormatPr defaultColWidth="9" defaultRowHeight="14.25"/>
  <cols>
    <col min="1" max="1" width="32.375" style="44" customWidth="1"/>
    <col min="2" max="2" width="13.125" customWidth="1"/>
    <col min="3" max="3" width="13.125" style="332" customWidth="1"/>
    <col min="4" max="4" width="13.125" customWidth="1"/>
  </cols>
  <sheetData>
    <row r="1" spans="1:4" ht="34.5" customHeight="1">
      <c r="A1" s="746" t="s">
        <v>482</v>
      </c>
      <c r="B1" s="746"/>
      <c r="C1" s="746"/>
      <c r="D1" s="746"/>
    </row>
    <row r="2" spans="1:4" ht="20.25" customHeight="1">
      <c r="A2" s="333"/>
      <c r="B2" s="333"/>
      <c r="C2" s="333"/>
      <c r="D2" t="s">
        <v>483</v>
      </c>
    </row>
    <row r="3" spans="1:4" ht="28.5" customHeight="1">
      <c r="A3" s="292" t="s">
        <v>465</v>
      </c>
      <c r="B3" s="872" t="s">
        <v>49</v>
      </c>
      <c r="C3" s="294" t="s">
        <v>6</v>
      </c>
      <c r="D3" s="295" t="s">
        <v>466</v>
      </c>
    </row>
    <row r="4" spans="1:4" ht="18" customHeight="1">
      <c r="A4" s="384" t="s">
        <v>484</v>
      </c>
      <c r="B4" s="385"/>
      <c r="C4" s="223"/>
      <c r="D4" s="379"/>
    </row>
    <row r="5" spans="1:4" ht="18" customHeight="1">
      <c r="A5" s="369" t="s">
        <v>468</v>
      </c>
      <c r="B5" s="111">
        <v>724.07230000000004</v>
      </c>
      <c r="C5" s="270">
        <v>-1.1608366909841692</v>
      </c>
      <c r="D5" s="379" t="s">
        <v>469</v>
      </c>
    </row>
    <row r="6" spans="1:4" ht="18" customHeight="1">
      <c r="A6" s="369" t="s">
        <v>470</v>
      </c>
      <c r="B6" s="111">
        <v>40.558</v>
      </c>
      <c r="C6" s="270">
        <v>-0.6446036121260903</v>
      </c>
      <c r="D6" s="379">
        <f>RANK(C6,$C$6:$C$15,0)</f>
        <v>9</v>
      </c>
    </row>
    <row r="7" spans="1:4" ht="18" customHeight="1">
      <c r="A7" s="343" t="s">
        <v>471</v>
      </c>
      <c r="B7" s="111">
        <v>117.0121</v>
      </c>
      <c r="C7" s="270">
        <v>-14.187644259627106</v>
      </c>
      <c r="D7" s="379">
        <f t="shared" ref="D7:D15" si="0">RANK(C7,$C$6:$C$15,0)</f>
        <v>10</v>
      </c>
    </row>
    <row r="8" spans="1:4" ht="18" customHeight="1">
      <c r="A8" s="371" t="s">
        <v>472</v>
      </c>
      <c r="B8" s="111">
        <v>157.54669999999999</v>
      </c>
      <c r="C8" s="270">
        <v>0.29880866317138555</v>
      </c>
      <c r="D8" s="379">
        <f t="shared" si="0"/>
        <v>8</v>
      </c>
    </row>
    <row r="9" spans="1:4" ht="18" customHeight="1">
      <c r="A9" s="343" t="s">
        <v>473</v>
      </c>
      <c r="B9" s="111">
        <v>86.928799999999995</v>
      </c>
      <c r="C9" s="270">
        <v>9.0397669095351176</v>
      </c>
      <c r="D9" s="379">
        <f t="shared" si="0"/>
        <v>2</v>
      </c>
    </row>
    <row r="10" spans="1:4" ht="18" customHeight="1">
      <c r="A10" s="343" t="s">
        <v>474</v>
      </c>
      <c r="B10" s="111">
        <v>170.60489999999999</v>
      </c>
      <c r="C10" s="270">
        <v>5.2319188208092697</v>
      </c>
      <c r="D10" s="379">
        <f t="shared" si="0"/>
        <v>4</v>
      </c>
    </row>
    <row r="11" spans="1:4" ht="18" customHeight="1">
      <c r="A11" s="343" t="s">
        <v>475</v>
      </c>
      <c r="B11" s="111">
        <v>92.411299999999997</v>
      </c>
      <c r="C11" s="270">
        <v>6.4189057196834653</v>
      </c>
      <c r="D11" s="379">
        <f t="shared" si="0"/>
        <v>3</v>
      </c>
    </row>
    <row r="12" spans="1:4" ht="18" customHeight="1">
      <c r="A12" s="315" t="s">
        <v>476</v>
      </c>
      <c r="B12" s="111">
        <v>14.841100000000001</v>
      </c>
      <c r="C12" s="270">
        <v>4.7270455143383288</v>
      </c>
      <c r="D12" s="379">
        <f t="shared" si="0"/>
        <v>5</v>
      </c>
    </row>
    <row r="13" spans="1:4" ht="18" customHeight="1">
      <c r="A13" s="315" t="s">
        <v>477</v>
      </c>
      <c r="B13" s="111">
        <v>19.963100000000001</v>
      </c>
      <c r="C13" s="270">
        <v>0.67515416749553481</v>
      </c>
      <c r="D13" s="379">
        <f t="shared" si="0"/>
        <v>7</v>
      </c>
    </row>
    <row r="14" spans="1:4" ht="18" customHeight="1">
      <c r="A14" s="315" t="s">
        <v>478</v>
      </c>
      <c r="B14" s="111">
        <v>57.543799999999997</v>
      </c>
      <c r="C14" s="270">
        <v>10.54825876635033</v>
      </c>
      <c r="D14" s="379">
        <f t="shared" si="0"/>
        <v>1</v>
      </c>
    </row>
    <row r="15" spans="1:4" ht="18" customHeight="1">
      <c r="A15" s="315" t="s">
        <v>479</v>
      </c>
      <c r="B15" s="111">
        <v>184.77459999999999</v>
      </c>
      <c r="C15" s="270">
        <v>1.785582200393506</v>
      </c>
      <c r="D15" s="379">
        <f t="shared" si="0"/>
        <v>6</v>
      </c>
    </row>
    <row r="16" spans="1:4" ht="18" customHeight="1">
      <c r="A16" s="372" t="s">
        <v>485</v>
      </c>
      <c r="B16" s="111"/>
      <c r="C16" s="386"/>
      <c r="D16" s="387"/>
    </row>
    <row r="17" spans="1:4" ht="18" customHeight="1">
      <c r="A17" s="369" t="s">
        <v>468</v>
      </c>
      <c r="B17" s="111">
        <v>1135.0878</v>
      </c>
      <c r="C17" s="112">
        <v>7.8656597388034157</v>
      </c>
      <c r="D17" s="377" t="s">
        <v>469</v>
      </c>
    </row>
    <row r="18" spans="1:4" ht="18" customHeight="1">
      <c r="A18" s="369" t="s">
        <v>470</v>
      </c>
      <c r="B18" s="111">
        <v>222.5625</v>
      </c>
      <c r="C18" s="112">
        <v>7.0363690504932919</v>
      </c>
      <c r="D18" s="377">
        <f>RANK(C18,$C$18:$C$27,0)</f>
        <v>3</v>
      </c>
    </row>
    <row r="19" spans="1:4" ht="18" customHeight="1">
      <c r="A19" s="343" t="s">
        <v>471</v>
      </c>
      <c r="B19" s="111">
        <v>208.84909999999999</v>
      </c>
      <c r="C19" s="112">
        <v>3.6633617345163572</v>
      </c>
      <c r="D19" s="377">
        <f t="shared" ref="D19:D27" si="1">RANK(C19,$C$18:$C$27,0)</f>
        <v>9</v>
      </c>
    </row>
    <row r="20" spans="1:4" ht="18" customHeight="1">
      <c r="A20" s="371" t="s">
        <v>472</v>
      </c>
      <c r="B20" s="111">
        <v>52.088999999999999</v>
      </c>
      <c r="C20" s="112">
        <v>6.7983876506502838</v>
      </c>
      <c r="D20" s="377">
        <f t="shared" si="1"/>
        <v>4</v>
      </c>
    </row>
    <row r="21" spans="1:4" ht="18" customHeight="1">
      <c r="A21" s="343" t="s">
        <v>473</v>
      </c>
      <c r="B21" s="111">
        <v>31.475000000000001</v>
      </c>
      <c r="C21" s="112">
        <v>4.909245540610101</v>
      </c>
      <c r="D21" s="377">
        <f t="shared" si="1"/>
        <v>7</v>
      </c>
    </row>
    <row r="22" spans="1:4" ht="18" customHeight="1">
      <c r="A22" s="343" t="s">
        <v>474</v>
      </c>
      <c r="B22" s="111">
        <v>116.9153</v>
      </c>
      <c r="C22" s="112">
        <v>7.119815923451327</v>
      </c>
      <c r="D22" s="377">
        <f t="shared" si="1"/>
        <v>2</v>
      </c>
    </row>
    <row r="23" spans="1:4" ht="18" customHeight="1">
      <c r="A23" s="343" t="s">
        <v>475</v>
      </c>
      <c r="B23" s="111">
        <v>110.5896</v>
      </c>
      <c r="C23" s="112">
        <v>5.9868175365886032</v>
      </c>
      <c r="D23" s="377">
        <f t="shared" si="1"/>
        <v>5</v>
      </c>
    </row>
    <row r="24" spans="1:4" ht="18" customHeight="1">
      <c r="A24" s="315" t="s">
        <v>476</v>
      </c>
      <c r="B24" s="111">
        <v>77.543000000000006</v>
      </c>
      <c r="C24" s="112">
        <v>8.6556874868175697</v>
      </c>
      <c r="D24" s="377">
        <f t="shared" si="1"/>
        <v>1</v>
      </c>
    </row>
    <row r="25" spans="1:4" ht="18" customHeight="1">
      <c r="A25" s="315" t="s">
        <v>477</v>
      </c>
      <c r="B25" s="111">
        <v>94.727000000000004</v>
      </c>
      <c r="C25" s="112">
        <v>2.0196121374303431</v>
      </c>
      <c r="D25" s="377">
        <f t="shared" si="1"/>
        <v>10</v>
      </c>
    </row>
    <row r="26" spans="1:4" ht="18" customHeight="1">
      <c r="A26" s="315" t="s">
        <v>478</v>
      </c>
      <c r="B26" s="111">
        <v>79.712299999999999</v>
      </c>
      <c r="C26" s="112">
        <v>5.6119784110034203</v>
      </c>
      <c r="D26" s="377">
        <f t="shared" si="1"/>
        <v>6</v>
      </c>
    </row>
    <row r="27" spans="1:4" ht="18" customHeight="1">
      <c r="A27" s="388" t="s">
        <v>479</v>
      </c>
      <c r="B27" s="129">
        <v>148.36150000000001</v>
      </c>
      <c r="C27" s="131">
        <v>3.9504892856573548</v>
      </c>
      <c r="D27" s="389">
        <f t="shared" si="1"/>
        <v>8</v>
      </c>
    </row>
    <row r="32" spans="1:4">
      <c r="A32" s="341"/>
    </row>
    <row r="33" spans="1:1">
      <c r="A33" s="341"/>
    </row>
    <row r="34" spans="1:1">
      <c r="A34" s="341"/>
    </row>
    <row r="35" spans="1:1">
      <c r="A35" s="342"/>
    </row>
    <row r="36" spans="1:1">
      <c r="A36" s="343"/>
    </row>
    <row r="37" spans="1:1">
      <c r="A37" s="343"/>
    </row>
    <row r="38" spans="1:1">
      <c r="A38" s="343"/>
    </row>
    <row r="39" spans="1:1">
      <c r="A39" s="343"/>
    </row>
    <row r="40" spans="1:1">
      <c r="A40" s="315"/>
    </row>
    <row r="41" spans="1:1">
      <c r="A41" s="51"/>
    </row>
    <row r="42" spans="1:1">
      <c r="A42" s="341"/>
    </row>
  </sheetData>
  <sheetProtection password="DC9E" sheet="1" objects="1" scenarios="1"/>
  <mergeCells count="1">
    <mergeCell ref="A1:D1"/>
  </mergeCells>
  <phoneticPr fontId="10" type="noConversion"/>
  <pageMargins left="0.75" right="0.75" top="0.59" bottom="0.59" header="0.51" footer="0.51"/>
  <pageSetup paperSize="9" scale="98" orientation="portrait" verticalDpi="0"/>
  <headerFooter scaleWithDoc="0" alignWithMargins="0"/>
</worksheet>
</file>

<file path=xl/worksheets/sheet28.xml><?xml version="1.0" encoding="utf-8"?>
<worksheet xmlns="http://schemas.openxmlformats.org/spreadsheetml/2006/main" xmlns:r="http://schemas.openxmlformats.org/officeDocument/2006/relationships">
  <sheetPr enableFormatConditionsCalculation="0">
    <tabColor theme="4"/>
  </sheetPr>
  <dimension ref="A1:D43"/>
  <sheetViews>
    <sheetView zoomScale="80" workbookViewId="0">
      <selection activeCell="F8" sqref="F8"/>
    </sheetView>
  </sheetViews>
  <sheetFormatPr defaultRowHeight="14.25"/>
  <cols>
    <col min="1" max="1" width="46" style="200" customWidth="1"/>
    <col min="2" max="2" width="11.5" style="274" customWidth="1"/>
    <col min="3" max="3" width="9.375" style="375" customWidth="1"/>
    <col min="4" max="4" width="12.25" style="274" customWidth="1"/>
    <col min="5" max="16384" width="9" style="274"/>
  </cols>
  <sheetData>
    <row r="1" spans="1:4" ht="34.5" customHeight="1">
      <c r="A1" s="747" t="s">
        <v>486</v>
      </c>
      <c r="B1" s="747"/>
      <c r="C1" s="747"/>
      <c r="D1" s="747"/>
    </row>
    <row r="2" spans="1:4" ht="20.25" customHeight="1">
      <c r="A2" s="346"/>
      <c r="B2" s="346"/>
      <c r="C2" s="346"/>
      <c r="D2" s="873" t="s">
        <v>483</v>
      </c>
    </row>
    <row r="3" spans="1:4" ht="28.5" customHeight="1">
      <c r="A3" s="874" t="s">
        <v>492</v>
      </c>
      <c r="B3" s="875" t="s">
        <v>49</v>
      </c>
      <c r="C3" s="276" t="s">
        <v>6</v>
      </c>
      <c r="D3" s="277" t="s">
        <v>466</v>
      </c>
    </row>
    <row r="4" spans="1:4" ht="18" customHeight="1">
      <c r="A4" s="376" t="s">
        <v>487</v>
      </c>
      <c r="B4" s="876"/>
      <c r="C4" s="877"/>
      <c r="D4" s="878"/>
    </row>
    <row r="5" spans="1:4" ht="18" customHeight="1">
      <c r="A5" s="879" t="s">
        <v>468</v>
      </c>
      <c r="B5" s="876">
        <v>643.00239999999997</v>
      </c>
      <c r="C5" s="880">
        <v>-1.7407484902678367</v>
      </c>
      <c r="D5" s="881" t="s">
        <v>469</v>
      </c>
    </row>
    <row r="6" spans="1:4" ht="18" customHeight="1">
      <c r="A6" s="879" t="s">
        <v>470</v>
      </c>
      <c r="B6" s="876">
        <v>36.023800000000001</v>
      </c>
      <c r="C6" s="880">
        <v>0.45872869066785416</v>
      </c>
      <c r="D6" s="881">
        <f>RANK(C6,$C$6:$C$15,0)</f>
        <v>8</v>
      </c>
    </row>
    <row r="7" spans="1:4" ht="18" customHeight="1">
      <c r="A7" s="882" t="s">
        <v>471</v>
      </c>
      <c r="B7" s="876">
        <v>104.33629999999999</v>
      </c>
      <c r="C7" s="880">
        <v>-15.57450279178682</v>
      </c>
      <c r="D7" s="881">
        <f t="shared" ref="D7:D15" si="0">RANK(C7,$C$6:$C$15,0)</f>
        <v>10</v>
      </c>
    </row>
    <row r="8" spans="1:4" ht="18" customHeight="1">
      <c r="A8" s="883" t="s">
        <v>472</v>
      </c>
      <c r="B8" s="876">
        <v>151.535</v>
      </c>
      <c r="C8" s="880">
        <v>0.53001699291122306</v>
      </c>
      <c r="D8" s="881">
        <f t="shared" si="0"/>
        <v>7</v>
      </c>
    </row>
    <row r="9" spans="1:4" ht="18" customHeight="1">
      <c r="A9" s="882" t="s">
        <v>473</v>
      </c>
      <c r="B9" s="876">
        <v>83.922799999999995</v>
      </c>
      <c r="C9" s="880">
        <v>9.7000734129072743</v>
      </c>
      <c r="D9" s="881">
        <f t="shared" si="0"/>
        <v>2</v>
      </c>
    </row>
    <row r="10" spans="1:4" ht="18" customHeight="1">
      <c r="A10" s="882" t="s">
        <v>474</v>
      </c>
      <c r="B10" s="876">
        <v>159.34960000000001</v>
      </c>
      <c r="C10" s="880">
        <v>5.7700605605920323</v>
      </c>
      <c r="D10" s="881">
        <f t="shared" si="0"/>
        <v>4</v>
      </c>
    </row>
    <row r="11" spans="1:4" ht="18" customHeight="1">
      <c r="A11" s="882" t="s">
        <v>475</v>
      </c>
      <c r="B11" s="876">
        <v>73.936099999999996</v>
      </c>
      <c r="C11" s="880">
        <v>7.6101731832295423</v>
      </c>
      <c r="D11" s="881">
        <f t="shared" si="0"/>
        <v>3</v>
      </c>
    </row>
    <row r="12" spans="1:4" ht="18" customHeight="1">
      <c r="A12" s="882" t="s">
        <v>476</v>
      </c>
      <c r="B12" s="876">
        <v>10.3935</v>
      </c>
      <c r="C12" s="880">
        <v>5.3902335969095185</v>
      </c>
      <c r="D12" s="881">
        <f t="shared" si="0"/>
        <v>5</v>
      </c>
    </row>
    <row r="13" spans="1:4" ht="18" customHeight="1">
      <c r="A13" s="882" t="s">
        <v>477</v>
      </c>
      <c r="B13" s="876">
        <v>16.328600000000002</v>
      </c>
      <c r="C13" s="880">
        <v>-1.2978272131916986</v>
      </c>
      <c r="D13" s="881">
        <f t="shared" si="0"/>
        <v>9</v>
      </c>
    </row>
    <row r="14" spans="1:4" ht="18" customHeight="1">
      <c r="A14" s="882" t="s">
        <v>478</v>
      </c>
      <c r="B14" s="876">
        <v>54.0794</v>
      </c>
      <c r="C14" s="880">
        <v>10.083304749441249</v>
      </c>
      <c r="D14" s="881">
        <f t="shared" si="0"/>
        <v>1</v>
      </c>
    </row>
    <row r="15" spans="1:4" ht="15.95" customHeight="1">
      <c r="A15" s="882" t="s">
        <v>479</v>
      </c>
      <c r="B15" s="876">
        <v>164.655</v>
      </c>
      <c r="C15" s="880">
        <v>2.1191319218633331</v>
      </c>
      <c r="D15" s="881">
        <f t="shared" si="0"/>
        <v>6</v>
      </c>
    </row>
    <row r="16" spans="1:4" ht="18" customHeight="1">
      <c r="A16" s="321" t="s">
        <v>488</v>
      </c>
      <c r="B16" s="876"/>
      <c r="C16" s="884"/>
      <c r="D16" s="885"/>
    </row>
    <row r="17" spans="1:4" ht="18" customHeight="1">
      <c r="A17" s="879" t="s">
        <v>468</v>
      </c>
      <c r="B17" s="876">
        <f>(ROUND([28]分县2!$B29,0))/10000</f>
        <v>1641.7868000000001</v>
      </c>
      <c r="C17" s="886" t="s">
        <v>469</v>
      </c>
      <c r="D17" s="887" t="s">
        <v>469</v>
      </c>
    </row>
    <row r="18" spans="1:4" ht="18" customHeight="1">
      <c r="A18" s="879" t="s">
        <v>470</v>
      </c>
      <c r="B18" s="876">
        <f>(ROUND([28]分县2!$B30,0))/10000</f>
        <v>75.153999999999996</v>
      </c>
      <c r="C18" s="886" t="s">
        <v>469</v>
      </c>
      <c r="D18" s="887" t="s">
        <v>469</v>
      </c>
    </row>
    <row r="19" spans="1:4" ht="18" customHeight="1">
      <c r="A19" s="882" t="s">
        <v>471</v>
      </c>
      <c r="B19" s="876">
        <f>(ROUND([28]分县2!$B31,0))/10000</f>
        <v>396.65370000000001</v>
      </c>
      <c r="C19" s="886" t="s">
        <v>469</v>
      </c>
      <c r="D19" s="887" t="s">
        <v>469</v>
      </c>
    </row>
    <row r="20" spans="1:4" ht="18" customHeight="1">
      <c r="A20" s="883" t="s">
        <v>472</v>
      </c>
      <c r="B20" s="876">
        <f>(ROUND([28]分县2!$B32,0))/10000</f>
        <v>202.41499999999999</v>
      </c>
      <c r="C20" s="886" t="s">
        <v>469</v>
      </c>
      <c r="D20" s="887" t="s">
        <v>469</v>
      </c>
    </row>
    <row r="21" spans="1:4" ht="18" customHeight="1">
      <c r="A21" s="315" t="s">
        <v>473</v>
      </c>
      <c r="B21" s="214">
        <f>(ROUND([28]分县2!$B33,0))/10000</f>
        <v>137.5855</v>
      </c>
      <c r="C21" s="378" t="s">
        <v>469</v>
      </c>
      <c r="D21" s="379" t="s">
        <v>469</v>
      </c>
    </row>
    <row r="22" spans="1:4" ht="18" customHeight="1">
      <c r="A22" s="315" t="s">
        <v>475</v>
      </c>
      <c r="B22" s="214">
        <f>(ROUND([28]分县2!$B34,0))/10000</f>
        <v>109.16549999999999</v>
      </c>
      <c r="C22" s="378" t="s">
        <v>469</v>
      </c>
      <c r="D22" s="379" t="s">
        <v>469</v>
      </c>
    </row>
    <row r="23" spans="1:4" ht="18" customHeight="1">
      <c r="A23" s="315" t="s">
        <v>476</v>
      </c>
      <c r="B23" s="214">
        <f>(ROUND([28]分县2!$B35,0))/10000</f>
        <v>17.424600000000002</v>
      </c>
      <c r="C23" s="378" t="s">
        <v>469</v>
      </c>
      <c r="D23" s="379" t="s">
        <v>469</v>
      </c>
    </row>
    <row r="24" spans="1:4" ht="18" customHeight="1">
      <c r="A24" s="315" t="s">
        <v>477</v>
      </c>
      <c r="B24" s="214">
        <f>(ROUND([28]分县2!$B36,0))/10000</f>
        <v>40.5685</v>
      </c>
      <c r="C24" s="378" t="s">
        <v>469</v>
      </c>
      <c r="D24" s="379" t="s">
        <v>469</v>
      </c>
    </row>
    <row r="25" spans="1:4" ht="18" customHeight="1">
      <c r="A25" s="315" t="s">
        <v>489</v>
      </c>
      <c r="B25" s="214">
        <f>(ROUND([28]分县2!$B37,0))/10000</f>
        <v>0</v>
      </c>
      <c r="C25" s="378" t="s">
        <v>469</v>
      </c>
      <c r="D25" s="379" t="s">
        <v>469</v>
      </c>
    </row>
    <row r="26" spans="1:4" ht="18" customHeight="1">
      <c r="A26" s="315" t="s">
        <v>478</v>
      </c>
      <c r="B26" s="214">
        <f>(ROUND([28]分县2!$B38,0))/10000</f>
        <v>109.2182</v>
      </c>
      <c r="C26" s="378" t="s">
        <v>469</v>
      </c>
      <c r="D26" s="379" t="s">
        <v>469</v>
      </c>
    </row>
    <row r="27" spans="1:4" ht="18" customHeight="1">
      <c r="A27" s="315" t="s">
        <v>479</v>
      </c>
      <c r="B27" s="214">
        <f>(ROUND([28]分县2!$B39,0))/10000</f>
        <v>233.2963</v>
      </c>
      <c r="C27" s="378" t="s">
        <v>469</v>
      </c>
      <c r="D27" s="379" t="s">
        <v>469</v>
      </c>
    </row>
    <row r="28" spans="1:4" ht="18" customHeight="1">
      <c r="A28" s="380" t="s">
        <v>490</v>
      </c>
      <c r="B28" s="381">
        <f>(ROUND([28]分县2!$B40,0))/10000</f>
        <v>491.57769999999999</v>
      </c>
      <c r="C28" s="382" t="s">
        <v>469</v>
      </c>
      <c r="D28" s="383" t="s">
        <v>469</v>
      </c>
    </row>
    <row r="33" spans="1:1">
      <c r="A33" s="208"/>
    </row>
    <row r="34" spans="1:1">
      <c r="A34" s="208"/>
    </row>
    <row r="35" spans="1:1">
      <c r="A35" s="208"/>
    </row>
    <row r="36" spans="1:1">
      <c r="A36" s="354"/>
    </row>
    <row r="37" spans="1:1">
      <c r="A37" s="315"/>
    </row>
    <row r="38" spans="1:1">
      <c r="A38" s="315"/>
    </row>
    <row r="39" spans="1:1">
      <c r="A39" s="315"/>
    </row>
    <row r="40" spans="1:1">
      <c r="A40" s="315"/>
    </row>
    <row r="41" spans="1:1">
      <c r="A41" s="315"/>
    </row>
    <row r="42" spans="1:1">
      <c r="A42" s="355"/>
    </row>
    <row r="43" spans="1:1">
      <c r="A43" s="208"/>
    </row>
  </sheetData>
  <sheetProtection password="DC9E" sheet="1" objects="1" scenarios="1"/>
  <mergeCells count="1">
    <mergeCell ref="A1:D1"/>
  </mergeCells>
  <phoneticPr fontId="10" type="noConversion"/>
  <pageMargins left="0.75" right="0.75" top="0.59" bottom="0.59" header="0.51" footer="0.51"/>
  <pageSetup paperSize="9" scale="98" orientation="portrait" verticalDpi="0"/>
  <headerFooter scaleWithDoc="0" alignWithMargins="0"/>
</worksheet>
</file>

<file path=xl/worksheets/sheet29.xml><?xml version="1.0" encoding="utf-8"?>
<worksheet xmlns="http://schemas.openxmlformats.org/spreadsheetml/2006/main" xmlns:r="http://schemas.openxmlformats.org/officeDocument/2006/relationships">
  <sheetPr enableFormatConditionsCalculation="0">
    <tabColor theme="5"/>
  </sheetPr>
  <dimension ref="A1:E30"/>
  <sheetViews>
    <sheetView workbookViewId="0">
      <selection activeCell="N27" sqref="N27:N28"/>
    </sheetView>
  </sheetViews>
  <sheetFormatPr defaultColWidth="9" defaultRowHeight="14.25"/>
  <cols>
    <col min="1" max="1" width="28.125" style="44" customWidth="1"/>
    <col min="2" max="2" width="13" style="44" customWidth="1"/>
    <col min="3" max="3" width="9.75" style="44" customWidth="1"/>
    <col min="4" max="4" width="13.125" customWidth="1"/>
    <col min="5" max="5" width="13.125" style="332" customWidth="1"/>
  </cols>
  <sheetData>
    <row r="1" spans="1:5" ht="21" customHeight="1">
      <c r="A1" s="746" t="s">
        <v>491</v>
      </c>
      <c r="B1" s="746"/>
      <c r="C1" s="746"/>
      <c r="D1" s="746"/>
      <c r="E1" s="746"/>
    </row>
    <row r="2" spans="1:5" ht="14.1" customHeight="1">
      <c r="A2" s="333"/>
      <c r="B2" s="333"/>
      <c r="C2" s="333"/>
      <c r="D2" s="333"/>
      <c r="E2" s="888" t="s">
        <v>47</v>
      </c>
    </row>
    <row r="3" spans="1:5" ht="15" customHeight="1">
      <c r="A3" s="365" t="s">
        <v>492</v>
      </c>
      <c r="B3" s="889" t="s">
        <v>90</v>
      </c>
      <c r="C3" s="890" t="s">
        <v>91</v>
      </c>
      <c r="D3" s="891" t="s">
        <v>49</v>
      </c>
      <c r="E3" s="891" t="s">
        <v>6</v>
      </c>
    </row>
    <row r="4" spans="1:5" ht="17.100000000000001" customHeight="1">
      <c r="A4" s="367" t="s">
        <v>493</v>
      </c>
      <c r="B4" s="892"/>
      <c r="C4" s="368"/>
      <c r="D4" s="892"/>
      <c r="E4" s="893"/>
    </row>
    <row r="5" spans="1:5" ht="17.100000000000001" customHeight="1">
      <c r="A5" s="369" t="s">
        <v>468</v>
      </c>
      <c r="B5" s="370">
        <v>66.409300000000002</v>
      </c>
      <c r="C5" s="29">
        <v>3.4</v>
      </c>
      <c r="D5" s="370">
        <v>529.34140000000002</v>
      </c>
      <c r="E5" s="29">
        <v>-2.4</v>
      </c>
    </row>
    <row r="6" spans="1:5" ht="17.100000000000001" customHeight="1">
      <c r="A6" s="369" t="s">
        <v>470</v>
      </c>
      <c r="B6" s="370">
        <v>2.6385000000000001</v>
      </c>
      <c r="C6" s="29">
        <v>11.1</v>
      </c>
      <c r="D6" s="370">
        <v>20.110600000000002</v>
      </c>
      <c r="E6" s="29">
        <v>0.1</v>
      </c>
    </row>
    <row r="7" spans="1:5" ht="17.100000000000001" customHeight="1">
      <c r="A7" s="343" t="s">
        <v>471</v>
      </c>
      <c r="B7" s="370">
        <v>10.976699999999999</v>
      </c>
      <c r="C7" s="29">
        <v>-18.8</v>
      </c>
      <c r="D7" s="370">
        <v>101.47839999999999</v>
      </c>
      <c r="E7" s="29">
        <v>-16</v>
      </c>
    </row>
    <row r="8" spans="1:5" ht="17.100000000000001" customHeight="1">
      <c r="A8" s="371" t="s">
        <v>472</v>
      </c>
      <c r="B8" s="370">
        <v>17.244800000000001</v>
      </c>
      <c r="C8" s="29">
        <v>8.1999999999999993</v>
      </c>
      <c r="D8" s="370">
        <v>149.55709999999999</v>
      </c>
      <c r="E8" s="29">
        <v>0.5</v>
      </c>
    </row>
    <row r="9" spans="1:5" ht="17.100000000000001" customHeight="1">
      <c r="A9" s="343" t="s">
        <v>473</v>
      </c>
      <c r="B9" s="370">
        <v>5.0696000000000003</v>
      </c>
      <c r="C9" s="29">
        <v>11</v>
      </c>
      <c r="D9" s="370">
        <v>41.808599999999998</v>
      </c>
      <c r="E9" s="29">
        <v>10.5</v>
      </c>
    </row>
    <row r="10" spans="1:5" ht="17.100000000000001" customHeight="1">
      <c r="A10" s="343" t="s">
        <v>475</v>
      </c>
      <c r="B10" s="370">
        <v>2.8252999999999999</v>
      </c>
      <c r="C10" s="29">
        <v>14</v>
      </c>
      <c r="D10" s="370">
        <v>19.962299999999999</v>
      </c>
      <c r="E10" s="29">
        <v>7.9</v>
      </c>
    </row>
    <row r="11" spans="1:5" ht="17.100000000000001" customHeight="1">
      <c r="A11" s="343" t="s">
        <v>476</v>
      </c>
      <c r="B11" s="370">
        <v>0.75929999999999997</v>
      </c>
      <c r="C11" s="29">
        <v>13.3</v>
      </c>
      <c r="D11" s="370">
        <v>8.5944000000000003</v>
      </c>
      <c r="E11" s="29">
        <v>4.8</v>
      </c>
    </row>
    <row r="12" spans="1:5" ht="17.100000000000001" customHeight="1">
      <c r="A12" s="315" t="s">
        <v>477</v>
      </c>
      <c r="B12" s="370">
        <v>0.63349999999999995</v>
      </c>
      <c r="C12" s="29">
        <v>11</v>
      </c>
      <c r="D12" s="370">
        <v>6.2297000000000002</v>
      </c>
      <c r="E12" s="29">
        <v>-2.9</v>
      </c>
    </row>
    <row r="13" spans="1:5" ht="17.100000000000001" customHeight="1">
      <c r="A13" s="315" t="s">
        <v>478</v>
      </c>
      <c r="B13" s="370">
        <v>1.9153</v>
      </c>
      <c r="C13" s="29">
        <v>12</v>
      </c>
      <c r="D13" s="370">
        <v>17.1343</v>
      </c>
      <c r="E13" s="29">
        <v>10.9</v>
      </c>
    </row>
    <row r="14" spans="1:5" ht="17.100000000000001" customHeight="1">
      <c r="A14" s="315" t="s">
        <v>479</v>
      </c>
      <c r="B14" s="370">
        <v>10.8314</v>
      </c>
      <c r="C14" s="29">
        <v>4.5</v>
      </c>
      <c r="D14" s="370">
        <v>59.615600000000001</v>
      </c>
      <c r="E14" s="29">
        <v>2</v>
      </c>
    </row>
    <row r="15" spans="1:5" ht="17.100000000000001" customHeight="1">
      <c r="A15" s="315" t="s">
        <v>490</v>
      </c>
      <c r="B15" s="370">
        <v>17.233899999999998</v>
      </c>
      <c r="C15" s="29">
        <v>9.1999999999999993</v>
      </c>
      <c r="D15" s="370">
        <v>135.81460000000001</v>
      </c>
      <c r="E15" s="29">
        <v>5.8</v>
      </c>
    </row>
    <row r="16" spans="1:5" ht="17.100000000000001" customHeight="1">
      <c r="A16" s="372" t="s">
        <v>494</v>
      </c>
      <c r="B16" s="370"/>
      <c r="C16" s="29"/>
      <c r="D16" s="370"/>
      <c r="E16" s="29"/>
    </row>
    <row r="17" spans="1:5" ht="17.100000000000001" customHeight="1">
      <c r="A17" s="369" t="s">
        <v>468</v>
      </c>
      <c r="B17" s="370">
        <v>221.24019999999999</v>
      </c>
      <c r="C17" s="29">
        <v>6.8</v>
      </c>
      <c r="D17" s="370">
        <v>1674.6179999999999</v>
      </c>
      <c r="E17" s="29">
        <v>-1.9</v>
      </c>
    </row>
    <row r="18" spans="1:5" ht="17.100000000000001" customHeight="1">
      <c r="A18" s="369" t="s">
        <v>470</v>
      </c>
      <c r="B18" s="370">
        <v>9.5627999999999993</v>
      </c>
      <c r="C18" s="29">
        <v>13</v>
      </c>
      <c r="D18" s="370">
        <v>73.443299999999994</v>
      </c>
      <c r="E18" s="29">
        <v>-2.2000000000000002</v>
      </c>
    </row>
    <row r="19" spans="1:5" ht="17.100000000000001" customHeight="1">
      <c r="A19" s="343" t="s">
        <v>471</v>
      </c>
      <c r="B19" s="370">
        <v>45.521000000000001</v>
      </c>
      <c r="C19" s="29">
        <v>-9.4</v>
      </c>
      <c r="D19" s="370">
        <v>380.61239999999998</v>
      </c>
      <c r="E19" s="29">
        <v>-11.1</v>
      </c>
    </row>
    <row r="20" spans="1:5" ht="17.100000000000001" customHeight="1">
      <c r="A20" s="371" t="s">
        <v>472</v>
      </c>
      <c r="B20" s="370">
        <v>23.722899999999999</v>
      </c>
      <c r="C20" s="29">
        <v>13.3</v>
      </c>
      <c r="D20" s="370">
        <v>201.0874</v>
      </c>
      <c r="E20" s="29">
        <v>1.6</v>
      </c>
    </row>
    <row r="21" spans="1:5" ht="17.100000000000001" customHeight="1">
      <c r="A21" s="343" t="s">
        <v>473</v>
      </c>
      <c r="B21" s="370">
        <v>19.3687</v>
      </c>
      <c r="C21" s="29">
        <v>15.1</v>
      </c>
      <c r="D21" s="370">
        <v>159.60659999999999</v>
      </c>
      <c r="E21" s="29">
        <v>13.1</v>
      </c>
    </row>
    <row r="22" spans="1:5" ht="17.100000000000001" customHeight="1">
      <c r="A22" s="343" t="s">
        <v>475</v>
      </c>
      <c r="B22" s="370">
        <v>16.992100000000001</v>
      </c>
      <c r="C22" s="29">
        <v>26.8</v>
      </c>
      <c r="D22" s="370">
        <v>113.208</v>
      </c>
      <c r="E22" s="29">
        <v>9.3000000000000007</v>
      </c>
    </row>
    <row r="23" spans="1:5" ht="17.100000000000001" customHeight="1">
      <c r="A23" s="343" t="s">
        <v>476</v>
      </c>
      <c r="B23" s="370">
        <v>1.3816999999999999</v>
      </c>
      <c r="C23" s="29">
        <v>5.5</v>
      </c>
      <c r="D23" s="370">
        <v>17.294799999999999</v>
      </c>
      <c r="E23" s="29">
        <v>2.4</v>
      </c>
    </row>
    <row r="24" spans="1:5" ht="17.100000000000001" customHeight="1">
      <c r="A24" s="315" t="s">
        <v>477</v>
      </c>
      <c r="B24" s="370">
        <v>4.6917</v>
      </c>
      <c r="C24" s="29">
        <v>39.799999999999997</v>
      </c>
      <c r="D24" s="370">
        <v>43.254100000000001</v>
      </c>
      <c r="E24" s="29">
        <v>-5.7</v>
      </c>
    </row>
    <row r="25" spans="1:5" ht="17.100000000000001" customHeight="1">
      <c r="A25" s="315" t="s">
        <v>478</v>
      </c>
      <c r="B25" s="370">
        <v>11.569599999999999</v>
      </c>
      <c r="C25" s="29">
        <v>8.9</v>
      </c>
      <c r="D25" s="370">
        <v>108.99769999999999</v>
      </c>
      <c r="E25" s="29">
        <v>9.8000000000000007</v>
      </c>
    </row>
    <row r="26" spans="1:5" ht="17.100000000000001" customHeight="1">
      <c r="A26" s="315" t="s">
        <v>479</v>
      </c>
      <c r="B26" s="370">
        <v>43.3187</v>
      </c>
      <c r="C26" s="29">
        <v>-5.2</v>
      </c>
      <c r="D26" s="370">
        <v>240.69540000000001</v>
      </c>
      <c r="E26" s="29">
        <v>1.4</v>
      </c>
    </row>
    <row r="27" spans="1:5" ht="17.100000000000001" customHeight="1">
      <c r="A27" s="318" t="s">
        <v>490</v>
      </c>
      <c r="B27" s="373">
        <v>67.633899999999997</v>
      </c>
      <c r="C27" s="374">
        <v>21.4</v>
      </c>
      <c r="D27" s="373">
        <v>518.78089999999997</v>
      </c>
      <c r="E27" s="374">
        <v>2</v>
      </c>
    </row>
    <row r="28" spans="1:5">
      <c r="A28" s="315"/>
      <c r="B28" s="315"/>
      <c r="C28" s="315"/>
    </row>
    <row r="29" spans="1:5">
      <c r="A29" s="51"/>
      <c r="B29" s="51"/>
      <c r="C29" s="51"/>
    </row>
    <row r="30" spans="1:5">
      <c r="A30" s="341"/>
      <c r="B30" s="341"/>
      <c r="C30" s="341"/>
    </row>
  </sheetData>
  <sheetProtection password="DC9E" sheet="1" objects="1" scenarios="1"/>
  <mergeCells count="1">
    <mergeCell ref="A1:E1"/>
  </mergeCells>
  <phoneticPr fontId="10" type="noConversion"/>
  <pageMargins left="0.75" right="0.75" top="0.59" bottom="0.59" header="0.51" footer="0.51"/>
  <pageSetup paperSize="9" scale="95" orientation="portrait" verticalDpi="0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F25"/>
  <sheetViews>
    <sheetView zoomScaleSheetLayoutView="73" workbookViewId="0">
      <selection activeCell="E7" sqref="E7:E8"/>
    </sheetView>
  </sheetViews>
  <sheetFormatPr defaultColWidth="9" defaultRowHeight="14.25"/>
  <cols>
    <col min="1" max="1" width="28" customWidth="1"/>
    <col min="2" max="4" width="9.125" customWidth="1"/>
    <col min="5" max="5" width="9.375" bestFit="1" customWidth="1"/>
  </cols>
  <sheetData>
    <row r="1" spans="1:6" ht="29.1" customHeight="1">
      <c r="A1" s="716" t="s">
        <v>35</v>
      </c>
      <c r="B1" s="716"/>
      <c r="C1" s="716"/>
      <c r="D1" s="716"/>
      <c r="E1" s="716"/>
      <c r="F1" s="716"/>
    </row>
    <row r="2" spans="1:6" ht="18.95" customHeight="1">
      <c r="A2" s="721" t="s">
        <v>1</v>
      </c>
      <c r="B2" s="722" t="s">
        <v>2</v>
      </c>
      <c r="C2" s="717" t="s">
        <v>36</v>
      </c>
      <c r="D2" s="718"/>
      <c r="E2" s="717" t="s">
        <v>37</v>
      </c>
      <c r="F2" s="718"/>
    </row>
    <row r="3" spans="1:6" ht="18.95" customHeight="1">
      <c r="A3" s="721"/>
      <c r="B3" s="723"/>
      <c r="C3" s="656" t="s">
        <v>5</v>
      </c>
      <c r="D3" s="656" t="s">
        <v>6</v>
      </c>
      <c r="E3" s="656" t="s">
        <v>5</v>
      </c>
      <c r="F3" s="656" t="s">
        <v>6</v>
      </c>
    </row>
    <row r="4" spans="1:6" ht="24.95" customHeight="1">
      <c r="A4" s="658" t="s">
        <v>7</v>
      </c>
      <c r="B4" s="507" t="s">
        <v>8</v>
      </c>
      <c r="C4" s="682" t="s">
        <v>9</v>
      </c>
      <c r="D4" s="683" t="s">
        <v>9</v>
      </c>
      <c r="E4" s="664">
        <v>1437.7439999999999</v>
      </c>
      <c r="F4" s="663">
        <v>4.1999873627800239</v>
      </c>
    </row>
    <row r="5" spans="1:6" ht="24.95" customHeight="1">
      <c r="A5" s="658" t="s">
        <v>10</v>
      </c>
      <c r="B5" s="507" t="s">
        <v>8</v>
      </c>
      <c r="C5" s="692">
        <v>1302.6294</v>
      </c>
      <c r="D5" s="693">
        <v>-3.2</v>
      </c>
      <c r="E5" s="706">
        <v>1131.31</v>
      </c>
      <c r="F5" s="691">
        <v>-0.1</v>
      </c>
    </row>
    <row r="6" spans="1:6" ht="24.95" customHeight="1">
      <c r="A6" s="658" t="s">
        <v>11</v>
      </c>
      <c r="B6" s="507" t="s">
        <v>8</v>
      </c>
      <c r="C6" s="692">
        <v>414.54309999999998</v>
      </c>
      <c r="D6" s="693">
        <v>-2.5</v>
      </c>
      <c r="E6" s="706">
        <v>360.84</v>
      </c>
      <c r="F6" s="707">
        <v>0.2</v>
      </c>
    </row>
    <row r="7" spans="1:6" ht="24.95" customHeight="1">
      <c r="A7" s="658" t="s">
        <v>12</v>
      </c>
      <c r="B7" s="507" t="s">
        <v>8</v>
      </c>
      <c r="C7" s="692"/>
      <c r="D7" s="693">
        <v>4.0999999999999996</v>
      </c>
      <c r="E7" s="692"/>
      <c r="F7" s="693">
        <v>1.9</v>
      </c>
    </row>
    <row r="8" spans="1:6" ht="24.95" customHeight="1">
      <c r="A8" s="658" t="s">
        <v>13</v>
      </c>
      <c r="B8" s="507" t="s">
        <v>8</v>
      </c>
      <c r="C8" s="692"/>
      <c r="D8" s="693">
        <v>10.4</v>
      </c>
      <c r="E8" s="692"/>
      <c r="F8" s="693">
        <v>8.1999999999999993</v>
      </c>
    </row>
    <row r="9" spans="1:6" ht="24.95" customHeight="1">
      <c r="A9" s="658" t="s">
        <v>14</v>
      </c>
      <c r="B9" s="507" t="s">
        <v>15</v>
      </c>
      <c r="C9" s="692">
        <v>330.53</v>
      </c>
      <c r="D9" s="693">
        <v>2</v>
      </c>
      <c r="E9" s="692">
        <v>295.10000000000002</v>
      </c>
      <c r="F9" s="693">
        <v>0.9</v>
      </c>
    </row>
    <row r="10" spans="1:6" ht="24.95" customHeight="1">
      <c r="A10" s="658" t="s">
        <v>16</v>
      </c>
      <c r="B10" s="507" t="s">
        <v>8</v>
      </c>
      <c r="C10" s="692">
        <v>1047.73</v>
      </c>
      <c r="D10" s="693">
        <v>8.5</v>
      </c>
      <c r="E10" s="692">
        <v>892.25</v>
      </c>
      <c r="F10" s="693">
        <v>8.6</v>
      </c>
    </row>
    <row r="11" spans="1:6" ht="24.95" customHeight="1">
      <c r="A11" s="661" t="s">
        <v>17</v>
      </c>
      <c r="B11" s="507" t="s">
        <v>8</v>
      </c>
      <c r="C11" s="692">
        <v>77.88</v>
      </c>
      <c r="D11" s="708">
        <v>3.7</v>
      </c>
      <c r="E11" s="692">
        <v>66.19</v>
      </c>
      <c r="F11" s="708">
        <v>2.2000000000000002</v>
      </c>
    </row>
    <row r="12" spans="1:6" ht="24.95" customHeight="1">
      <c r="A12" s="661" t="s">
        <v>18</v>
      </c>
      <c r="B12" s="507" t="s">
        <v>8</v>
      </c>
      <c r="C12" s="709">
        <v>289.19</v>
      </c>
      <c r="D12" s="710">
        <v>6.7</v>
      </c>
      <c r="E12" s="709">
        <v>254.71</v>
      </c>
      <c r="F12" s="710">
        <v>9.8000000000000007</v>
      </c>
    </row>
    <row r="13" spans="1:6" ht="24.95" customHeight="1">
      <c r="A13" s="658" t="s">
        <v>19</v>
      </c>
      <c r="B13" s="507" t="s">
        <v>8</v>
      </c>
      <c r="C13" s="686">
        <v>359.8809</v>
      </c>
      <c r="D13" s="687">
        <v>8.3800000000000008</v>
      </c>
      <c r="E13" s="686">
        <v>311.68</v>
      </c>
      <c r="F13" s="687">
        <v>12.8</v>
      </c>
    </row>
    <row r="14" spans="1:6" ht="24.95" customHeight="1">
      <c r="A14" s="658" t="s">
        <v>20</v>
      </c>
      <c r="B14" s="507" t="s">
        <v>8</v>
      </c>
      <c r="C14" s="711">
        <v>221.73</v>
      </c>
      <c r="D14" s="712">
        <v>10.199999999999999</v>
      </c>
      <c r="E14" s="709">
        <v>184.71510000000001</v>
      </c>
      <c r="F14" s="712">
        <v>12.7</v>
      </c>
    </row>
    <row r="15" spans="1:6" ht="24.95" customHeight="1">
      <c r="A15" s="658" t="s">
        <v>21</v>
      </c>
      <c r="B15" s="507" t="s">
        <v>8</v>
      </c>
      <c r="C15" s="711">
        <v>113.76</v>
      </c>
      <c r="D15" s="712">
        <v>3.5</v>
      </c>
      <c r="E15" s="709">
        <v>96.420599999999993</v>
      </c>
      <c r="F15" s="712">
        <v>6.9</v>
      </c>
    </row>
    <row r="16" spans="1:6" ht="24.95" customHeight="1">
      <c r="A16" s="658" t="s">
        <v>22</v>
      </c>
      <c r="B16" s="507" t="s">
        <v>8</v>
      </c>
      <c r="C16" s="711">
        <v>107.97</v>
      </c>
      <c r="D16" s="712">
        <v>18.2</v>
      </c>
      <c r="E16" s="709">
        <v>88.294499999999999</v>
      </c>
      <c r="F16" s="712">
        <v>19.899999999999999</v>
      </c>
    </row>
    <row r="17" spans="1:6" ht="24.95" customHeight="1">
      <c r="A17" s="658" t="s">
        <v>23</v>
      </c>
      <c r="B17" s="507" t="s">
        <v>24</v>
      </c>
      <c r="C17" s="713">
        <v>17006</v>
      </c>
      <c r="D17" s="714">
        <v>194.9</v>
      </c>
      <c r="E17" s="713">
        <v>16136</v>
      </c>
      <c r="F17" s="714">
        <v>185.8</v>
      </c>
    </row>
    <row r="18" spans="1:6" ht="24.95" customHeight="1">
      <c r="A18" s="658" t="s">
        <v>25</v>
      </c>
      <c r="B18" s="507" t="s">
        <v>8</v>
      </c>
      <c r="C18" s="686">
        <v>3643.71</v>
      </c>
      <c r="D18" s="687">
        <v>7.8</v>
      </c>
      <c r="E18" s="686">
        <v>3628.76</v>
      </c>
      <c r="F18" s="687">
        <v>7</v>
      </c>
    </row>
    <row r="19" spans="1:6" ht="24.95" customHeight="1">
      <c r="A19" s="661" t="s">
        <v>26</v>
      </c>
      <c r="B19" s="507" t="s">
        <v>8</v>
      </c>
      <c r="C19" s="692">
        <v>2320.44</v>
      </c>
      <c r="D19" s="693">
        <v>10.7</v>
      </c>
      <c r="E19" s="692">
        <v>2320.61</v>
      </c>
      <c r="F19" s="693">
        <v>11</v>
      </c>
    </row>
    <row r="20" spans="1:6" ht="24.95" customHeight="1">
      <c r="A20" s="658" t="s">
        <v>27</v>
      </c>
      <c r="B20" s="507" t="s">
        <v>8</v>
      </c>
      <c r="C20" s="692">
        <v>2372.04</v>
      </c>
      <c r="D20" s="693">
        <v>13.5</v>
      </c>
      <c r="E20" s="692">
        <v>2331.44</v>
      </c>
      <c r="F20" s="693">
        <v>12.8</v>
      </c>
    </row>
    <row r="21" spans="1:6" ht="24.95" customHeight="1">
      <c r="A21" s="658" t="s">
        <v>28</v>
      </c>
      <c r="B21" s="507" t="s">
        <v>29</v>
      </c>
      <c r="C21" s="693">
        <v>102.3</v>
      </c>
      <c r="D21" s="693">
        <v>2.2999999999999998</v>
      </c>
      <c r="E21" s="693">
        <v>102.1</v>
      </c>
      <c r="F21" s="693">
        <v>2.1</v>
      </c>
    </row>
    <row r="22" spans="1:6" ht="24.95" customHeight="1">
      <c r="A22" s="658" t="s">
        <v>30</v>
      </c>
      <c r="B22" s="507" t="s">
        <v>29</v>
      </c>
      <c r="C22" s="693">
        <v>100.23</v>
      </c>
      <c r="D22" s="693">
        <v>0.23</v>
      </c>
      <c r="E22" s="693">
        <v>100.45</v>
      </c>
      <c r="F22" s="693">
        <v>0.45</v>
      </c>
    </row>
    <row r="23" spans="1:6" ht="24.95" customHeight="1">
      <c r="A23" s="658" t="s">
        <v>31</v>
      </c>
      <c r="B23" s="507" t="s">
        <v>32</v>
      </c>
      <c r="C23" s="692">
        <v>121.8509</v>
      </c>
      <c r="D23" s="693">
        <v>8.3800000000000008</v>
      </c>
      <c r="E23" s="692">
        <v>100.93049999999999</v>
      </c>
      <c r="F23" s="693">
        <v>6.91</v>
      </c>
    </row>
    <row r="24" spans="1:6" ht="24.95" customHeight="1">
      <c r="A24" s="666" t="s">
        <v>33</v>
      </c>
      <c r="B24" s="667" t="s">
        <v>32</v>
      </c>
      <c r="C24" s="694">
        <v>71.120599999999996</v>
      </c>
      <c r="D24" s="695">
        <v>3.23</v>
      </c>
      <c r="E24" s="694">
        <v>60.130800000000001</v>
      </c>
      <c r="F24" s="695">
        <v>2.6</v>
      </c>
    </row>
    <row r="25" spans="1:6">
      <c r="A25" s="670" t="s">
        <v>34</v>
      </c>
      <c r="B25" s="670"/>
      <c r="C25" s="684"/>
      <c r="D25" s="684"/>
    </row>
  </sheetData>
  <sheetProtection password="DC9E" sheet="1" objects="1" scenarios="1"/>
  <mergeCells count="5">
    <mergeCell ref="A1:F1"/>
    <mergeCell ref="C2:D2"/>
    <mergeCell ref="E2:F2"/>
    <mergeCell ref="A2:A3"/>
    <mergeCell ref="B2:B3"/>
  </mergeCells>
  <phoneticPr fontId="10" type="noConversion"/>
  <pageMargins left="0.75" right="0.75" top="1" bottom="1" header="0.5" footer="0.5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>
  <sheetPr enableFormatConditionsCalculation="0">
    <tabColor theme="5"/>
  </sheetPr>
  <dimension ref="A1:D44"/>
  <sheetViews>
    <sheetView workbookViewId="0">
      <selection activeCell="D10" sqref="D10"/>
    </sheetView>
  </sheetViews>
  <sheetFormatPr defaultColWidth="9" defaultRowHeight="14.25"/>
  <cols>
    <col min="1" max="1" width="42.125" style="44" customWidth="1"/>
    <col min="2" max="2" width="10.875" customWidth="1"/>
    <col min="3" max="3" width="13.125" style="332" customWidth="1"/>
    <col min="4" max="4" width="13.125" customWidth="1"/>
  </cols>
  <sheetData>
    <row r="1" spans="1:4" ht="24" customHeight="1">
      <c r="A1" s="746" t="s">
        <v>495</v>
      </c>
      <c r="B1" s="746"/>
      <c r="C1" s="746"/>
      <c r="D1" s="746"/>
    </row>
    <row r="2" spans="1:4" ht="11.1" customHeight="1">
      <c r="A2" s="333"/>
      <c r="B2" s="333"/>
      <c r="C2" s="748"/>
      <c r="D2" s="748"/>
    </row>
    <row r="3" spans="1:4" ht="15.95" customHeight="1">
      <c r="A3" s="894" t="s">
        <v>492</v>
      </c>
      <c r="B3" s="872" t="s">
        <v>49</v>
      </c>
      <c r="C3" s="294" t="s">
        <v>6</v>
      </c>
      <c r="D3" s="295" t="s">
        <v>466</v>
      </c>
    </row>
    <row r="4" spans="1:4" ht="15.95" customHeight="1">
      <c r="A4" s="334" t="s">
        <v>496</v>
      </c>
      <c r="B4" s="893"/>
      <c r="C4" s="335"/>
      <c r="D4" s="302"/>
    </row>
    <row r="5" spans="1:4" ht="15.95" customHeight="1">
      <c r="A5" s="895" t="s">
        <v>468</v>
      </c>
      <c r="B5" s="896">
        <v>98</v>
      </c>
      <c r="C5" s="299">
        <v>-0.7</v>
      </c>
      <c r="D5" s="279" t="s">
        <v>469</v>
      </c>
    </row>
    <row r="6" spans="1:4" ht="15.95" customHeight="1">
      <c r="A6" s="895" t="s">
        <v>470</v>
      </c>
      <c r="B6" s="896">
        <v>102.3</v>
      </c>
      <c r="C6" s="299">
        <v>-0.1</v>
      </c>
      <c r="D6" s="206">
        <v>7</v>
      </c>
    </row>
    <row r="7" spans="1:4" ht="15.95" customHeight="1">
      <c r="A7" s="897" t="s">
        <v>471</v>
      </c>
      <c r="B7" s="896">
        <v>104.2</v>
      </c>
      <c r="C7" s="299">
        <v>2</v>
      </c>
      <c r="D7" s="206">
        <v>3</v>
      </c>
    </row>
    <row r="8" spans="1:4" ht="15.95" customHeight="1">
      <c r="A8" s="835" t="s">
        <v>472</v>
      </c>
      <c r="B8" s="896">
        <v>100.7</v>
      </c>
      <c r="C8" s="299">
        <v>1</v>
      </c>
      <c r="D8" s="206">
        <v>4</v>
      </c>
    </row>
    <row r="9" spans="1:4" ht="15.95" customHeight="1">
      <c r="A9" s="897" t="s">
        <v>473</v>
      </c>
      <c r="B9" s="896">
        <v>86.2</v>
      </c>
      <c r="C9" s="299">
        <v>-3.5</v>
      </c>
      <c r="D9" s="206">
        <v>10</v>
      </c>
    </row>
    <row r="10" spans="1:4" ht="15.95" customHeight="1">
      <c r="A10" s="897" t="s">
        <v>475</v>
      </c>
      <c r="B10" s="896">
        <v>96.4</v>
      </c>
      <c r="C10" s="299">
        <v>-1.4</v>
      </c>
      <c r="D10" s="206">
        <v>8</v>
      </c>
    </row>
    <row r="11" spans="1:4" ht="15.95" customHeight="1">
      <c r="A11" s="870" t="s">
        <v>476</v>
      </c>
      <c r="B11" s="896">
        <v>100.8</v>
      </c>
      <c r="C11" s="299">
        <v>7.2</v>
      </c>
      <c r="D11" s="206">
        <v>1</v>
      </c>
    </row>
    <row r="12" spans="1:4" ht="15.95" customHeight="1">
      <c r="A12" s="870" t="s">
        <v>477</v>
      </c>
      <c r="B12" s="896">
        <v>93.8</v>
      </c>
      <c r="C12" s="299">
        <v>3.1</v>
      </c>
      <c r="D12" s="206">
        <v>2</v>
      </c>
    </row>
    <row r="13" spans="1:4" ht="15.95" customHeight="1">
      <c r="A13" s="870" t="s">
        <v>478</v>
      </c>
      <c r="B13" s="896">
        <v>100.2</v>
      </c>
      <c r="C13" s="299">
        <v>0.4</v>
      </c>
      <c r="D13" s="206">
        <v>5</v>
      </c>
    </row>
    <row r="14" spans="1:4" ht="15.95" customHeight="1">
      <c r="A14" s="870" t="s">
        <v>479</v>
      </c>
      <c r="B14" s="896">
        <v>96.9</v>
      </c>
      <c r="C14" s="299">
        <v>0.2</v>
      </c>
      <c r="D14" s="206">
        <v>6</v>
      </c>
    </row>
    <row r="15" spans="1:4" ht="15.95" customHeight="1">
      <c r="A15" s="897" t="s">
        <v>490</v>
      </c>
      <c r="B15" s="896">
        <v>94.8</v>
      </c>
      <c r="C15" s="299">
        <v>-2.2999999999999998</v>
      </c>
      <c r="D15" s="206">
        <v>9</v>
      </c>
    </row>
    <row r="16" spans="1:4" ht="15.95" customHeight="1">
      <c r="A16" s="337" t="s">
        <v>497</v>
      </c>
      <c r="B16" s="898"/>
      <c r="C16" s="299"/>
      <c r="D16" s="206"/>
    </row>
    <row r="17" spans="1:4" ht="15.95" customHeight="1">
      <c r="A17" s="895" t="s">
        <v>468</v>
      </c>
      <c r="B17" s="784">
        <v>110.6936</v>
      </c>
      <c r="C17" s="299">
        <v>-9.1999999999999993</v>
      </c>
      <c r="D17" s="279" t="s">
        <v>469</v>
      </c>
    </row>
    <row r="18" spans="1:4" ht="15.95" customHeight="1">
      <c r="A18" s="303" t="s">
        <v>470</v>
      </c>
      <c r="B18" s="99">
        <v>4.5651999999999999</v>
      </c>
      <c r="C18" s="299">
        <v>-3.2</v>
      </c>
      <c r="D18" s="206">
        <v>3</v>
      </c>
    </row>
    <row r="19" spans="1:4" ht="15.95" customHeight="1">
      <c r="A19" s="305" t="s">
        <v>471</v>
      </c>
      <c r="B19" s="99">
        <v>18.471</v>
      </c>
      <c r="C19" s="299">
        <v>-33.9</v>
      </c>
      <c r="D19" s="206">
        <v>10</v>
      </c>
    </row>
    <row r="20" spans="1:4" ht="15.95" customHeight="1">
      <c r="A20" s="306" t="s">
        <v>472</v>
      </c>
      <c r="B20" s="99">
        <v>19.275099999999998</v>
      </c>
      <c r="C20" s="299">
        <v>48.1</v>
      </c>
      <c r="D20" s="206">
        <v>1</v>
      </c>
    </row>
    <row r="21" spans="1:4" ht="15.95" customHeight="1">
      <c r="A21" s="305" t="s">
        <v>473</v>
      </c>
      <c r="B21" s="99">
        <v>6.0914000000000001</v>
      </c>
      <c r="C21" s="299">
        <v>-22.7</v>
      </c>
      <c r="D21" s="206">
        <v>9</v>
      </c>
    </row>
    <row r="22" spans="1:4" ht="15.95" customHeight="1">
      <c r="A22" s="305" t="s">
        <v>475</v>
      </c>
      <c r="B22" s="99">
        <v>3.8100999999999998</v>
      </c>
      <c r="C22" s="299">
        <v>-16.100000000000001</v>
      </c>
      <c r="D22" s="206">
        <v>6</v>
      </c>
    </row>
    <row r="23" spans="1:4" ht="15.95" customHeight="1">
      <c r="A23" s="305" t="s">
        <v>476</v>
      </c>
      <c r="B23" s="99">
        <v>0.3745</v>
      </c>
      <c r="C23" s="299">
        <v>-20.8</v>
      </c>
      <c r="D23" s="206">
        <v>8</v>
      </c>
    </row>
    <row r="24" spans="1:4" ht="15.95" customHeight="1">
      <c r="A24" s="285" t="s">
        <v>477</v>
      </c>
      <c r="B24" s="99">
        <v>4.3349000000000002</v>
      </c>
      <c r="C24" s="299">
        <v>-2.9</v>
      </c>
      <c r="D24" s="206">
        <v>2</v>
      </c>
    </row>
    <row r="25" spans="1:4" ht="15.95" customHeight="1">
      <c r="A25" s="285" t="s">
        <v>478</v>
      </c>
      <c r="B25" s="99">
        <v>10.909800000000001</v>
      </c>
      <c r="C25" s="299">
        <v>-15.7</v>
      </c>
      <c r="D25" s="206">
        <v>5</v>
      </c>
    </row>
    <row r="26" spans="1:4" ht="15.95" customHeight="1">
      <c r="A26" s="285" t="s">
        <v>479</v>
      </c>
      <c r="B26" s="99">
        <v>27.0242</v>
      </c>
      <c r="C26" s="299">
        <v>-19.899999999999999</v>
      </c>
      <c r="D26" s="206">
        <v>7</v>
      </c>
    </row>
    <row r="27" spans="1:4" ht="15.95" customHeight="1">
      <c r="A27" s="285" t="s">
        <v>490</v>
      </c>
      <c r="B27" s="99">
        <v>27.654699999999998</v>
      </c>
      <c r="C27" s="299">
        <v>-8.8000000000000007</v>
      </c>
      <c r="D27" s="206">
        <v>4</v>
      </c>
    </row>
    <row r="28" spans="1:4">
      <c r="A28" s="738"/>
      <c r="B28" s="738"/>
      <c r="C28" s="738"/>
      <c r="D28" s="738"/>
    </row>
    <row r="34" spans="1:1">
      <c r="A34" s="341"/>
    </row>
    <row r="35" spans="1:1">
      <c r="A35" s="341"/>
    </row>
    <row r="36" spans="1:1">
      <c r="A36" s="341"/>
    </row>
    <row r="37" spans="1:1">
      <c r="A37" s="342"/>
    </row>
    <row r="38" spans="1:1">
      <c r="A38" s="343"/>
    </row>
    <row r="39" spans="1:1">
      <c r="A39" s="343"/>
    </row>
    <row r="40" spans="1:1">
      <c r="A40" s="343"/>
    </row>
    <row r="41" spans="1:1">
      <c r="A41" s="343"/>
    </row>
    <row r="42" spans="1:1">
      <c r="A42" s="315"/>
    </row>
    <row r="43" spans="1:1">
      <c r="A43" s="51"/>
    </row>
    <row r="44" spans="1:1">
      <c r="A44" s="341"/>
    </row>
  </sheetData>
  <sheetProtection password="DC9E" sheet="1" objects="1" scenarios="1"/>
  <mergeCells count="3">
    <mergeCell ref="A1:D1"/>
    <mergeCell ref="C2:D2"/>
    <mergeCell ref="A28:D28"/>
  </mergeCells>
  <phoneticPr fontId="10" type="noConversion"/>
  <printOptions horizontalCentered="1"/>
  <pageMargins left="0.75" right="0.75" top="0.39" bottom="0.39" header="0.51" footer="0.51"/>
  <pageSetup paperSize="9" orientation="portrait"/>
  <headerFooter scaleWithDoc="0" alignWithMargins="0"/>
</worksheet>
</file>

<file path=xl/worksheets/sheet31.xml><?xml version="1.0" encoding="utf-8"?>
<worksheet xmlns="http://schemas.openxmlformats.org/spreadsheetml/2006/main" xmlns:r="http://schemas.openxmlformats.org/officeDocument/2006/relationships">
  <sheetPr enableFormatConditionsCalculation="0">
    <tabColor theme="5"/>
  </sheetPr>
  <dimension ref="A1:D44"/>
  <sheetViews>
    <sheetView workbookViewId="0">
      <selection activeCell="B3" sqref="B3"/>
    </sheetView>
  </sheetViews>
  <sheetFormatPr defaultColWidth="9" defaultRowHeight="14.25"/>
  <cols>
    <col min="1" max="1" width="41.5" style="44" customWidth="1"/>
    <col min="2" max="2" width="11.25" customWidth="1"/>
    <col min="3" max="3" width="13.125" style="332" customWidth="1"/>
    <col min="4" max="4" width="13.125" customWidth="1"/>
  </cols>
  <sheetData>
    <row r="1" spans="1:4" ht="21" customHeight="1">
      <c r="A1" s="746" t="s">
        <v>498</v>
      </c>
      <c r="B1" s="746"/>
      <c r="C1" s="746"/>
      <c r="D1" s="746"/>
    </row>
    <row r="2" spans="1:4" ht="14.1" customHeight="1">
      <c r="A2" s="333"/>
      <c r="B2" s="333"/>
      <c r="C2" s="738"/>
      <c r="D2" s="738"/>
    </row>
    <row r="3" spans="1:4" ht="17.100000000000001" customHeight="1">
      <c r="A3" s="292" t="s">
        <v>492</v>
      </c>
      <c r="B3" s="872" t="s">
        <v>117</v>
      </c>
      <c r="C3" s="356" t="s">
        <v>6</v>
      </c>
      <c r="D3" s="357" t="s">
        <v>466</v>
      </c>
    </row>
    <row r="4" spans="1:4" ht="17.100000000000001" customHeight="1">
      <c r="A4" s="358" t="s">
        <v>499</v>
      </c>
      <c r="B4" s="348"/>
      <c r="C4" s="359"/>
      <c r="D4" s="360"/>
    </row>
    <row r="5" spans="1:4" ht="17.100000000000001" customHeight="1">
      <c r="A5" s="303" t="s">
        <v>468</v>
      </c>
      <c r="B5" s="348">
        <v>466.51</v>
      </c>
      <c r="C5" s="299">
        <v>-19</v>
      </c>
      <c r="D5" s="279" t="s">
        <v>469</v>
      </c>
    </row>
    <row r="6" spans="1:4" ht="17.100000000000001" customHeight="1">
      <c r="A6" s="303" t="s">
        <v>470</v>
      </c>
      <c r="B6" s="348">
        <v>415.84</v>
      </c>
      <c r="C6" s="299">
        <v>29.8</v>
      </c>
      <c r="D6" s="206">
        <v>1</v>
      </c>
    </row>
    <row r="7" spans="1:4" ht="17.100000000000001" customHeight="1">
      <c r="A7" s="305" t="s">
        <v>471</v>
      </c>
      <c r="B7" s="348">
        <v>670.8</v>
      </c>
      <c r="C7" s="299">
        <v>-79.8</v>
      </c>
      <c r="D7" s="206">
        <v>9</v>
      </c>
    </row>
    <row r="8" spans="1:4" ht="17.100000000000001" customHeight="1">
      <c r="A8" s="306" t="s">
        <v>472</v>
      </c>
      <c r="B8" s="348">
        <v>1523.37</v>
      </c>
      <c r="C8" s="299">
        <v>-134.1</v>
      </c>
      <c r="D8" s="206">
        <v>10</v>
      </c>
    </row>
    <row r="9" spans="1:4" ht="17.100000000000001" customHeight="1">
      <c r="A9" s="305" t="s">
        <v>473</v>
      </c>
      <c r="B9" s="348">
        <v>274.81</v>
      </c>
      <c r="C9" s="299">
        <v>-22.2</v>
      </c>
      <c r="D9" s="206">
        <v>8</v>
      </c>
    </row>
    <row r="10" spans="1:4" ht="17.100000000000001" customHeight="1">
      <c r="A10" s="305" t="s">
        <v>475</v>
      </c>
      <c r="B10" s="348">
        <v>229.96</v>
      </c>
      <c r="C10" s="299">
        <v>8.4</v>
      </c>
      <c r="D10" s="206">
        <v>6</v>
      </c>
    </row>
    <row r="11" spans="1:4" ht="17.100000000000001" customHeight="1">
      <c r="A11" s="305" t="s">
        <v>476</v>
      </c>
      <c r="B11" s="348">
        <v>361.68</v>
      </c>
      <c r="C11" s="299">
        <v>12.2</v>
      </c>
      <c r="D11" s="206">
        <v>5</v>
      </c>
    </row>
    <row r="12" spans="1:4" ht="17.100000000000001" customHeight="1">
      <c r="A12" s="285" t="s">
        <v>477</v>
      </c>
      <c r="B12" s="348">
        <v>78.37</v>
      </c>
      <c r="C12" s="299">
        <v>1.1000000000000001</v>
      </c>
      <c r="D12" s="206">
        <v>7</v>
      </c>
    </row>
    <row r="13" spans="1:4" ht="17.100000000000001" customHeight="1">
      <c r="A13" s="285" t="s">
        <v>478</v>
      </c>
      <c r="B13" s="348">
        <v>174.52</v>
      </c>
      <c r="C13" s="299">
        <v>18.7</v>
      </c>
      <c r="D13" s="206">
        <v>2</v>
      </c>
    </row>
    <row r="14" spans="1:4" ht="17.100000000000001" customHeight="1">
      <c r="A14" s="285" t="s">
        <v>479</v>
      </c>
      <c r="B14" s="348">
        <v>262.02999999999997</v>
      </c>
      <c r="C14" s="299">
        <v>16.2</v>
      </c>
      <c r="D14" s="206">
        <v>4</v>
      </c>
    </row>
    <row r="15" spans="1:4" ht="17.100000000000001" customHeight="1">
      <c r="A15" s="361" t="s">
        <v>490</v>
      </c>
      <c r="B15" s="348">
        <v>632.34</v>
      </c>
      <c r="C15" s="299">
        <v>17.5</v>
      </c>
      <c r="D15" s="206">
        <v>3</v>
      </c>
    </row>
    <row r="16" spans="1:4" ht="17.100000000000001" customHeight="1">
      <c r="A16" s="362" t="s">
        <v>500</v>
      </c>
      <c r="B16" s="302"/>
      <c r="C16" s="335"/>
      <c r="D16" s="302"/>
    </row>
    <row r="17" spans="1:4" ht="17.100000000000001" customHeight="1">
      <c r="A17" s="303" t="s">
        <v>468</v>
      </c>
      <c r="B17" s="77">
        <v>874</v>
      </c>
      <c r="C17" s="299">
        <v>0</v>
      </c>
      <c r="D17" s="279" t="s">
        <v>469</v>
      </c>
    </row>
    <row r="18" spans="1:4" ht="17.100000000000001" customHeight="1">
      <c r="A18" s="303" t="s">
        <v>470</v>
      </c>
      <c r="B18" s="77">
        <v>30</v>
      </c>
      <c r="C18" s="299">
        <v>-9.1</v>
      </c>
      <c r="D18" s="279" t="s">
        <v>469</v>
      </c>
    </row>
    <row r="19" spans="1:4" ht="17.100000000000001" customHeight="1">
      <c r="A19" s="305" t="s">
        <v>471</v>
      </c>
      <c r="B19" s="77">
        <v>59</v>
      </c>
      <c r="C19" s="299">
        <v>-3.3</v>
      </c>
      <c r="D19" s="279" t="s">
        <v>469</v>
      </c>
    </row>
    <row r="20" spans="1:4" ht="17.100000000000001" customHeight="1">
      <c r="A20" s="306" t="s">
        <v>472</v>
      </c>
      <c r="B20" s="77">
        <v>65</v>
      </c>
      <c r="C20" s="299">
        <v>3.2</v>
      </c>
      <c r="D20" s="279" t="s">
        <v>469</v>
      </c>
    </row>
    <row r="21" spans="1:4" ht="17.100000000000001" customHeight="1">
      <c r="A21" s="305" t="s">
        <v>473</v>
      </c>
      <c r="B21" s="77">
        <v>68</v>
      </c>
      <c r="C21" s="299">
        <v>-2.9</v>
      </c>
      <c r="D21" s="279" t="s">
        <v>469</v>
      </c>
    </row>
    <row r="22" spans="1:4" ht="17.100000000000001" customHeight="1">
      <c r="A22" s="305" t="s">
        <v>475</v>
      </c>
      <c r="B22" s="77">
        <v>155</v>
      </c>
      <c r="C22" s="299">
        <v>8.4</v>
      </c>
      <c r="D22" s="279" t="s">
        <v>469</v>
      </c>
    </row>
    <row r="23" spans="1:4" ht="17.100000000000001" customHeight="1">
      <c r="A23" s="305" t="s">
        <v>476</v>
      </c>
      <c r="B23" s="77">
        <v>32</v>
      </c>
      <c r="C23" s="299">
        <v>18.5</v>
      </c>
      <c r="D23" s="279" t="s">
        <v>469</v>
      </c>
    </row>
    <row r="24" spans="1:4" ht="17.100000000000001" customHeight="1">
      <c r="A24" s="285" t="s">
        <v>477</v>
      </c>
      <c r="B24" s="77">
        <v>70</v>
      </c>
      <c r="C24" s="299">
        <v>9.4</v>
      </c>
      <c r="D24" s="279" t="s">
        <v>469</v>
      </c>
    </row>
    <row r="25" spans="1:4" ht="17.100000000000001" customHeight="1">
      <c r="A25" s="285" t="s">
        <v>478</v>
      </c>
      <c r="B25" s="77">
        <v>99</v>
      </c>
      <c r="C25" s="299">
        <v>-19.5</v>
      </c>
      <c r="D25" s="279" t="s">
        <v>469</v>
      </c>
    </row>
    <row r="26" spans="1:4" ht="17.100000000000001" customHeight="1">
      <c r="A26" s="285" t="s">
        <v>479</v>
      </c>
      <c r="B26" s="77">
        <v>264</v>
      </c>
      <c r="C26" s="299">
        <v>-0.4</v>
      </c>
      <c r="D26" s="279" t="s">
        <v>469</v>
      </c>
    </row>
    <row r="27" spans="1:4" ht="17.100000000000001" customHeight="1">
      <c r="A27" s="338" t="s">
        <v>490</v>
      </c>
      <c r="B27" s="363">
        <v>60</v>
      </c>
      <c r="C27" s="340">
        <v>9.1</v>
      </c>
      <c r="D27" s="364" t="s">
        <v>469</v>
      </c>
    </row>
    <row r="28" spans="1:4">
      <c r="A28" s="738"/>
      <c r="B28" s="738"/>
      <c r="C28" s="738"/>
      <c r="D28" s="738"/>
    </row>
    <row r="34" spans="1:1">
      <c r="A34" s="341"/>
    </row>
    <row r="35" spans="1:1">
      <c r="A35" s="341"/>
    </row>
    <row r="36" spans="1:1">
      <c r="A36" s="341"/>
    </row>
    <row r="37" spans="1:1">
      <c r="A37" s="342"/>
    </row>
    <row r="38" spans="1:1">
      <c r="A38" s="343"/>
    </row>
    <row r="39" spans="1:1">
      <c r="A39" s="343"/>
    </row>
    <row r="40" spans="1:1">
      <c r="A40" s="343"/>
    </row>
    <row r="41" spans="1:1">
      <c r="A41" s="343"/>
    </row>
    <row r="42" spans="1:1">
      <c r="A42" s="315"/>
    </row>
    <row r="43" spans="1:1">
      <c r="A43" s="51"/>
    </row>
    <row r="44" spans="1:1">
      <c r="A44" s="341"/>
    </row>
  </sheetData>
  <sheetProtection password="DC9E" sheet="1" objects="1" scenarios="1"/>
  <mergeCells count="3">
    <mergeCell ref="A1:D1"/>
    <mergeCell ref="C2:D2"/>
    <mergeCell ref="A28:D28"/>
  </mergeCells>
  <phoneticPr fontId="10" type="noConversion"/>
  <pageMargins left="0.75" right="0.75" top="0.59" bottom="0.59" header="0.51" footer="0.51"/>
  <pageSetup paperSize="9" orientation="portrait" verticalDpi="0"/>
  <headerFooter scaleWithDoc="0" alignWithMargins="0"/>
</worksheet>
</file>

<file path=xl/worksheets/sheet32.xml><?xml version="1.0" encoding="utf-8"?>
<worksheet xmlns="http://schemas.openxmlformats.org/spreadsheetml/2006/main" xmlns:r="http://schemas.openxmlformats.org/officeDocument/2006/relationships">
  <sheetPr enableFormatConditionsCalculation="0">
    <tabColor theme="5"/>
  </sheetPr>
  <dimension ref="A1:D44"/>
  <sheetViews>
    <sheetView zoomScale="90" workbookViewId="0">
      <selection activeCell="H13" sqref="H13"/>
    </sheetView>
  </sheetViews>
  <sheetFormatPr defaultColWidth="9" defaultRowHeight="14.25"/>
  <cols>
    <col min="1" max="1" width="41.5" style="44" customWidth="1"/>
    <col min="2" max="2" width="11.25" customWidth="1"/>
    <col min="3" max="3" width="13.125" style="332" customWidth="1"/>
    <col min="4" max="4" width="13.125" customWidth="1"/>
  </cols>
  <sheetData>
    <row r="1" spans="1:4" ht="24.95" customHeight="1">
      <c r="A1" s="746" t="s">
        <v>501</v>
      </c>
      <c r="B1" s="746"/>
      <c r="C1" s="746"/>
      <c r="D1" s="746"/>
    </row>
    <row r="2" spans="1:4" ht="20.25" customHeight="1">
      <c r="A2" s="333"/>
      <c r="B2" s="333"/>
      <c r="C2" s="738"/>
      <c r="D2" s="738"/>
    </row>
    <row r="3" spans="1:4" ht="28.5" customHeight="1">
      <c r="A3" s="894" t="s">
        <v>492</v>
      </c>
      <c r="B3" s="872" t="s">
        <v>117</v>
      </c>
      <c r="C3" s="356" t="s">
        <v>6</v>
      </c>
      <c r="D3" s="357" t="s">
        <v>466</v>
      </c>
    </row>
    <row r="4" spans="1:4" ht="18" customHeight="1">
      <c r="A4" s="358" t="s">
        <v>502</v>
      </c>
      <c r="B4" s="900"/>
      <c r="C4" s="345"/>
      <c r="D4" s="206"/>
    </row>
    <row r="5" spans="1:4" ht="18" customHeight="1">
      <c r="A5" s="895" t="s">
        <v>468</v>
      </c>
      <c r="B5" s="902">
        <v>148</v>
      </c>
      <c r="C5" s="299">
        <v>2.1</v>
      </c>
      <c r="D5" s="279" t="s">
        <v>469</v>
      </c>
    </row>
    <row r="6" spans="1:4" ht="18" customHeight="1">
      <c r="A6" s="895" t="s">
        <v>470</v>
      </c>
      <c r="B6" s="902">
        <v>10</v>
      </c>
      <c r="C6" s="299">
        <v>0</v>
      </c>
      <c r="D6" s="206">
        <v>5</v>
      </c>
    </row>
    <row r="7" spans="1:4" ht="18" customHeight="1">
      <c r="A7" s="897" t="s">
        <v>471</v>
      </c>
      <c r="B7" s="902">
        <v>17</v>
      </c>
      <c r="C7" s="299">
        <v>0</v>
      </c>
      <c r="D7" s="206">
        <v>5</v>
      </c>
    </row>
    <row r="8" spans="1:4" ht="18" customHeight="1">
      <c r="A8" s="835" t="s">
        <v>472</v>
      </c>
      <c r="B8" s="902">
        <v>15</v>
      </c>
      <c r="C8" s="299">
        <v>-25</v>
      </c>
      <c r="D8" s="206">
        <v>10</v>
      </c>
    </row>
    <row r="9" spans="1:4" ht="18" customHeight="1">
      <c r="A9" s="897" t="s">
        <v>473</v>
      </c>
      <c r="B9" s="902">
        <v>23</v>
      </c>
      <c r="C9" s="299">
        <v>15</v>
      </c>
      <c r="D9" s="206">
        <v>3</v>
      </c>
    </row>
    <row r="10" spans="1:4" ht="18" customHeight="1">
      <c r="A10" s="897" t="s">
        <v>475</v>
      </c>
      <c r="B10" s="902">
        <v>4</v>
      </c>
      <c r="C10" s="299">
        <v>100</v>
      </c>
      <c r="D10" s="206">
        <v>1</v>
      </c>
    </row>
    <row r="11" spans="1:4" ht="18" customHeight="1">
      <c r="A11" s="897" t="s">
        <v>476</v>
      </c>
      <c r="B11" s="902">
        <v>13</v>
      </c>
      <c r="C11" s="299">
        <v>30</v>
      </c>
      <c r="D11" s="206">
        <v>2</v>
      </c>
    </row>
    <row r="12" spans="1:4" ht="18" customHeight="1">
      <c r="A12" s="870" t="s">
        <v>477</v>
      </c>
      <c r="B12" s="902">
        <v>14</v>
      </c>
      <c r="C12" s="299">
        <v>0</v>
      </c>
      <c r="D12" s="206">
        <v>5</v>
      </c>
    </row>
    <row r="13" spans="1:4" ht="18" customHeight="1">
      <c r="A13" s="870" t="s">
        <v>478</v>
      </c>
      <c r="B13" s="902">
        <v>32</v>
      </c>
      <c r="C13" s="299">
        <v>6.7</v>
      </c>
      <c r="D13" s="206">
        <v>4</v>
      </c>
    </row>
    <row r="14" spans="1:4" ht="18" customHeight="1">
      <c r="A14" s="870" t="s">
        <v>479</v>
      </c>
      <c r="B14" s="902">
        <v>17</v>
      </c>
      <c r="C14" s="299">
        <v>-5.6</v>
      </c>
      <c r="D14" s="206">
        <v>8</v>
      </c>
    </row>
    <row r="15" spans="1:4" ht="18" customHeight="1">
      <c r="A15" s="870" t="s">
        <v>490</v>
      </c>
      <c r="B15" s="902">
        <v>13</v>
      </c>
      <c r="C15" s="299">
        <v>-13.3</v>
      </c>
      <c r="D15" s="206">
        <v>9</v>
      </c>
    </row>
    <row r="16" spans="1:4" ht="22.5" customHeight="1">
      <c r="A16" s="358" t="s">
        <v>503</v>
      </c>
      <c r="B16" s="902"/>
      <c r="C16" s="299"/>
      <c r="D16" s="206"/>
    </row>
    <row r="17" spans="1:4" ht="18" customHeight="1">
      <c r="A17" s="895" t="s">
        <v>468</v>
      </c>
      <c r="B17" s="784">
        <v>1476.8435999999999</v>
      </c>
      <c r="C17" s="299">
        <v>-5.0999999999999996</v>
      </c>
      <c r="D17" s="279" t="s">
        <v>469</v>
      </c>
    </row>
    <row r="18" spans="1:4" ht="18" customHeight="1">
      <c r="A18" s="303" t="s">
        <v>470</v>
      </c>
      <c r="B18" s="99">
        <v>67.102900000000005</v>
      </c>
      <c r="C18" s="299">
        <v>-1</v>
      </c>
      <c r="D18" s="206">
        <v>6</v>
      </c>
    </row>
    <row r="19" spans="1:4" ht="18" customHeight="1">
      <c r="A19" s="305" t="s">
        <v>471</v>
      </c>
      <c r="B19" s="99">
        <v>351.7122</v>
      </c>
      <c r="C19" s="299">
        <v>-10.9</v>
      </c>
      <c r="D19" s="206">
        <v>9</v>
      </c>
    </row>
    <row r="20" spans="1:4" ht="18" customHeight="1">
      <c r="A20" s="306" t="s">
        <v>472</v>
      </c>
      <c r="B20" s="99">
        <v>176.17179999999999</v>
      </c>
      <c r="C20" s="299">
        <v>1</v>
      </c>
      <c r="D20" s="206">
        <v>5</v>
      </c>
    </row>
    <row r="21" spans="1:4" ht="18" customHeight="1">
      <c r="A21" s="305" t="s">
        <v>473</v>
      </c>
      <c r="B21" s="99">
        <v>141.98089999999999</v>
      </c>
      <c r="C21" s="299">
        <v>9.8000000000000007</v>
      </c>
      <c r="D21" s="206">
        <v>3</v>
      </c>
    </row>
    <row r="22" spans="1:4" ht="18" customHeight="1">
      <c r="A22" s="305" t="s">
        <v>475</v>
      </c>
      <c r="B22" s="99">
        <v>82.548900000000003</v>
      </c>
      <c r="C22" s="299">
        <v>-23.9</v>
      </c>
      <c r="D22" s="206">
        <v>10</v>
      </c>
    </row>
    <row r="23" spans="1:4" ht="18" customHeight="1">
      <c r="A23" s="305" t="s">
        <v>476</v>
      </c>
      <c r="B23" s="99">
        <v>19.128900000000002</v>
      </c>
      <c r="C23" s="299">
        <v>12.2</v>
      </c>
      <c r="D23" s="206">
        <v>2</v>
      </c>
    </row>
    <row r="24" spans="1:4" ht="18" customHeight="1">
      <c r="A24" s="285" t="s">
        <v>477</v>
      </c>
      <c r="B24" s="99">
        <v>51.683700000000002</v>
      </c>
      <c r="C24" s="299">
        <v>13.3</v>
      </c>
      <c r="D24" s="206">
        <v>1</v>
      </c>
    </row>
    <row r="25" spans="1:4" ht="18" customHeight="1">
      <c r="A25" s="285" t="s">
        <v>478</v>
      </c>
      <c r="B25" s="99">
        <v>112.1936</v>
      </c>
      <c r="C25" s="299">
        <v>4.5</v>
      </c>
      <c r="D25" s="206">
        <v>4</v>
      </c>
    </row>
    <row r="26" spans="1:4" ht="18" customHeight="1">
      <c r="A26" s="285" t="s">
        <v>479</v>
      </c>
      <c r="B26" s="99">
        <v>181.57</v>
      </c>
      <c r="C26" s="299">
        <v>-10.8</v>
      </c>
      <c r="D26" s="206">
        <v>8</v>
      </c>
    </row>
    <row r="27" spans="1:4" ht="18" customHeight="1">
      <c r="A27" s="289" t="s">
        <v>490</v>
      </c>
      <c r="B27" s="353">
        <v>4574.8051999999998</v>
      </c>
      <c r="C27" s="340">
        <v>-1.4</v>
      </c>
      <c r="D27" s="207">
        <v>7</v>
      </c>
    </row>
    <row r="28" spans="1:4">
      <c r="A28" s="738"/>
      <c r="B28" s="738"/>
      <c r="C28" s="738"/>
      <c r="D28" s="738"/>
    </row>
    <row r="34" spans="1:1">
      <c r="A34" s="341"/>
    </row>
    <row r="35" spans="1:1">
      <c r="A35" s="341"/>
    </row>
    <row r="36" spans="1:1">
      <c r="A36" s="341"/>
    </row>
    <row r="37" spans="1:1">
      <c r="A37" s="342"/>
    </row>
    <row r="38" spans="1:1">
      <c r="A38" s="343"/>
    </row>
    <row r="39" spans="1:1">
      <c r="A39" s="343"/>
    </row>
    <row r="40" spans="1:1">
      <c r="A40" s="343"/>
    </row>
    <row r="41" spans="1:1">
      <c r="A41" s="343"/>
    </row>
    <row r="42" spans="1:1">
      <c r="A42" s="315"/>
    </row>
    <row r="43" spans="1:1">
      <c r="A43" s="51"/>
    </row>
    <row r="44" spans="1:1">
      <c r="A44" s="341"/>
    </row>
  </sheetData>
  <sheetProtection password="DC9E" sheet="1" objects="1" scenarios="1"/>
  <mergeCells count="3">
    <mergeCell ref="A1:D1"/>
    <mergeCell ref="C2:D2"/>
    <mergeCell ref="A28:D28"/>
  </mergeCells>
  <phoneticPr fontId="10" type="noConversion"/>
  <pageMargins left="0.75" right="0.75" top="0.59" bottom="0.59" header="0.51" footer="0.51"/>
  <pageSetup paperSize="9" orientation="portrait" verticalDpi="0"/>
  <headerFooter scaleWithDoc="0" alignWithMargins="0"/>
</worksheet>
</file>

<file path=xl/worksheets/sheet33.xml><?xml version="1.0" encoding="utf-8"?>
<worksheet xmlns="http://schemas.openxmlformats.org/spreadsheetml/2006/main" xmlns:r="http://schemas.openxmlformats.org/officeDocument/2006/relationships">
  <sheetPr enableFormatConditionsCalculation="0">
    <tabColor theme="5"/>
  </sheetPr>
  <dimension ref="A1:E44"/>
  <sheetViews>
    <sheetView zoomScale="90" workbookViewId="0">
      <selection activeCell="G4" sqref="G4"/>
    </sheetView>
  </sheetViews>
  <sheetFormatPr defaultColWidth="9" defaultRowHeight="14.25"/>
  <cols>
    <col min="1" max="1" width="39" style="44" customWidth="1"/>
    <col min="2" max="2" width="13.125" customWidth="1"/>
    <col min="3" max="3" width="13.125" style="332" customWidth="1"/>
    <col min="4" max="4" width="13.125" customWidth="1"/>
    <col min="5" max="5" width="9.75" bestFit="1" customWidth="1"/>
  </cols>
  <sheetData>
    <row r="1" spans="1:5" ht="18.95" customHeight="1">
      <c r="A1" s="746" t="s">
        <v>504</v>
      </c>
      <c r="B1" s="746"/>
      <c r="C1" s="746"/>
      <c r="D1" s="746"/>
    </row>
    <row r="2" spans="1:5" ht="20.25" customHeight="1">
      <c r="A2" s="333"/>
      <c r="B2" s="333"/>
      <c r="C2" s="333"/>
      <c r="D2" s="899" t="s">
        <v>483</v>
      </c>
    </row>
    <row r="3" spans="1:5" ht="28.5" customHeight="1">
      <c r="A3" s="292" t="s">
        <v>492</v>
      </c>
      <c r="B3" s="872" t="s">
        <v>117</v>
      </c>
      <c r="C3" s="294" t="s">
        <v>6</v>
      </c>
      <c r="D3" s="295" t="s">
        <v>466</v>
      </c>
      <c r="E3" s="45"/>
    </row>
    <row r="4" spans="1:5" ht="18" customHeight="1">
      <c r="A4" s="334" t="s">
        <v>505</v>
      </c>
      <c r="B4" s="893"/>
      <c r="C4" s="905"/>
      <c r="D4" s="893"/>
      <c r="E4" s="45"/>
    </row>
    <row r="5" spans="1:5" ht="18" customHeight="1">
      <c r="A5" s="303" t="s">
        <v>468</v>
      </c>
      <c r="B5" s="784">
        <v>115.1831</v>
      </c>
      <c r="C5" s="903">
        <v>-33.1</v>
      </c>
      <c r="D5" s="904" t="s">
        <v>469</v>
      </c>
      <c r="E5" s="45"/>
    </row>
    <row r="6" spans="1:5" ht="18" customHeight="1">
      <c r="A6" s="303" t="s">
        <v>470</v>
      </c>
      <c r="B6" s="784">
        <v>7.1616999999999997</v>
      </c>
      <c r="C6" s="903">
        <v>66.400000000000006</v>
      </c>
      <c r="D6" s="901">
        <v>1</v>
      </c>
      <c r="E6" s="45"/>
    </row>
    <row r="7" spans="1:5" ht="18" customHeight="1">
      <c r="A7" s="305" t="s">
        <v>471</v>
      </c>
      <c r="B7" s="784">
        <v>9.3553999999999995</v>
      </c>
      <c r="C7" s="903">
        <v>-59.3</v>
      </c>
      <c r="D7" s="901">
        <v>10</v>
      </c>
      <c r="E7" s="45"/>
    </row>
    <row r="8" spans="1:5" ht="18" customHeight="1">
      <c r="A8" s="306" t="s">
        <v>472</v>
      </c>
      <c r="B8" s="99">
        <v>56.559199999999997</v>
      </c>
      <c r="C8" s="299">
        <v>-22.7</v>
      </c>
      <c r="D8" s="206">
        <v>7</v>
      </c>
      <c r="E8" s="45"/>
    </row>
    <row r="9" spans="1:5" ht="18" customHeight="1">
      <c r="A9" s="305" t="s">
        <v>473</v>
      </c>
      <c r="B9" s="99">
        <v>10.963900000000001</v>
      </c>
      <c r="C9" s="299">
        <v>-30.1</v>
      </c>
      <c r="D9" s="206">
        <v>8</v>
      </c>
      <c r="E9" s="45"/>
    </row>
    <row r="10" spans="1:5" ht="18" customHeight="1">
      <c r="A10" s="305" t="s">
        <v>475</v>
      </c>
      <c r="B10" s="99">
        <v>2.1497000000000002</v>
      </c>
      <c r="C10" s="299">
        <v>-4.9000000000000004</v>
      </c>
      <c r="D10" s="206">
        <v>3</v>
      </c>
      <c r="E10" s="45"/>
    </row>
    <row r="11" spans="1:5" ht="18" customHeight="1">
      <c r="A11" s="305" t="s">
        <v>476</v>
      </c>
      <c r="B11" s="99">
        <v>1.6589</v>
      </c>
      <c r="C11" s="299">
        <v>-9</v>
      </c>
      <c r="D11" s="206">
        <v>5</v>
      </c>
      <c r="E11" s="45"/>
    </row>
    <row r="12" spans="1:5" ht="18" customHeight="1">
      <c r="A12" s="285" t="s">
        <v>477</v>
      </c>
      <c r="B12" s="99">
        <v>1.1169</v>
      </c>
      <c r="C12" s="299">
        <v>-9.8000000000000007</v>
      </c>
      <c r="D12" s="206">
        <v>6</v>
      </c>
      <c r="E12" s="45"/>
    </row>
    <row r="13" spans="1:5" ht="18" customHeight="1">
      <c r="A13" s="285" t="s">
        <v>478</v>
      </c>
      <c r="B13" s="99">
        <v>1.2518</v>
      </c>
      <c r="C13" s="299">
        <v>40.6</v>
      </c>
      <c r="D13" s="206">
        <v>2</v>
      </c>
      <c r="E13" s="45"/>
    </row>
    <row r="14" spans="1:5" ht="18" customHeight="1">
      <c r="A14" s="285" t="s">
        <v>479</v>
      </c>
      <c r="B14" s="99">
        <v>4.4377000000000004</v>
      </c>
      <c r="C14" s="299">
        <v>-6.3</v>
      </c>
      <c r="D14" s="206">
        <v>4</v>
      </c>
      <c r="E14" s="45"/>
    </row>
    <row r="15" spans="1:5" ht="18" customHeight="1">
      <c r="A15" s="285" t="s">
        <v>490</v>
      </c>
      <c r="B15" s="99">
        <v>343.1413</v>
      </c>
      <c r="C15" s="299">
        <v>-44.9</v>
      </c>
      <c r="D15" s="206">
        <v>9</v>
      </c>
      <c r="E15" s="45"/>
    </row>
    <row r="16" spans="1:5" ht="18" customHeight="1">
      <c r="A16" s="337" t="s">
        <v>506</v>
      </c>
      <c r="B16" s="99"/>
      <c r="C16" s="299"/>
      <c r="D16" s="206"/>
    </row>
    <row r="17" spans="1:4" ht="18" customHeight="1">
      <c r="A17" s="303" t="s">
        <v>468</v>
      </c>
      <c r="B17" s="99">
        <v>9.5900999999999996</v>
      </c>
      <c r="C17" s="299">
        <v>0.2</v>
      </c>
      <c r="D17" s="279" t="s">
        <v>469</v>
      </c>
    </row>
    <row r="18" spans="1:4" ht="18" customHeight="1">
      <c r="A18" s="303" t="s">
        <v>470</v>
      </c>
      <c r="B18" s="99">
        <v>0.1014</v>
      </c>
      <c r="C18" s="299">
        <v>-92.1</v>
      </c>
      <c r="D18" s="206">
        <v>10</v>
      </c>
    </row>
    <row r="19" spans="1:4" ht="18" customHeight="1">
      <c r="A19" s="305" t="s">
        <v>471</v>
      </c>
      <c r="B19" s="99">
        <v>3.4824000000000002</v>
      </c>
      <c r="C19" s="299">
        <v>43.2</v>
      </c>
      <c r="D19" s="206">
        <v>4</v>
      </c>
    </row>
    <row r="20" spans="1:4" ht="18" customHeight="1">
      <c r="A20" s="306" t="s">
        <v>472</v>
      </c>
      <c r="B20" s="99">
        <v>1.2486999999999999</v>
      </c>
      <c r="C20" s="299">
        <v>44.7</v>
      </c>
      <c r="D20" s="206">
        <v>3</v>
      </c>
    </row>
    <row r="21" spans="1:4" ht="18" customHeight="1">
      <c r="A21" s="305" t="s">
        <v>473</v>
      </c>
      <c r="B21" s="99">
        <v>1.0857000000000001</v>
      </c>
      <c r="C21" s="299">
        <v>287.3</v>
      </c>
      <c r="D21" s="206">
        <v>1</v>
      </c>
    </row>
    <row r="22" spans="1:4" ht="18" customHeight="1">
      <c r="A22" s="305" t="s">
        <v>475</v>
      </c>
      <c r="B22" s="99">
        <v>1.46E-2</v>
      </c>
      <c r="C22" s="299">
        <v>139.30000000000001</v>
      </c>
      <c r="D22" s="206">
        <v>2</v>
      </c>
    </row>
    <row r="23" spans="1:4" ht="18" customHeight="1">
      <c r="A23" s="305" t="s">
        <v>476</v>
      </c>
      <c r="B23" s="99">
        <v>0.37919999999999998</v>
      </c>
      <c r="C23" s="299">
        <v>-46.4</v>
      </c>
      <c r="D23" s="206">
        <v>8</v>
      </c>
    </row>
    <row r="24" spans="1:4" ht="18" customHeight="1">
      <c r="A24" s="285" t="s">
        <v>477</v>
      </c>
      <c r="B24" s="99">
        <v>0.60680000000000001</v>
      </c>
      <c r="C24" s="299">
        <v>-27.2</v>
      </c>
      <c r="D24" s="206">
        <v>7</v>
      </c>
    </row>
    <row r="25" spans="1:4" ht="18" customHeight="1">
      <c r="A25" s="285" t="s">
        <v>478</v>
      </c>
      <c r="B25" s="99">
        <v>2.0122</v>
      </c>
      <c r="C25" s="299">
        <v>-24.9</v>
      </c>
      <c r="D25" s="206">
        <v>6</v>
      </c>
    </row>
    <row r="26" spans="1:4" ht="18" customHeight="1">
      <c r="A26" s="285" t="s">
        <v>479</v>
      </c>
      <c r="B26" s="99">
        <v>0.55889999999999995</v>
      </c>
      <c r="C26" s="299">
        <v>25</v>
      </c>
      <c r="D26" s="206">
        <v>5</v>
      </c>
    </row>
    <row r="27" spans="1:4" ht="18" customHeight="1">
      <c r="A27" s="338" t="s">
        <v>490</v>
      </c>
      <c r="B27" s="353">
        <v>2.8346</v>
      </c>
      <c r="C27" s="340">
        <v>-64.5</v>
      </c>
      <c r="D27" s="206">
        <v>9</v>
      </c>
    </row>
    <row r="28" spans="1:4">
      <c r="A28" s="738"/>
      <c r="B28" s="738"/>
      <c r="C28" s="738"/>
      <c r="D28" s="738"/>
    </row>
    <row r="34" spans="1:1">
      <c r="A34" s="341"/>
    </row>
    <row r="35" spans="1:1">
      <c r="A35" s="341"/>
    </row>
    <row r="36" spans="1:1">
      <c r="A36" s="341"/>
    </row>
    <row r="37" spans="1:1">
      <c r="A37" s="342"/>
    </row>
    <row r="38" spans="1:1">
      <c r="A38" s="343"/>
    </row>
    <row r="39" spans="1:1">
      <c r="A39" s="343"/>
    </row>
    <row r="40" spans="1:1">
      <c r="A40" s="343"/>
    </row>
    <row r="41" spans="1:1">
      <c r="A41" s="343"/>
    </row>
    <row r="42" spans="1:1">
      <c r="A42" s="315"/>
    </row>
    <row r="43" spans="1:1">
      <c r="A43" s="51"/>
    </row>
    <row r="44" spans="1:1">
      <c r="A44" s="341"/>
    </row>
  </sheetData>
  <sheetProtection password="DC9E" sheet="1" objects="1" scenarios="1"/>
  <mergeCells count="2">
    <mergeCell ref="A1:D1"/>
    <mergeCell ref="A28:D28"/>
  </mergeCells>
  <phoneticPr fontId="10" type="noConversion"/>
  <pageMargins left="0.75" right="0.75" top="0.59" bottom="0.59" header="0.51" footer="0.51"/>
  <pageSetup paperSize="9" orientation="portrait" verticalDpi="0"/>
  <headerFooter scaleWithDoc="0" alignWithMargins="0"/>
</worksheet>
</file>

<file path=xl/worksheets/sheet34.xml><?xml version="1.0" encoding="utf-8"?>
<worksheet xmlns="http://schemas.openxmlformats.org/spreadsheetml/2006/main" xmlns:r="http://schemas.openxmlformats.org/officeDocument/2006/relationships">
  <sheetPr enableFormatConditionsCalculation="0">
    <tabColor theme="5"/>
  </sheetPr>
  <dimension ref="A1:E44"/>
  <sheetViews>
    <sheetView workbookViewId="0">
      <selection activeCell="B2" sqref="B2:D3"/>
    </sheetView>
  </sheetViews>
  <sheetFormatPr defaultColWidth="9" defaultRowHeight="14.25"/>
  <cols>
    <col min="1" max="1" width="39" style="44" customWidth="1"/>
    <col min="2" max="2" width="13.125" customWidth="1"/>
    <col min="3" max="3" width="13.125" style="332" customWidth="1"/>
    <col min="4" max="4" width="13.125" customWidth="1"/>
    <col min="5" max="5" width="9.75" bestFit="1" customWidth="1"/>
  </cols>
  <sheetData>
    <row r="1" spans="1:5" ht="20.100000000000001" customHeight="1">
      <c r="A1" s="746" t="s">
        <v>507</v>
      </c>
      <c r="B1" s="746"/>
      <c r="C1" s="746"/>
      <c r="D1" s="746"/>
    </row>
    <row r="2" spans="1:5" ht="15" customHeight="1">
      <c r="A2" s="333"/>
      <c r="B2" s="333"/>
      <c r="C2" s="333"/>
      <c r="D2" s="899" t="s">
        <v>483</v>
      </c>
    </row>
    <row r="3" spans="1:5" ht="17.100000000000001" customHeight="1">
      <c r="A3" s="292" t="s">
        <v>492</v>
      </c>
      <c r="B3" s="872" t="s">
        <v>117</v>
      </c>
      <c r="C3" s="294" t="s">
        <v>6</v>
      </c>
      <c r="D3" s="295" t="s">
        <v>466</v>
      </c>
      <c r="E3" s="45"/>
    </row>
    <row r="4" spans="1:5" ht="17.100000000000001" customHeight="1">
      <c r="A4" s="337" t="s">
        <v>508</v>
      </c>
      <c r="B4" s="344"/>
      <c r="C4" s="345"/>
      <c r="D4" s="206"/>
      <c r="E4" s="45"/>
    </row>
    <row r="5" spans="1:5" ht="17.100000000000001" customHeight="1">
      <c r="A5" s="303" t="s">
        <v>468</v>
      </c>
      <c r="B5" s="99">
        <v>214.53550000000001</v>
      </c>
      <c r="C5" s="299">
        <v>-29.4</v>
      </c>
      <c r="D5" s="279" t="s">
        <v>469</v>
      </c>
      <c r="E5" s="45"/>
    </row>
    <row r="6" spans="1:5" ht="17.100000000000001" customHeight="1">
      <c r="A6" s="303" t="s">
        <v>470</v>
      </c>
      <c r="B6" s="99">
        <v>18.512899999999998</v>
      </c>
      <c r="C6" s="299">
        <v>18.7</v>
      </c>
      <c r="D6" s="206">
        <v>1</v>
      </c>
      <c r="E6" s="45"/>
    </row>
    <row r="7" spans="1:5" ht="17.100000000000001" customHeight="1">
      <c r="A7" s="305" t="s">
        <v>471</v>
      </c>
      <c r="B7" s="99">
        <v>56.040199999999999</v>
      </c>
      <c r="C7" s="299">
        <v>-38.700000000000003</v>
      </c>
      <c r="D7" s="206">
        <v>9</v>
      </c>
      <c r="E7" s="45"/>
    </row>
    <row r="8" spans="1:5" ht="17.100000000000001" customHeight="1">
      <c r="A8" s="306" t="s">
        <v>472</v>
      </c>
      <c r="B8" s="99">
        <v>78.2196</v>
      </c>
      <c r="C8" s="299">
        <v>-21.4</v>
      </c>
      <c r="D8" s="206">
        <v>8</v>
      </c>
      <c r="E8" s="45"/>
    </row>
    <row r="9" spans="1:5" ht="17.100000000000001" customHeight="1">
      <c r="A9" s="305" t="s">
        <v>473</v>
      </c>
      <c r="B9" s="99">
        <v>15.3193</v>
      </c>
      <c r="C9" s="299">
        <v>-17.600000000000001</v>
      </c>
      <c r="D9" s="206">
        <v>7</v>
      </c>
      <c r="E9" s="45"/>
    </row>
    <row r="10" spans="1:5" ht="17.100000000000001" customHeight="1">
      <c r="A10" s="305" t="s">
        <v>475</v>
      </c>
      <c r="B10" s="99">
        <v>3.9956</v>
      </c>
      <c r="C10" s="299">
        <v>1.1000000000000001</v>
      </c>
      <c r="D10" s="206">
        <v>4</v>
      </c>
      <c r="E10" s="45"/>
    </row>
    <row r="11" spans="1:5" ht="17.100000000000001" customHeight="1">
      <c r="A11" s="305" t="s">
        <v>476</v>
      </c>
      <c r="B11" s="99">
        <v>1.8347</v>
      </c>
      <c r="C11" s="299">
        <v>-13.3</v>
      </c>
      <c r="D11" s="206">
        <v>5</v>
      </c>
      <c r="E11" s="45"/>
    </row>
    <row r="12" spans="1:5" ht="17.100000000000001" customHeight="1">
      <c r="A12" s="285" t="s">
        <v>477</v>
      </c>
      <c r="B12" s="99">
        <v>1.5650999999999999</v>
      </c>
      <c r="C12" s="299">
        <v>-17.399999999999999</v>
      </c>
      <c r="D12" s="206">
        <v>6</v>
      </c>
      <c r="E12" s="45"/>
    </row>
    <row r="13" spans="1:5" ht="17.100000000000001" customHeight="1">
      <c r="A13" s="285" t="s">
        <v>478</v>
      </c>
      <c r="B13" s="99">
        <v>3.2147999999999999</v>
      </c>
      <c r="C13" s="299">
        <v>9.5</v>
      </c>
      <c r="D13" s="206">
        <v>2</v>
      </c>
      <c r="E13" s="45"/>
    </row>
    <row r="14" spans="1:5" ht="17.100000000000001" customHeight="1">
      <c r="A14" s="285" t="s">
        <v>479</v>
      </c>
      <c r="B14" s="99">
        <v>7.8475999999999999</v>
      </c>
      <c r="C14" s="299">
        <v>1.2</v>
      </c>
      <c r="D14" s="206">
        <v>3</v>
      </c>
      <c r="E14" s="45"/>
    </row>
    <row r="15" spans="1:5" ht="17.100000000000001" customHeight="1">
      <c r="A15" s="285" t="s">
        <v>490</v>
      </c>
      <c r="B15" s="99">
        <v>470.73410000000001</v>
      </c>
      <c r="C15" s="299">
        <v>-42.1</v>
      </c>
      <c r="D15" s="206">
        <v>10</v>
      </c>
      <c r="E15" s="45"/>
    </row>
    <row r="16" spans="1:5" ht="17.100000000000001" customHeight="1">
      <c r="A16" s="334" t="s">
        <v>509</v>
      </c>
      <c r="B16" s="99"/>
      <c r="C16" s="335"/>
      <c r="D16" s="302"/>
      <c r="E16" s="45"/>
    </row>
    <row r="17" spans="1:5" ht="17.100000000000001" customHeight="1">
      <c r="A17" s="303" t="s">
        <v>468</v>
      </c>
      <c r="B17" s="99">
        <v>2796.0266999999999</v>
      </c>
      <c r="C17" s="299">
        <v>0.3</v>
      </c>
      <c r="D17" s="279" t="s">
        <v>469</v>
      </c>
      <c r="E17" s="45"/>
    </row>
    <row r="18" spans="1:5" ht="17.100000000000001" customHeight="1">
      <c r="A18" s="303" t="s">
        <v>470</v>
      </c>
      <c r="B18" s="99">
        <v>166.40039999999999</v>
      </c>
      <c r="C18" s="299">
        <v>-2.2000000000000002</v>
      </c>
      <c r="D18" s="206">
        <v>9</v>
      </c>
      <c r="E18" s="45"/>
    </row>
    <row r="19" spans="1:5" ht="17.100000000000001" customHeight="1">
      <c r="A19" s="305" t="s">
        <v>471</v>
      </c>
      <c r="B19" s="99">
        <v>369.23950000000002</v>
      </c>
      <c r="C19" s="299">
        <v>0.8</v>
      </c>
      <c r="D19" s="206">
        <v>5</v>
      </c>
      <c r="E19" s="45"/>
    </row>
    <row r="20" spans="1:5" ht="17.100000000000001" customHeight="1">
      <c r="A20" s="306" t="s">
        <v>472</v>
      </c>
      <c r="B20" s="99">
        <v>446.29</v>
      </c>
      <c r="C20" s="299">
        <v>-5</v>
      </c>
      <c r="D20" s="206">
        <v>10</v>
      </c>
      <c r="E20" s="45"/>
    </row>
    <row r="21" spans="1:5" ht="17.100000000000001" customHeight="1">
      <c r="A21" s="305" t="s">
        <v>473</v>
      </c>
      <c r="B21" s="99">
        <v>340.77940000000001</v>
      </c>
      <c r="C21" s="299">
        <v>-1.5</v>
      </c>
      <c r="D21" s="206">
        <v>8</v>
      </c>
      <c r="E21" s="45"/>
    </row>
    <row r="22" spans="1:5" ht="17.100000000000001" customHeight="1">
      <c r="A22" s="305" t="s">
        <v>475</v>
      </c>
      <c r="B22" s="99">
        <v>75.919700000000006</v>
      </c>
      <c r="C22" s="299">
        <v>4.3</v>
      </c>
      <c r="D22" s="206">
        <v>4</v>
      </c>
      <c r="E22" s="45"/>
    </row>
    <row r="23" spans="1:5" ht="17.100000000000001" customHeight="1">
      <c r="A23" s="305" t="s">
        <v>476</v>
      </c>
      <c r="B23" s="99">
        <v>119.121</v>
      </c>
      <c r="C23" s="299">
        <v>27.8</v>
      </c>
      <c r="D23" s="206">
        <v>1</v>
      </c>
      <c r="E23" s="45"/>
    </row>
    <row r="24" spans="1:5" ht="17.100000000000001" customHeight="1">
      <c r="A24" s="285" t="s">
        <v>477</v>
      </c>
      <c r="B24" s="99">
        <v>252.11340000000001</v>
      </c>
      <c r="C24" s="299">
        <v>0.5</v>
      </c>
      <c r="D24" s="206">
        <v>6</v>
      </c>
      <c r="E24" s="45"/>
    </row>
    <row r="25" spans="1:5" ht="17.100000000000001" customHeight="1">
      <c r="A25" s="285" t="s">
        <v>478</v>
      </c>
      <c r="B25" s="99">
        <v>179.55940000000001</v>
      </c>
      <c r="C25" s="299">
        <v>7.1</v>
      </c>
      <c r="D25" s="206">
        <v>2</v>
      </c>
      <c r="E25" s="45"/>
    </row>
    <row r="26" spans="1:5" ht="17.100000000000001" customHeight="1">
      <c r="A26" s="285" t="s">
        <v>479</v>
      </c>
      <c r="B26" s="99">
        <v>134.39060000000001</v>
      </c>
      <c r="C26" s="299">
        <v>6.5</v>
      </c>
      <c r="D26" s="206">
        <v>3</v>
      </c>
      <c r="E26" s="45"/>
    </row>
    <row r="27" spans="1:5" ht="17.100000000000001" customHeight="1">
      <c r="A27" s="338" t="s">
        <v>490</v>
      </c>
      <c r="B27" s="353">
        <v>10932.259099999999</v>
      </c>
      <c r="C27" s="340">
        <v>-1.1000000000000001</v>
      </c>
      <c r="D27" s="207">
        <v>7</v>
      </c>
      <c r="E27" s="45"/>
    </row>
    <row r="28" spans="1:5">
      <c r="A28" s="738"/>
      <c r="B28" s="738"/>
      <c r="C28" s="738"/>
      <c r="D28" s="738"/>
    </row>
    <row r="34" spans="1:1">
      <c r="A34" s="341"/>
    </row>
    <row r="35" spans="1:1">
      <c r="A35" s="341"/>
    </row>
    <row r="36" spans="1:1">
      <c r="A36" s="341"/>
    </row>
    <row r="37" spans="1:1">
      <c r="A37" s="342"/>
    </row>
    <row r="38" spans="1:1">
      <c r="A38" s="343"/>
    </row>
    <row r="39" spans="1:1">
      <c r="A39" s="343"/>
    </row>
    <row r="40" spans="1:1">
      <c r="A40" s="343"/>
    </row>
    <row r="41" spans="1:1">
      <c r="A41" s="343"/>
    </row>
    <row r="42" spans="1:1">
      <c r="A42" s="315"/>
    </row>
    <row r="43" spans="1:1">
      <c r="A43" s="51"/>
    </row>
    <row r="44" spans="1:1">
      <c r="A44" s="341"/>
    </row>
  </sheetData>
  <sheetProtection password="DC9E" sheet="1" objects="1" scenarios="1"/>
  <mergeCells count="2">
    <mergeCell ref="A1:D1"/>
    <mergeCell ref="A28:D28"/>
  </mergeCells>
  <phoneticPr fontId="10" type="noConversion"/>
  <pageMargins left="0.75" right="0.75" top="0.59" bottom="0.59" header="0.51" footer="0.51"/>
  <pageSetup paperSize="9" orientation="portrait" verticalDpi="0"/>
  <headerFooter scaleWithDoc="0" alignWithMargins="0"/>
</worksheet>
</file>

<file path=xl/worksheets/sheet35.xml><?xml version="1.0" encoding="utf-8"?>
<worksheet xmlns="http://schemas.openxmlformats.org/spreadsheetml/2006/main" xmlns:r="http://schemas.openxmlformats.org/officeDocument/2006/relationships">
  <sheetPr enableFormatConditionsCalculation="0">
    <tabColor theme="5"/>
  </sheetPr>
  <dimension ref="A1:E44"/>
  <sheetViews>
    <sheetView workbookViewId="0">
      <selection activeCell="B2" sqref="B2:D3"/>
    </sheetView>
  </sheetViews>
  <sheetFormatPr defaultColWidth="9" defaultRowHeight="14.25"/>
  <cols>
    <col min="1" max="1" width="39" style="44" customWidth="1"/>
    <col min="2" max="2" width="13.125" customWidth="1"/>
    <col min="3" max="3" width="13.125" style="332" customWidth="1"/>
    <col min="4" max="4" width="13.125" customWidth="1"/>
    <col min="5" max="5" width="9.75" bestFit="1" customWidth="1"/>
  </cols>
  <sheetData>
    <row r="1" spans="1:5" ht="18.95" customHeight="1">
      <c r="A1" s="746" t="s">
        <v>510</v>
      </c>
      <c r="B1" s="746"/>
      <c r="C1" s="746"/>
      <c r="D1" s="746"/>
    </row>
    <row r="2" spans="1:5" ht="15.95" customHeight="1">
      <c r="A2" s="333"/>
      <c r="B2" s="333"/>
      <c r="C2" s="333"/>
      <c r="D2" s="899" t="s">
        <v>483</v>
      </c>
    </row>
    <row r="3" spans="1:5" ht="17.100000000000001" customHeight="1">
      <c r="A3" s="292" t="s">
        <v>492</v>
      </c>
      <c r="B3" s="872" t="s">
        <v>117</v>
      </c>
      <c r="C3" s="294" t="s">
        <v>6</v>
      </c>
      <c r="D3" s="295" t="s">
        <v>466</v>
      </c>
      <c r="E3" s="45"/>
    </row>
    <row r="4" spans="1:5" ht="17.100000000000001" customHeight="1">
      <c r="A4" s="337" t="s">
        <v>511</v>
      </c>
      <c r="B4" s="344"/>
      <c r="C4" s="345"/>
      <c r="D4" s="206"/>
    </row>
    <row r="5" spans="1:5" ht="17.100000000000001" customHeight="1">
      <c r="A5" s="303" t="s">
        <v>468</v>
      </c>
      <c r="B5" s="99">
        <v>1900.3402000000001</v>
      </c>
      <c r="C5" s="299">
        <v>-1.3</v>
      </c>
      <c r="D5" s="279" t="s">
        <v>469</v>
      </c>
    </row>
    <row r="6" spans="1:5" ht="17.100000000000001" customHeight="1">
      <c r="A6" s="303" t="s">
        <v>470</v>
      </c>
      <c r="B6" s="99">
        <v>66.342500000000001</v>
      </c>
      <c r="C6" s="299">
        <v>-15</v>
      </c>
      <c r="D6" s="206">
        <v>10</v>
      </c>
    </row>
    <row r="7" spans="1:5" ht="17.100000000000001" customHeight="1">
      <c r="A7" s="305" t="s">
        <v>471</v>
      </c>
      <c r="B7" s="99">
        <v>196.8177</v>
      </c>
      <c r="C7" s="299">
        <v>-5.2</v>
      </c>
      <c r="D7" s="206">
        <v>8</v>
      </c>
    </row>
    <row r="8" spans="1:5" ht="17.100000000000001" customHeight="1">
      <c r="A8" s="306" t="s">
        <v>472</v>
      </c>
      <c r="B8" s="99">
        <v>379.79320000000001</v>
      </c>
      <c r="C8" s="299">
        <v>-3.4</v>
      </c>
      <c r="D8" s="206">
        <v>7</v>
      </c>
    </row>
    <row r="9" spans="1:5" ht="17.100000000000001" customHeight="1">
      <c r="A9" s="305" t="s">
        <v>473</v>
      </c>
      <c r="B9" s="99">
        <v>221.71510000000001</v>
      </c>
      <c r="C9" s="299">
        <v>-1</v>
      </c>
      <c r="D9" s="206">
        <v>6</v>
      </c>
    </row>
    <row r="10" spans="1:5" ht="17.100000000000001" customHeight="1">
      <c r="A10" s="305" t="s">
        <v>475</v>
      </c>
      <c r="B10" s="99">
        <v>47.378500000000003</v>
      </c>
      <c r="C10" s="299">
        <v>28.2</v>
      </c>
      <c r="D10" s="206">
        <v>1</v>
      </c>
    </row>
    <row r="11" spans="1:5" ht="17.100000000000001" customHeight="1">
      <c r="A11" s="305" t="s">
        <v>476</v>
      </c>
      <c r="B11" s="99">
        <v>92.146699999999996</v>
      </c>
      <c r="C11" s="299">
        <v>27.6</v>
      </c>
      <c r="D11" s="206">
        <v>2</v>
      </c>
    </row>
    <row r="12" spans="1:5" ht="17.100000000000001" customHeight="1">
      <c r="A12" s="285" t="s">
        <v>477</v>
      </c>
      <c r="B12" s="99">
        <v>253.13650000000001</v>
      </c>
      <c r="C12" s="299">
        <v>2.2000000000000002</v>
      </c>
      <c r="D12" s="206">
        <v>5</v>
      </c>
    </row>
    <row r="13" spans="1:5" ht="17.100000000000001" customHeight="1">
      <c r="A13" s="285" t="s">
        <v>478</v>
      </c>
      <c r="B13" s="99">
        <v>157.21960000000001</v>
      </c>
      <c r="C13" s="299">
        <v>5.8</v>
      </c>
      <c r="D13" s="206">
        <v>4</v>
      </c>
    </row>
    <row r="14" spans="1:5" ht="17.100000000000001" customHeight="1">
      <c r="A14" s="285" t="s">
        <v>479</v>
      </c>
      <c r="B14" s="99">
        <v>90.015000000000001</v>
      </c>
      <c r="C14" s="299">
        <v>9.5</v>
      </c>
      <c r="D14" s="206">
        <v>3</v>
      </c>
    </row>
    <row r="15" spans="1:5" ht="17.100000000000001" customHeight="1">
      <c r="A15" s="285" t="s">
        <v>490</v>
      </c>
      <c r="B15" s="99">
        <v>6126.4853999999996</v>
      </c>
      <c r="C15" s="299">
        <v>-6.2</v>
      </c>
      <c r="D15" s="206">
        <v>9</v>
      </c>
    </row>
    <row r="16" spans="1:5" ht="17.100000000000001" customHeight="1">
      <c r="A16" s="296" t="s">
        <v>512</v>
      </c>
      <c r="B16" s="99"/>
      <c r="C16" s="299"/>
      <c r="D16" s="206"/>
      <c r="E16" s="45"/>
    </row>
    <row r="17" spans="1:5" ht="17.100000000000001" customHeight="1">
      <c r="A17" s="303" t="s">
        <v>468</v>
      </c>
      <c r="B17" s="99">
        <v>1144.5455999999999</v>
      </c>
      <c r="C17" s="299">
        <v>0.4</v>
      </c>
      <c r="D17" s="279" t="s">
        <v>469</v>
      </c>
      <c r="E17" s="45"/>
    </row>
    <row r="18" spans="1:5" ht="17.100000000000001" customHeight="1">
      <c r="A18" s="303" t="s">
        <v>470</v>
      </c>
      <c r="B18" s="99">
        <v>126.28</v>
      </c>
      <c r="C18" s="299">
        <v>36.200000000000003</v>
      </c>
      <c r="D18" s="206">
        <v>1</v>
      </c>
      <c r="E18" s="45"/>
    </row>
    <row r="19" spans="1:5" ht="17.100000000000001" customHeight="1">
      <c r="A19" s="305" t="s">
        <v>471</v>
      </c>
      <c r="B19" s="99">
        <v>185.97239999999999</v>
      </c>
      <c r="C19" s="299">
        <v>-8.1999999999999993</v>
      </c>
      <c r="D19" s="206">
        <v>8</v>
      </c>
      <c r="E19" s="45"/>
    </row>
    <row r="20" spans="1:5" ht="17.100000000000001" customHeight="1">
      <c r="A20" s="306" t="s">
        <v>472</v>
      </c>
      <c r="B20" s="99">
        <v>43.444499999999998</v>
      </c>
      <c r="C20" s="299">
        <v>8.1</v>
      </c>
      <c r="D20" s="206">
        <v>5</v>
      </c>
      <c r="E20" s="45"/>
    </row>
    <row r="21" spans="1:5" ht="17.100000000000001" customHeight="1">
      <c r="A21" s="305" t="s">
        <v>473</v>
      </c>
      <c r="B21" s="99">
        <v>152.10579999999999</v>
      </c>
      <c r="C21" s="299">
        <v>-17.600000000000001</v>
      </c>
      <c r="D21" s="206">
        <v>10</v>
      </c>
      <c r="E21" s="45"/>
    </row>
    <row r="22" spans="1:5" ht="17.100000000000001" customHeight="1">
      <c r="A22" s="305" t="s">
        <v>475</v>
      </c>
      <c r="B22" s="99">
        <v>42.628500000000003</v>
      </c>
      <c r="C22" s="299">
        <v>11.6</v>
      </c>
      <c r="D22" s="206">
        <v>3</v>
      </c>
      <c r="E22" s="45"/>
    </row>
    <row r="23" spans="1:5" ht="17.100000000000001" customHeight="1">
      <c r="A23" s="305" t="s">
        <v>476</v>
      </c>
      <c r="B23" s="99">
        <v>35.093400000000003</v>
      </c>
      <c r="C23" s="299">
        <v>21.7</v>
      </c>
      <c r="D23" s="206">
        <v>2</v>
      </c>
      <c r="E23" s="45"/>
    </row>
    <row r="24" spans="1:5" ht="17.100000000000001" customHeight="1">
      <c r="A24" s="285" t="s">
        <v>477</v>
      </c>
      <c r="B24" s="99">
        <v>215.0797</v>
      </c>
      <c r="C24" s="299">
        <v>-1.4</v>
      </c>
      <c r="D24" s="206">
        <v>7</v>
      </c>
      <c r="E24" s="45"/>
    </row>
    <row r="25" spans="1:5" ht="17.100000000000001" customHeight="1">
      <c r="A25" s="285" t="s">
        <v>478</v>
      </c>
      <c r="B25" s="99">
        <v>111.0639</v>
      </c>
      <c r="C25" s="299">
        <v>11</v>
      </c>
      <c r="D25" s="206">
        <v>4</v>
      </c>
      <c r="E25" s="45"/>
    </row>
    <row r="26" spans="1:5" ht="17.100000000000001" customHeight="1">
      <c r="A26" s="285" t="s">
        <v>479</v>
      </c>
      <c r="B26" s="99">
        <v>74.409599999999998</v>
      </c>
      <c r="C26" s="299">
        <v>4.5999999999999996</v>
      </c>
      <c r="D26" s="206">
        <v>6</v>
      </c>
      <c r="E26" s="45"/>
    </row>
    <row r="27" spans="1:5" ht="17.100000000000001" customHeight="1">
      <c r="A27" s="289" t="s">
        <v>490</v>
      </c>
      <c r="B27" s="353">
        <v>3382.7819</v>
      </c>
      <c r="C27" s="340">
        <v>-8.9</v>
      </c>
      <c r="D27" s="207">
        <v>9</v>
      </c>
      <c r="E27" s="45"/>
    </row>
    <row r="28" spans="1:5">
      <c r="A28" s="738"/>
      <c r="B28" s="738"/>
      <c r="C28" s="738"/>
      <c r="D28" s="738"/>
    </row>
    <row r="34" spans="1:1">
      <c r="A34" s="341"/>
    </row>
    <row r="35" spans="1:1">
      <c r="A35" s="341"/>
    </row>
    <row r="36" spans="1:1">
      <c r="A36" s="341"/>
    </row>
    <row r="37" spans="1:1">
      <c r="A37" s="342"/>
    </row>
    <row r="38" spans="1:1">
      <c r="A38" s="343"/>
    </row>
    <row r="39" spans="1:1">
      <c r="A39" s="343"/>
    </row>
    <row r="40" spans="1:1">
      <c r="A40" s="343"/>
    </row>
    <row r="41" spans="1:1">
      <c r="A41" s="343"/>
    </row>
    <row r="42" spans="1:1">
      <c r="A42" s="315"/>
    </row>
    <row r="43" spans="1:1">
      <c r="A43" s="51"/>
    </row>
    <row r="44" spans="1:1">
      <c r="A44" s="341"/>
    </row>
  </sheetData>
  <sheetProtection password="DC9E" sheet="1" objects="1" scenarios="1"/>
  <mergeCells count="2">
    <mergeCell ref="A1:D1"/>
    <mergeCell ref="A28:D28"/>
  </mergeCells>
  <phoneticPr fontId="10" type="noConversion"/>
  <pageMargins left="0.75" right="0.75" top="0.59" bottom="0.59" header="0.51" footer="0.51"/>
  <pageSetup paperSize="9" orientation="portrait" verticalDpi="0"/>
  <headerFooter scaleWithDoc="0" alignWithMargins="0"/>
</worksheet>
</file>

<file path=xl/worksheets/sheet36.xml><?xml version="1.0" encoding="utf-8"?>
<worksheet xmlns="http://schemas.openxmlformats.org/spreadsheetml/2006/main" xmlns:r="http://schemas.openxmlformats.org/officeDocument/2006/relationships">
  <sheetPr enableFormatConditionsCalculation="0">
    <tabColor theme="5"/>
  </sheetPr>
  <dimension ref="A1:E44"/>
  <sheetViews>
    <sheetView zoomScale="90" workbookViewId="0">
      <selection activeCell="B10" sqref="B10"/>
    </sheetView>
  </sheetViews>
  <sheetFormatPr defaultColWidth="9" defaultRowHeight="14.25"/>
  <cols>
    <col min="1" max="1" width="44.5" style="200" customWidth="1"/>
    <col min="2" max="2" width="13.125" customWidth="1"/>
    <col min="3" max="3" width="13.125" style="332" customWidth="1"/>
    <col min="4" max="4" width="13.125" customWidth="1"/>
    <col min="5" max="5" width="9.75" bestFit="1" customWidth="1"/>
  </cols>
  <sheetData>
    <row r="1" spans="1:5" ht="34.5" customHeight="1">
      <c r="A1" s="747" t="s">
        <v>513</v>
      </c>
      <c r="B1" s="746"/>
      <c r="C1" s="746"/>
      <c r="D1" s="746"/>
    </row>
    <row r="2" spans="1:5" ht="20.25" customHeight="1">
      <c r="A2" s="346"/>
      <c r="B2" s="333"/>
      <c r="C2" s="738" t="s">
        <v>483</v>
      </c>
      <c r="D2" s="738"/>
    </row>
    <row r="3" spans="1:5" ht="28.5" customHeight="1">
      <c r="A3" s="275" t="s">
        <v>492</v>
      </c>
      <c r="B3" s="293" t="s">
        <v>117</v>
      </c>
      <c r="C3" s="294" t="s">
        <v>6</v>
      </c>
      <c r="D3" s="295" t="s">
        <v>466</v>
      </c>
      <c r="E3" s="45"/>
    </row>
    <row r="4" spans="1:5" ht="15.95" customHeight="1">
      <c r="A4" s="300" t="s">
        <v>514</v>
      </c>
      <c r="B4" s="302"/>
      <c r="C4" s="335"/>
      <c r="D4" s="302"/>
      <c r="E4" s="45"/>
    </row>
    <row r="5" spans="1:5" ht="15.95" customHeight="1">
      <c r="A5" s="281" t="s">
        <v>468</v>
      </c>
      <c r="B5" s="99">
        <v>85.634100000000004</v>
      </c>
      <c r="C5" s="299">
        <v>3.1</v>
      </c>
      <c r="D5" s="279" t="s">
        <v>469</v>
      </c>
      <c r="E5" s="45"/>
    </row>
    <row r="6" spans="1:5" ht="15.95" customHeight="1">
      <c r="A6" s="281" t="s">
        <v>470</v>
      </c>
      <c r="B6" s="99">
        <v>2.0741999999999998</v>
      </c>
      <c r="C6" s="299">
        <v>4.3</v>
      </c>
      <c r="D6" s="206">
        <v>4</v>
      </c>
      <c r="E6" s="45"/>
    </row>
    <row r="7" spans="1:5" ht="15.95" customHeight="1">
      <c r="A7" s="285" t="s">
        <v>471</v>
      </c>
      <c r="B7" s="99">
        <v>25.258600000000001</v>
      </c>
      <c r="C7" s="299">
        <v>2.5</v>
      </c>
      <c r="D7" s="206">
        <v>5</v>
      </c>
      <c r="E7" s="45"/>
    </row>
    <row r="8" spans="1:5" ht="15.95" customHeight="1">
      <c r="A8" s="286" t="s">
        <v>472</v>
      </c>
      <c r="B8" s="99">
        <v>4.5934999999999997</v>
      </c>
      <c r="C8" s="299">
        <v>12.6</v>
      </c>
      <c r="D8" s="206">
        <v>2</v>
      </c>
      <c r="E8" s="45"/>
    </row>
    <row r="9" spans="1:5" ht="15.95" customHeight="1">
      <c r="A9" s="285" t="s">
        <v>473</v>
      </c>
      <c r="B9" s="99">
        <v>7.0388999999999999</v>
      </c>
      <c r="C9" s="299">
        <v>-17.2</v>
      </c>
      <c r="D9" s="206">
        <v>10</v>
      </c>
      <c r="E9" s="45"/>
    </row>
    <row r="10" spans="1:5" ht="15.95" customHeight="1">
      <c r="A10" s="285" t="s">
        <v>475</v>
      </c>
      <c r="B10" s="99">
        <v>9.6664999999999992</v>
      </c>
      <c r="C10" s="299">
        <v>51.8</v>
      </c>
      <c r="D10" s="206">
        <v>1</v>
      </c>
      <c r="E10" s="45"/>
    </row>
    <row r="11" spans="1:5" ht="15.95" customHeight="1">
      <c r="A11" s="285" t="s">
        <v>476</v>
      </c>
      <c r="B11" s="99">
        <v>1.3746</v>
      </c>
      <c r="C11" s="299">
        <v>-14.3</v>
      </c>
      <c r="D11" s="206">
        <v>9</v>
      </c>
      <c r="E11" s="45"/>
    </row>
    <row r="12" spans="1:5" ht="15.95" customHeight="1">
      <c r="A12" s="285" t="s">
        <v>477</v>
      </c>
      <c r="B12" s="99">
        <v>5.4938000000000002</v>
      </c>
      <c r="C12" s="299">
        <v>-10.199999999999999</v>
      </c>
      <c r="D12" s="206">
        <v>7</v>
      </c>
      <c r="E12" s="45"/>
    </row>
    <row r="13" spans="1:5" ht="15.95" customHeight="1">
      <c r="A13" s="285" t="s">
        <v>478</v>
      </c>
      <c r="B13" s="99">
        <v>12.2972</v>
      </c>
      <c r="C13" s="299">
        <v>-11.4</v>
      </c>
      <c r="D13" s="206">
        <v>8</v>
      </c>
      <c r="E13" s="45"/>
    </row>
    <row r="14" spans="1:5" ht="15.95" customHeight="1">
      <c r="A14" s="285" t="s">
        <v>479</v>
      </c>
      <c r="B14" s="99">
        <v>7.3773999999999997</v>
      </c>
      <c r="C14" s="299">
        <v>-2.9</v>
      </c>
      <c r="D14" s="206">
        <v>6</v>
      </c>
      <c r="E14" s="45"/>
    </row>
    <row r="15" spans="1:5" ht="15.95" customHeight="1">
      <c r="A15" s="285" t="s">
        <v>490</v>
      </c>
      <c r="B15" s="99">
        <v>287.10239999999999</v>
      </c>
      <c r="C15" s="299">
        <v>11.3</v>
      </c>
      <c r="D15" s="206">
        <v>3</v>
      </c>
      <c r="E15" s="45"/>
    </row>
    <row r="16" spans="1:5" ht="15.95" customHeight="1">
      <c r="A16" s="296" t="s">
        <v>515</v>
      </c>
      <c r="B16" s="99"/>
      <c r="C16" s="299"/>
      <c r="D16" s="206"/>
    </row>
    <row r="17" spans="1:4" ht="15.95" customHeight="1">
      <c r="A17" s="281" t="s">
        <v>468</v>
      </c>
      <c r="B17" s="99">
        <v>20.4925</v>
      </c>
      <c r="C17" s="299">
        <v>-16.8</v>
      </c>
      <c r="D17" s="279" t="s">
        <v>469</v>
      </c>
    </row>
    <row r="18" spans="1:4" ht="15.95" customHeight="1">
      <c r="A18" s="281" t="s">
        <v>470</v>
      </c>
      <c r="B18" s="99">
        <v>0.79500000000000004</v>
      </c>
      <c r="C18" s="299">
        <v>-18</v>
      </c>
      <c r="D18" s="206">
        <v>7</v>
      </c>
    </row>
    <row r="19" spans="1:4" ht="15.95" customHeight="1">
      <c r="A19" s="285" t="s">
        <v>471</v>
      </c>
      <c r="B19" s="99">
        <v>1.2869999999999999</v>
      </c>
      <c r="C19" s="299">
        <v>-26.2</v>
      </c>
      <c r="D19" s="206">
        <v>8</v>
      </c>
    </row>
    <row r="20" spans="1:4" ht="15.95" customHeight="1">
      <c r="A20" s="286" t="s">
        <v>472</v>
      </c>
      <c r="B20" s="99">
        <v>3.0503999999999998</v>
      </c>
      <c r="C20" s="299">
        <v>2.9</v>
      </c>
      <c r="D20" s="206">
        <v>3</v>
      </c>
    </row>
    <row r="21" spans="1:4" ht="15.95" customHeight="1">
      <c r="A21" s="285" t="s">
        <v>473</v>
      </c>
      <c r="B21" s="99">
        <v>2.2231999999999998</v>
      </c>
      <c r="C21" s="299">
        <v>-42.2</v>
      </c>
      <c r="D21" s="206">
        <v>10</v>
      </c>
    </row>
    <row r="22" spans="1:4" ht="15.95" customHeight="1">
      <c r="A22" s="285" t="s">
        <v>475</v>
      </c>
      <c r="B22" s="99">
        <v>0.62409999999999999</v>
      </c>
      <c r="C22" s="299">
        <v>-10.8</v>
      </c>
      <c r="D22" s="206">
        <v>5</v>
      </c>
    </row>
    <row r="23" spans="1:4" ht="15.95" customHeight="1">
      <c r="A23" s="285" t="s">
        <v>476</v>
      </c>
      <c r="B23" s="99">
        <v>1.2544</v>
      </c>
      <c r="C23" s="299">
        <v>20.9</v>
      </c>
      <c r="D23" s="206">
        <v>1</v>
      </c>
    </row>
    <row r="24" spans="1:4" ht="15.95" customHeight="1">
      <c r="A24" s="285" t="s">
        <v>477</v>
      </c>
      <c r="B24" s="99">
        <v>1.036</v>
      </c>
      <c r="C24" s="299">
        <v>-11.6</v>
      </c>
      <c r="D24" s="206">
        <v>6</v>
      </c>
    </row>
    <row r="25" spans="1:4" ht="15.95" customHeight="1">
      <c r="A25" s="285" t="s">
        <v>478</v>
      </c>
      <c r="B25" s="99">
        <v>1.7507999999999999</v>
      </c>
      <c r="C25" s="299">
        <v>-1.1000000000000001</v>
      </c>
      <c r="D25" s="206">
        <v>4</v>
      </c>
    </row>
    <row r="26" spans="1:4" ht="15.95" customHeight="1">
      <c r="A26" s="285" t="s">
        <v>479</v>
      </c>
      <c r="B26" s="99">
        <v>1.5912999999999999</v>
      </c>
      <c r="C26" s="299">
        <v>10.199999999999999</v>
      </c>
      <c r="D26" s="206">
        <v>2</v>
      </c>
    </row>
    <row r="27" spans="1:4" ht="15.95" customHeight="1">
      <c r="A27" s="338" t="s">
        <v>490</v>
      </c>
      <c r="B27" s="353">
        <v>90.666200000000003</v>
      </c>
      <c r="C27" s="340">
        <v>-28.4</v>
      </c>
      <c r="D27" s="207">
        <v>9</v>
      </c>
    </row>
    <row r="28" spans="1:4">
      <c r="A28" s="744"/>
      <c r="B28" s="738"/>
      <c r="C28" s="738"/>
      <c r="D28" s="738"/>
    </row>
    <row r="34" spans="1:1">
      <c r="A34" s="208"/>
    </row>
    <row r="35" spans="1:1">
      <c r="A35" s="208"/>
    </row>
    <row r="36" spans="1:1">
      <c r="A36" s="208"/>
    </row>
    <row r="37" spans="1:1">
      <c r="A37" s="354"/>
    </row>
    <row r="38" spans="1:1">
      <c r="A38" s="315"/>
    </row>
    <row r="39" spans="1:1">
      <c r="A39" s="315"/>
    </row>
    <row r="40" spans="1:1">
      <c r="A40" s="315"/>
    </row>
    <row r="41" spans="1:1">
      <c r="A41" s="315"/>
    </row>
    <row r="42" spans="1:1">
      <c r="A42" s="315"/>
    </row>
    <row r="43" spans="1:1">
      <c r="A43" s="355"/>
    </row>
    <row r="44" spans="1:1">
      <c r="A44" s="208"/>
    </row>
  </sheetData>
  <sheetProtection password="DC9E" sheet="1" objects="1" scenarios="1"/>
  <mergeCells count="3">
    <mergeCell ref="A1:D1"/>
    <mergeCell ref="C2:D2"/>
    <mergeCell ref="A28:D28"/>
  </mergeCells>
  <phoneticPr fontId="10" type="noConversion"/>
  <pageMargins left="0.55000000000000004" right="0.55000000000000004" top="0.98" bottom="0.98" header="0.51" footer="0.51"/>
  <pageSetup paperSize="9" orientation="portrait" verticalDpi="0"/>
  <headerFooter scaleWithDoc="0" alignWithMargins="0"/>
</worksheet>
</file>

<file path=xl/worksheets/sheet37.xml><?xml version="1.0" encoding="utf-8"?>
<worksheet xmlns="http://schemas.openxmlformats.org/spreadsheetml/2006/main" xmlns:r="http://schemas.openxmlformats.org/officeDocument/2006/relationships">
  <sheetPr enableFormatConditionsCalculation="0">
    <tabColor theme="5" tint="-0.249977111117893"/>
  </sheetPr>
  <dimension ref="A1:D27"/>
  <sheetViews>
    <sheetView zoomScaleSheetLayoutView="100" workbookViewId="0">
      <selection activeCell="F16" sqref="F16"/>
    </sheetView>
  </sheetViews>
  <sheetFormatPr defaultColWidth="9" defaultRowHeight="14.25"/>
  <cols>
    <col min="1" max="1" width="44.875" customWidth="1"/>
    <col min="2" max="2" width="12.25" customWidth="1"/>
    <col min="3" max="3" width="13.25" customWidth="1"/>
    <col min="4" max="4" width="15" customWidth="1"/>
  </cols>
  <sheetData>
    <row r="1" spans="1:4" ht="21" customHeight="1">
      <c r="A1" s="746" t="s">
        <v>516</v>
      </c>
      <c r="B1" s="746"/>
      <c r="C1" s="746"/>
      <c r="D1" s="746"/>
    </row>
    <row r="2" spans="1:4" ht="18" customHeight="1">
      <c r="A2" s="346"/>
      <c r="B2" s="346"/>
      <c r="C2" s="738"/>
      <c r="D2" s="738"/>
    </row>
    <row r="3" spans="1:4" ht="18.95" customHeight="1">
      <c r="A3" s="275" t="s">
        <v>492</v>
      </c>
      <c r="B3" s="293" t="s">
        <v>117</v>
      </c>
      <c r="C3" s="276" t="s">
        <v>6</v>
      </c>
      <c r="D3" s="277" t="s">
        <v>466</v>
      </c>
    </row>
    <row r="4" spans="1:4" ht="15.95" customHeight="1">
      <c r="A4" s="347" t="s">
        <v>517</v>
      </c>
      <c r="B4" s="348"/>
      <c r="C4" s="299"/>
      <c r="D4" s="206"/>
    </row>
    <row r="5" spans="1:4" ht="15.95" customHeight="1">
      <c r="A5" s="281" t="s">
        <v>468</v>
      </c>
      <c r="B5" s="349">
        <v>120335</v>
      </c>
      <c r="C5" s="299">
        <v>-7.9</v>
      </c>
      <c r="D5" s="279" t="s">
        <v>469</v>
      </c>
    </row>
    <row r="6" spans="1:4" ht="15.95" customHeight="1">
      <c r="A6" s="281" t="s">
        <v>470</v>
      </c>
      <c r="B6" s="349">
        <v>5596</v>
      </c>
      <c r="C6" s="299">
        <v>-0.7</v>
      </c>
      <c r="D6" s="206">
        <v>1</v>
      </c>
    </row>
    <row r="7" spans="1:4" ht="15.95" customHeight="1">
      <c r="A7" s="285" t="s">
        <v>471</v>
      </c>
      <c r="B7" s="349">
        <v>16705</v>
      </c>
      <c r="C7" s="299">
        <v>-14.6</v>
      </c>
      <c r="D7" s="206">
        <v>10</v>
      </c>
    </row>
    <row r="8" spans="1:4" ht="15.95" customHeight="1">
      <c r="A8" s="286" t="s">
        <v>472</v>
      </c>
      <c r="B8" s="349">
        <v>10112</v>
      </c>
      <c r="C8" s="299">
        <v>-1.6</v>
      </c>
      <c r="D8" s="206">
        <v>2</v>
      </c>
    </row>
    <row r="9" spans="1:4" ht="15.95" customHeight="1">
      <c r="A9" s="285" t="s">
        <v>473</v>
      </c>
      <c r="B9" s="349">
        <v>11946</v>
      </c>
      <c r="C9" s="299">
        <v>-7.4</v>
      </c>
      <c r="D9" s="206">
        <v>5</v>
      </c>
    </row>
    <row r="10" spans="1:4" ht="15.95" customHeight="1">
      <c r="A10" s="285" t="s">
        <v>475</v>
      </c>
      <c r="B10" s="349">
        <v>11435</v>
      </c>
      <c r="C10" s="299">
        <v>-8.4</v>
      </c>
      <c r="D10" s="206">
        <v>7</v>
      </c>
    </row>
    <row r="11" spans="1:4" ht="15.95" customHeight="1">
      <c r="A11" s="285" t="s">
        <v>476</v>
      </c>
      <c r="B11" s="349">
        <v>2607</v>
      </c>
      <c r="C11" s="299">
        <v>-9.1999999999999993</v>
      </c>
      <c r="D11" s="206">
        <v>8</v>
      </c>
    </row>
    <row r="12" spans="1:4" ht="15.95" customHeight="1">
      <c r="A12" s="285" t="s">
        <v>477</v>
      </c>
      <c r="B12" s="349">
        <v>9142</v>
      </c>
      <c r="C12" s="299">
        <v>-5.4</v>
      </c>
      <c r="D12" s="206">
        <v>4</v>
      </c>
    </row>
    <row r="13" spans="1:4" ht="15.95" customHeight="1">
      <c r="A13" s="285" t="s">
        <v>478</v>
      </c>
      <c r="B13" s="349">
        <v>12259</v>
      </c>
      <c r="C13" s="299">
        <v>-1.8</v>
      </c>
      <c r="D13" s="206">
        <v>3</v>
      </c>
    </row>
    <row r="14" spans="1:4" ht="15.95" customHeight="1">
      <c r="A14" s="285" t="s">
        <v>479</v>
      </c>
      <c r="B14" s="349">
        <v>30272</v>
      </c>
      <c r="C14" s="299">
        <v>-12.6</v>
      </c>
      <c r="D14" s="206">
        <v>9</v>
      </c>
    </row>
    <row r="15" spans="1:4" s="45" customFormat="1" ht="15.95" customHeight="1">
      <c r="A15" s="285" t="s">
        <v>490</v>
      </c>
      <c r="B15" s="349">
        <v>20451</v>
      </c>
      <c r="C15" s="299">
        <v>-7.7</v>
      </c>
      <c r="D15" s="206">
        <v>6</v>
      </c>
    </row>
    <row r="16" spans="1:4" ht="15.95" customHeight="1">
      <c r="A16" s="296" t="s">
        <v>518</v>
      </c>
      <c r="B16" s="350"/>
      <c r="C16" s="351"/>
      <c r="D16" s="350"/>
    </row>
    <row r="17" spans="1:4" ht="15.95" customHeight="1">
      <c r="A17" s="281" t="s">
        <v>468</v>
      </c>
      <c r="B17" s="336">
        <v>12.82</v>
      </c>
      <c r="C17" s="299">
        <v>-5.3</v>
      </c>
      <c r="D17" s="279" t="s">
        <v>469</v>
      </c>
    </row>
    <row r="18" spans="1:4" ht="15.95" customHeight="1">
      <c r="A18" s="281" t="s">
        <v>470</v>
      </c>
      <c r="B18" s="336">
        <v>8.31</v>
      </c>
      <c r="C18" s="299">
        <v>2.4</v>
      </c>
      <c r="D18" s="206">
        <v>1</v>
      </c>
    </row>
    <row r="19" spans="1:4" ht="15.95" customHeight="1">
      <c r="A19" s="285" t="s">
        <v>471</v>
      </c>
      <c r="B19" s="336">
        <v>24.76</v>
      </c>
      <c r="C19" s="299">
        <v>-19.5</v>
      </c>
      <c r="D19" s="206">
        <v>10</v>
      </c>
    </row>
    <row r="20" spans="1:4" ht="15.95" customHeight="1">
      <c r="A20" s="286" t="s">
        <v>472</v>
      </c>
      <c r="B20" s="336">
        <v>26.9</v>
      </c>
      <c r="C20" s="299">
        <v>-5.5</v>
      </c>
      <c r="D20" s="206">
        <v>8</v>
      </c>
    </row>
    <row r="21" spans="1:4" ht="15.95" customHeight="1">
      <c r="A21" s="285" t="s">
        <v>473</v>
      </c>
      <c r="B21" s="336">
        <v>11.53</v>
      </c>
      <c r="C21" s="299">
        <v>-8.4</v>
      </c>
      <c r="D21" s="206">
        <v>9</v>
      </c>
    </row>
    <row r="22" spans="1:4" ht="15.95" customHeight="1">
      <c r="A22" s="285" t="s">
        <v>475</v>
      </c>
      <c r="B22" s="336">
        <v>9.4</v>
      </c>
      <c r="C22" s="299">
        <v>-0.3</v>
      </c>
      <c r="D22" s="206">
        <v>3</v>
      </c>
    </row>
    <row r="23" spans="1:4" ht="15.95" customHeight="1">
      <c r="A23" s="285" t="s">
        <v>476</v>
      </c>
      <c r="B23" s="336">
        <v>4.16</v>
      </c>
      <c r="C23" s="299">
        <v>-1</v>
      </c>
      <c r="D23" s="206">
        <v>6</v>
      </c>
    </row>
    <row r="24" spans="1:4" ht="15.95" customHeight="1">
      <c r="A24" s="285" t="s">
        <v>477</v>
      </c>
      <c r="B24" s="336">
        <v>1.33</v>
      </c>
      <c r="C24" s="299">
        <v>-0.5</v>
      </c>
      <c r="D24" s="206">
        <v>4</v>
      </c>
    </row>
    <row r="25" spans="1:4" ht="15.95" customHeight="1">
      <c r="A25" s="285" t="s">
        <v>478</v>
      </c>
      <c r="B25" s="336">
        <v>4.38</v>
      </c>
      <c r="C25" s="299">
        <v>0.1</v>
      </c>
      <c r="D25" s="206">
        <v>2</v>
      </c>
    </row>
    <row r="26" spans="1:4" ht="15.95" customHeight="1">
      <c r="A26" s="285" t="s">
        <v>479</v>
      </c>
      <c r="B26" s="336">
        <v>10.29</v>
      </c>
      <c r="C26" s="299">
        <v>-0.7</v>
      </c>
      <c r="D26" s="206">
        <v>5</v>
      </c>
    </row>
    <row r="27" spans="1:4" ht="15.95" customHeight="1">
      <c r="A27" s="289" t="s">
        <v>490</v>
      </c>
      <c r="B27" s="352">
        <v>8.02</v>
      </c>
      <c r="C27" s="308">
        <v>-5.0999999999999996</v>
      </c>
      <c r="D27" s="206">
        <v>7</v>
      </c>
    </row>
  </sheetData>
  <sheetProtection password="DC9E" sheet="1" objects="1" scenarios="1"/>
  <mergeCells count="2">
    <mergeCell ref="A1:D1"/>
    <mergeCell ref="C2:D2"/>
  </mergeCells>
  <phoneticPr fontId="10" type="noConversion"/>
  <pageMargins left="0.75" right="0.75" top="1" bottom="1" header="0.51" footer="0.51"/>
</worksheet>
</file>

<file path=xl/worksheets/sheet38.xml><?xml version="1.0" encoding="utf-8"?>
<worksheet xmlns="http://schemas.openxmlformats.org/spreadsheetml/2006/main" xmlns:r="http://schemas.openxmlformats.org/officeDocument/2006/relationships">
  <sheetPr enableFormatConditionsCalculation="0">
    <tabColor theme="5"/>
  </sheetPr>
  <dimension ref="A1:E44"/>
  <sheetViews>
    <sheetView zoomScale="90" workbookViewId="0">
      <selection activeCell="B3" sqref="B3"/>
    </sheetView>
  </sheetViews>
  <sheetFormatPr defaultColWidth="9" defaultRowHeight="14.25"/>
  <cols>
    <col min="1" max="1" width="41" style="44" customWidth="1"/>
    <col min="2" max="2" width="13.125" customWidth="1"/>
    <col min="3" max="3" width="13.125" style="332" customWidth="1"/>
    <col min="4" max="4" width="13.125" customWidth="1"/>
    <col min="5" max="5" width="9.75" bestFit="1" customWidth="1"/>
  </cols>
  <sheetData>
    <row r="1" spans="1:5" ht="20.100000000000001" customHeight="1">
      <c r="A1" s="746" t="s">
        <v>519</v>
      </c>
      <c r="B1" s="746"/>
      <c r="C1" s="746"/>
      <c r="D1" s="746"/>
    </row>
    <row r="2" spans="1:5" ht="12.95" customHeight="1">
      <c r="A2" s="333"/>
      <c r="B2" s="333"/>
      <c r="C2" s="333"/>
      <c r="D2" t="s">
        <v>520</v>
      </c>
    </row>
    <row r="3" spans="1:5" ht="28.5" customHeight="1">
      <c r="A3" s="292" t="s">
        <v>492</v>
      </c>
      <c r="B3" s="906" t="s">
        <v>117</v>
      </c>
      <c r="C3" s="294" t="s">
        <v>6</v>
      </c>
      <c r="D3" s="295" t="s">
        <v>466</v>
      </c>
      <c r="E3" s="45"/>
    </row>
    <row r="4" spans="1:5" ht="18" customHeight="1">
      <c r="A4" s="337" t="s">
        <v>521</v>
      </c>
      <c r="B4" s="344"/>
      <c r="C4" s="345"/>
      <c r="D4" s="206"/>
    </row>
    <row r="5" spans="1:5" ht="18" customHeight="1">
      <c r="A5" s="303" t="s">
        <v>468</v>
      </c>
      <c r="B5" s="336">
        <v>104.03</v>
      </c>
      <c r="C5" s="299">
        <v>-13.2</v>
      </c>
      <c r="D5" s="279" t="s">
        <v>469</v>
      </c>
    </row>
    <row r="6" spans="1:5" ht="18" customHeight="1">
      <c r="A6" s="303" t="s">
        <v>470</v>
      </c>
      <c r="B6" s="336">
        <v>111.87</v>
      </c>
      <c r="C6" s="299">
        <v>9.5</v>
      </c>
      <c r="D6" s="206">
        <v>3</v>
      </c>
    </row>
    <row r="7" spans="1:5" ht="18" customHeight="1">
      <c r="A7" s="305" t="s">
        <v>471</v>
      </c>
      <c r="B7" s="336">
        <v>108.75</v>
      </c>
      <c r="C7" s="299">
        <v>-8.1</v>
      </c>
      <c r="D7" s="206">
        <v>6</v>
      </c>
    </row>
    <row r="8" spans="1:5" ht="18" customHeight="1">
      <c r="A8" s="306" t="s">
        <v>472</v>
      </c>
      <c r="B8" s="336">
        <v>87.16</v>
      </c>
      <c r="C8" s="299">
        <v>-78.2</v>
      </c>
      <c r="D8" s="206">
        <v>9</v>
      </c>
    </row>
    <row r="9" spans="1:5" ht="18" customHeight="1">
      <c r="A9" s="305" t="s">
        <v>473</v>
      </c>
      <c r="B9" s="336">
        <v>105.92</v>
      </c>
      <c r="C9" s="299">
        <v>-11.3</v>
      </c>
      <c r="D9" s="206">
        <v>7</v>
      </c>
    </row>
    <row r="10" spans="1:5" ht="18" customHeight="1">
      <c r="A10" s="305" t="s">
        <v>475</v>
      </c>
      <c r="B10" s="336">
        <v>79.63</v>
      </c>
      <c r="C10" s="299">
        <v>-29.9</v>
      </c>
      <c r="D10" s="206">
        <v>8</v>
      </c>
    </row>
    <row r="11" spans="1:5" ht="18" customHeight="1">
      <c r="A11" s="305" t="s">
        <v>476</v>
      </c>
      <c r="B11" s="336">
        <v>128.43</v>
      </c>
      <c r="C11" s="299">
        <v>-141.9</v>
      </c>
      <c r="D11" s="206">
        <v>10</v>
      </c>
    </row>
    <row r="12" spans="1:5" ht="18" customHeight="1">
      <c r="A12" s="285" t="s">
        <v>477</v>
      </c>
      <c r="B12" s="336">
        <v>-32.299999999999997</v>
      </c>
      <c r="C12" s="299">
        <v>45.3</v>
      </c>
      <c r="D12" s="206">
        <v>1</v>
      </c>
    </row>
    <row r="13" spans="1:5" ht="18" customHeight="1">
      <c r="A13" s="285" t="s">
        <v>478</v>
      </c>
      <c r="B13" s="336">
        <v>116.98</v>
      </c>
      <c r="C13" s="299">
        <v>34.4</v>
      </c>
      <c r="D13" s="206">
        <v>2</v>
      </c>
    </row>
    <row r="14" spans="1:5" ht="18" customHeight="1">
      <c r="A14" s="285" t="s">
        <v>479</v>
      </c>
      <c r="B14" s="336">
        <v>100.94</v>
      </c>
      <c r="C14" s="299">
        <v>4.7</v>
      </c>
      <c r="D14" s="206">
        <v>4</v>
      </c>
    </row>
    <row r="15" spans="1:5" ht="18" customHeight="1">
      <c r="A15" s="285" t="s">
        <v>490</v>
      </c>
      <c r="B15" s="336">
        <v>106.2</v>
      </c>
      <c r="C15" s="299">
        <v>-6.9</v>
      </c>
      <c r="D15" s="206">
        <v>5</v>
      </c>
    </row>
    <row r="16" spans="1:5" ht="18" customHeight="1">
      <c r="A16" s="337" t="s">
        <v>522</v>
      </c>
      <c r="B16" s="336"/>
      <c r="C16" s="299"/>
      <c r="D16" s="206"/>
      <c r="E16" s="45"/>
    </row>
    <row r="17" spans="1:5" ht="18" customHeight="1">
      <c r="A17" s="303" t="s">
        <v>468</v>
      </c>
      <c r="B17" s="336">
        <v>67.97</v>
      </c>
      <c r="C17" s="299">
        <v>-1.1000000000000001</v>
      </c>
      <c r="D17" s="279" t="s">
        <v>469</v>
      </c>
      <c r="E17" s="45"/>
    </row>
    <row r="18" spans="1:5" ht="18" customHeight="1">
      <c r="A18" s="303" t="s">
        <v>470</v>
      </c>
      <c r="B18" s="336">
        <v>42.68</v>
      </c>
      <c r="C18" s="299">
        <v>-6.6</v>
      </c>
      <c r="D18" s="206">
        <v>10</v>
      </c>
      <c r="E18" s="45"/>
    </row>
    <row r="19" spans="1:5" ht="18" customHeight="1">
      <c r="A19" s="305" t="s">
        <v>471</v>
      </c>
      <c r="B19" s="336">
        <v>52.17</v>
      </c>
      <c r="C19" s="299">
        <v>-3.8</v>
      </c>
      <c r="D19" s="206">
        <v>9</v>
      </c>
      <c r="E19" s="45"/>
    </row>
    <row r="20" spans="1:5" ht="18" customHeight="1">
      <c r="A20" s="306" t="s">
        <v>472</v>
      </c>
      <c r="B20" s="336">
        <v>85.1</v>
      </c>
      <c r="C20" s="299">
        <v>1.3</v>
      </c>
      <c r="D20" s="206">
        <v>4</v>
      </c>
      <c r="E20" s="45"/>
    </row>
    <row r="21" spans="1:5" ht="18" customHeight="1">
      <c r="A21" s="305" t="s">
        <v>473</v>
      </c>
      <c r="B21" s="336">
        <v>59.07</v>
      </c>
      <c r="C21" s="299">
        <v>-3</v>
      </c>
      <c r="D21" s="206">
        <v>7</v>
      </c>
      <c r="E21" s="45"/>
    </row>
    <row r="22" spans="1:5" ht="18" customHeight="1">
      <c r="A22" s="305" t="s">
        <v>475</v>
      </c>
      <c r="B22" s="336">
        <v>62.41</v>
      </c>
      <c r="C22" s="299">
        <v>11.6</v>
      </c>
      <c r="D22" s="206">
        <v>1</v>
      </c>
      <c r="E22" s="45"/>
    </row>
    <row r="23" spans="1:5" ht="18" customHeight="1">
      <c r="A23" s="305" t="s">
        <v>476</v>
      </c>
      <c r="B23" s="336">
        <v>77.36</v>
      </c>
      <c r="C23" s="299">
        <v>-0.1</v>
      </c>
      <c r="D23" s="206">
        <v>5</v>
      </c>
      <c r="E23" s="45"/>
    </row>
    <row r="24" spans="1:5" ht="18" customHeight="1">
      <c r="A24" s="285" t="s">
        <v>477</v>
      </c>
      <c r="B24" s="336">
        <v>100.41</v>
      </c>
      <c r="C24" s="299">
        <v>1.7</v>
      </c>
      <c r="D24" s="206">
        <v>3</v>
      </c>
      <c r="E24" s="45"/>
    </row>
    <row r="25" spans="1:5" ht="18" customHeight="1">
      <c r="A25" s="285" t="s">
        <v>478</v>
      </c>
      <c r="B25" s="336">
        <v>87.61</v>
      </c>
      <c r="C25" s="299">
        <v>-1.1000000000000001</v>
      </c>
      <c r="D25" s="206">
        <v>6</v>
      </c>
      <c r="E25" s="45"/>
    </row>
    <row r="26" spans="1:5" ht="18" customHeight="1">
      <c r="A26" s="285" t="s">
        <v>479</v>
      </c>
      <c r="B26" s="336">
        <v>66.98</v>
      </c>
      <c r="C26" s="299">
        <v>1.8</v>
      </c>
      <c r="D26" s="206">
        <v>2</v>
      </c>
      <c r="E26" s="45"/>
    </row>
    <row r="27" spans="1:5" ht="18" customHeight="1">
      <c r="A27" s="289" t="s">
        <v>490</v>
      </c>
      <c r="B27" s="339">
        <v>56.04</v>
      </c>
      <c r="C27" s="340">
        <v>-3</v>
      </c>
      <c r="D27" s="207">
        <v>7</v>
      </c>
      <c r="E27" s="45"/>
    </row>
    <row r="28" spans="1:5">
      <c r="A28" s="738"/>
      <c r="B28" s="738"/>
      <c r="C28" s="738"/>
      <c r="D28" s="738"/>
    </row>
    <row r="34" spans="1:1">
      <c r="A34" s="341"/>
    </row>
    <row r="35" spans="1:1">
      <c r="A35" s="341"/>
    </row>
    <row r="36" spans="1:1">
      <c r="A36" s="341"/>
    </row>
    <row r="37" spans="1:1">
      <c r="A37" s="342"/>
    </row>
    <row r="38" spans="1:1">
      <c r="A38" s="343"/>
    </row>
    <row r="39" spans="1:1">
      <c r="A39" s="343"/>
    </row>
    <row r="40" spans="1:1">
      <c r="A40" s="343"/>
    </row>
    <row r="41" spans="1:1">
      <c r="A41" s="343"/>
    </row>
    <row r="42" spans="1:1">
      <c r="A42" s="315"/>
    </row>
    <row r="43" spans="1:1">
      <c r="A43" s="51"/>
    </row>
    <row r="44" spans="1:1">
      <c r="A44" s="341"/>
    </row>
  </sheetData>
  <sheetProtection password="DC9E" sheet="1" objects="1" scenarios="1"/>
  <mergeCells count="2">
    <mergeCell ref="A1:D1"/>
    <mergeCell ref="A28:D28"/>
  </mergeCells>
  <phoneticPr fontId="10" type="noConversion"/>
  <pageMargins left="0.75" right="0.75" top="0.59" bottom="0.59" header="0.51" footer="0.51"/>
  <pageSetup paperSize="9" orientation="portrait" verticalDpi="0"/>
  <headerFooter scaleWithDoc="0" alignWithMargins="0"/>
</worksheet>
</file>

<file path=xl/worksheets/sheet39.xml><?xml version="1.0" encoding="utf-8"?>
<worksheet xmlns="http://schemas.openxmlformats.org/spreadsheetml/2006/main" xmlns:r="http://schemas.openxmlformats.org/officeDocument/2006/relationships">
  <sheetPr enableFormatConditionsCalculation="0">
    <tabColor theme="5"/>
  </sheetPr>
  <dimension ref="A1:E44"/>
  <sheetViews>
    <sheetView zoomScale="80" workbookViewId="0">
      <selection activeCell="B3" sqref="B3"/>
    </sheetView>
  </sheetViews>
  <sheetFormatPr defaultColWidth="9" defaultRowHeight="14.25"/>
  <cols>
    <col min="1" max="1" width="41" style="44" customWidth="1"/>
    <col min="2" max="2" width="13.125" customWidth="1"/>
    <col min="3" max="3" width="13.125" style="332" customWidth="1"/>
    <col min="4" max="4" width="13.125" customWidth="1"/>
    <col min="5" max="5" width="9.75" bestFit="1" customWidth="1"/>
  </cols>
  <sheetData>
    <row r="1" spans="1:5" ht="34.5" customHeight="1">
      <c r="A1" s="746" t="s">
        <v>523</v>
      </c>
      <c r="B1" s="746"/>
      <c r="C1" s="746"/>
      <c r="D1" s="746"/>
    </row>
    <row r="2" spans="1:5" ht="20.25" customHeight="1">
      <c r="A2" s="333"/>
      <c r="B2" s="333"/>
      <c r="C2" s="738" t="s">
        <v>520</v>
      </c>
      <c r="D2" s="738"/>
    </row>
    <row r="3" spans="1:5" ht="28.5" customHeight="1">
      <c r="A3" s="292" t="s">
        <v>492</v>
      </c>
      <c r="B3" s="872" t="s">
        <v>117</v>
      </c>
      <c r="C3" s="294" t="s">
        <v>6</v>
      </c>
      <c r="D3" s="295" t="s">
        <v>466</v>
      </c>
      <c r="E3" s="45"/>
    </row>
    <row r="4" spans="1:5" ht="18" customHeight="1">
      <c r="A4" s="334" t="s">
        <v>524</v>
      </c>
      <c r="B4" s="302"/>
      <c r="C4" s="335"/>
      <c r="D4" s="302"/>
      <c r="E4" s="45"/>
    </row>
    <row r="5" spans="1:5" ht="18" customHeight="1">
      <c r="A5" s="303" t="s">
        <v>468</v>
      </c>
      <c r="B5" s="336">
        <v>2.0299999999999998</v>
      </c>
      <c r="C5" s="299">
        <v>-0.2</v>
      </c>
      <c r="D5" s="279" t="s">
        <v>469</v>
      </c>
      <c r="E5" s="45"/>
    </row>
    <row r="6" spans="1:5" ht="18" customHeight="1">
      <c r="A6" s="303" t="s">
        <v>470</v>
      </c>
      <c r="B6" s="336">
        <v>0.77</v>
      </c>
      <c r="C6" s="299">
        <v>-0.2</v>
      </c>
      <c r="D6" s="206">
        <v>6</v>
      </c>
      <c r="E6" s="45"/>
    </row>
    <row r="7" spans="1:5" ht="18" customHeight="1">
      <c r="A7" s="305" t="s">
        <v>471</v>
      </c>
      <c r="B7" s="336">
        <v>2.25</v>
      </c>
      <c r="C7" s="299">
        <v>-0.6</v>
      </c>
      <c r="D7" s="206">
        <v>8</v>
      </c>
      <c r="E7" s="45"/>
    </row>
    <row r="8" spans="1:5" ht="18" customHeight="1">
      <c r="A8" s="306" t="s">
        <v>472</v>
      </c>
      <c r="B8" s="336">
        <v>6.34</v>
      </c>
      <c r="C8" s="299">
        <v>-0.4</v>
      </c>
      <c r="D8" s="206">
        <v>7</v>
      </c>
      <c r="E8" s="45"/>
    </row>
    <row r="9" spans="1:5" ht="18" customHeight="1">
      <c r="A9" s="305" t="s">
        <v>473</v>
      </c>
      <c r="B9" s="336">
        <v>3.01</v>
      </c>
      <c r="C9" s="299">
        <v>0.3</v>
      </c>
      <c r="D9" s="206">
        <v>1</v>
      </c>
      <c r="E9" s="45"/>
    </row>
    <row r="10" spans="1:5" ht="18" customHeight="1">
      <c r="A10" s="305" t="s">
        <v>475</v>
      </c>
      <c r="B10" s="336">
        <v>3.17</v>
      </c>
      <c r="C10" s="299">
        <v>-1.3</v>
      </c>
      <c r="D10" s="206">
        <v>10</v>
      </c>
      <c r="E10" s="45"/>
    </row>
    <row r="11" spans="1:5" ht="18" customHeight="1">
      <c r="A11" s="305" t="s">
        <v>476</v>
      </c>
      <c r="B11" s="336">
        <v>0.86</v>
      </c>
      <c r="C11" s="299">
        <v>-0.1</v>
      </c>
      <c r="D11" s="206">
        <v>5</v>
      </c>
      <c r="E11" s="45"/>
    </row>
    <row r="12" spans="1:5" ht="18" customHeight="1">
      <c r="A12" s="285" t="s">
        <v>477</v>
      </c>
      <c r="B12" s="336">
        <v>0.38</v>
      </c>
      <c r="C12" s="299">
        <v>0</v>
      </c>
      <c r="D12" s="206">
        <v>3</v>
      </c>
      <c r="E12" s="45"/>
    </row>
    <row r="13" spans="1:5" ht="18" customHeight="1">
      <c r="A13" s="285" t="s">
        <v>478</v>
      </c>
      <c r="B13" s="336">
        <v>1.56</v>
      </c>
      <c r="C13" s="299">
        <v>0</v>
      </c>
      <c r="D13" s="206">
        <v>3</v>
      </c>
      <c r="E13" s="45"/>
    </row>
    <row r="14" spans="1:5" ht="18" customHeight="1">
      <c r="A14" s="285" t="s">
        <v>479</v>
      </c>
      <c r="B14" s="336">
        <v>3.87</v>
      </c>
      <c r="C14" s="299">
        <v>-0.7</v>
      </c>
      <c r="D14" s="206">
        <v>9</v>
      </c>
      <c r="E14" s="45"/>
    </row>
    <row r="15" spans="1:5" ht="18" customHeight="1">
      <c r="A15" s="285" t="s">
        <v>490</v>
      </c>
      <c r="B15" s="336">
        <v>2.1</v>
      </c>
      <c r="C15" s="299">
        <v>0.1</v>
      </c>
      <c r="D15" s="206">
        <v>2</v>
      </c>
      <c r="E15" s="45"/>
    </row>
    <row r="16" spans="1:5" ht="18" customHeight="1">
      <c r="A16" s="337" t="s">
        <v>525</v>
      </c>
      <c r="B16" s="336"/>
      <c r="C16" s="299"/>
      <c r="D16" s="206"/>
    </row>
    <row r="17" spans="1:4" ht="18" customHeight="1">
      <c r="A17" s="303" t="s">
        <v>468</v>
      </c>
      <c r="B17" s="336">
        <v>8.84</v>
      </c>
      <c r="C17" s="299">
        <v>-4.2</v>
      </c>
      <c r="D17" s="279" t="s">
        <v>469</v>
      </c>
    </row>
    <row r="18" spans="1:4" ht="18" customHeight="1">
      <c r="A18" s="303" t="s">
        <v>470</v>
      </c>
      <c r="B18" s="336">
        <v>11.82</v>
      </c>
      <c r="C18" s="299">
        <v>6.2</v>
      </c>
      <c r="D18" s="206">
        <v>1</v>
      </c>
    </row>
    <row r="19" spans="1:4" ht="18" customHeight="1">
      <c r="A19" s="305" t="s">
        <v>471</v>
      </c>
      <c r="B19" s="336">
        <v>3.92</v>
      </c>
      <c r="C19" s="299">
        <v>-4.8</v>
      </c>
      <c r="D19" s="206">
        <v>7</v>
      </c>
    </row>
    <row r="20" spans="1:4" ht="18" customHeight="1">
      <c r="A20" s="306" t="s">
        <v>472</v>
      </c>
      <c r="B20" s="336">
        <v>50.73</v>
      </c>
      <c r="C20" s="299">
        <v>-26.1</v>
      </c>
      <c r="D20" s="206">
        <v>10</v>
      </c>
    </row>
    <row r="21" spans="1:4" ht="18" customHeight="1">
      <c r="A21" s="305" t="s">
        <v>473</v>
      </c>
      <c r="B21" s="336">
        <v>7.55</v>
      </c>
      <c r="C21" s="299">
        <v>-8.4</v>
      </c>
      <c r="D21" s="206">
        <v>9</v>
      </c>
    </row>
    <row r="22" spans="1:4" ht="18" customHeight="1">
      <c r="A22" s="305" t="s">
        <v>475</v>
      </c>
      <c r="B22" s="336">
        <v>2.73</v>
      </c>
      <c r="C22" s="299">
        <v>0.6</v>
      </c>
      <c r="D22" s="206">
        <v>2</v>
      </c>
    </row>
    <row r="23" spans="1:4" ht="18" customHeight="1">
      <c r="A23" s="305" t="s">
        <v>476</v>
      </c>
      <c r="B23" s="336">
        <v>9.35</v>
      </c>
      <c r="C23" s="299">
        <v>-2.5</v>
      </c>
      <c r="D23" s="206">
        <v>6</v>
      </c>
    </row>
    <row r="24" spans="1:4" ht="18" customHeight="1">
      <c r="A24" s="285" t="s">
        <v>477</v>
      </c>
      <c r="B24" s="336">
        <v>2.21</v>
      </c>
      <c r="C24" s="299">
        <v>-0.6</v>
      </c>
      <c r="D24" s="206">
        <v>5</v>
      </c>
    </row>
    <row r="25" spans="1:4" ht="18" customHeight="1">
      <c r="A25" s="285" t="s">
        <v>478</v>
      </c>
      <c r="B25" s="336">
        <v>1.1200000000000001</v>
      </c>
      <c r="C25" s="299">
        <v>0.3</v>
      </c>
      <c r="D25" s="206">
        <v>3</v>
      </c>
    </row>
    <row r="26" spans="1:4" ht="18" customHeight="1">
      <c r="A26" s="285" t="s">
        <v>479</v>
      </c>
      <c r="B26" s="336">
        <v>2.52</v>
      </c>
      <c r="C26" s="299">
        <v>0.1</v>
      </c>
      <c r="D26" s="206">
        <v>4</v>
      </c>
    </row>
    <row r="27" spans="1:4" ht="18" customHeight="1">
      <c r="A27" s="338" t="s">
        <v>490</v>
      </c>
      <c r="B27" s="339">
        <v>8.1199999999999992</v>
      </c>
      <c r="C27" s="340">
        <v>-7.4</v>
      </c>
      <c r="D27" s="207">
        <v>8</v>
      </c>
    </row>
    <row r="28" spans="1:4">
      <c r="A28" s="738"/>
      <c r="B28" s="738"/>
      <c r="C28" s="738"/>
      <c r="D28" s="738"/>
    </row>
    <row r="34" spans="1:1">
      <c r="A34" s="341"/>
    </row>
    <row r="35" spans="1:1">
      <c r="A35" s="341"/>
    </row>
    <row r="36" spans="1:1">
      <c r="A36" s="341"/>
    </row>
    <row r="37" spans="1:1">
      <c r="A37" s="342"/>
    </row>
    <row r="38" spans="1:1">
      <c r="A38" s="343"/>
    </row>
    <row r="39" spans="1:1">
      <c r="A39" s="343"/>
    </row>
    <row r="40" spans="1:1">
      <c r="A40" s="343"/>
    </row>
    <row r="41" spans="1:1">
      <c r="A41" s="343"/>
    </row>
    <row r="42" spans="1:1">
      <c r="A42" s="315"/>
    </row>
    <row r="43" spans="1:1">
      <c r="A43" s="51"/>
    </row>
    <row r="44" spans="1:1">
      <c r="A44" s="341"/>
    </row>
  </sheetData>
  <sheetProtection password="DC9E" sheet="1" objects="1" scenarios="1"/>
  <mergeCells count="3">
    <mergeCell ref="A1:D1"/>
    <mergeCell ref="C2:D2"/>
    <mergeCell ref="A28:D28"/>
  </mergeCells>
  <phoneticPr fontId="10" type="noConversion"/>
  <pageMargins left="0.75" right="0.75" top="0.59" bottom="0.59" header="0.51" footer="0.51"/>
  <pageSetup paperSize="9" scale="99" orientation="portrait" verticalDpi="0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F25"/>
  <sheetViews>
    <sheetView zoomScaleSheetLayoutView="70" workbookViewId="0">
      <selection activeCell="G7" sqref="G7"/>
    </sheetView>
  </sheetViews>
  <sheetFormatPr defaultColWidth="9" defaultRowHeight="14.25"/>
  <cols>
    <col min="1" max="1" width="28" customWidth="1"/>
    <col min="2" max="4" width="9.125" customWidth="1"/>
  </cols>
  <sheetData>
    <row r="1" spans="1:6" ht="42.95" customHeight="1">
      <c r="A1" s="716" t="s">
        <v>38</v>
      </c>
      <c r="B1" s="716"/>
      <c r="C1" s="716"/>
      <c r="D1" s="716"/>
      <c r="E1" s="716"/>
      <c r="F1" s="716"/>
    </row>
    <row r="2" spans="1:6" ht="21.95" customHeight="1">
      <c r="A2" s="721" t="s">
        <v>1</v>
      </c>
      <c r="B2" s="722" t="s">
        <v>2</v>
      </c>
      <c r="C2" s="717" t="s">
        <v>39</v>
      </c>
      <c r="D2" s="718"/>
      <c r="E2" s="724" t="s">
        <v>40</v>
      </c>
      <c r="F2" s="725"/>
    </row>
    <row r="3" spans="1:6" ht="21.95" customHeight="1">
      <c r="A3" s="721"/>
      <c r="B3" s="723"/>
      <c r="C3" s="656" t="s">
        <v>5</v>
      </c>
      <c r="D3" s="656" t="s">
        <v>6</v>
      </c>
      <c r="E3" s="657" t="s">
        <v>5</v>
      </c>
      <c r="F3" s="657" t="s">
        <v>6</v>
      </c>
    </row>
    <row r="4" spans="1:6" ht="24.95" customHeight="1">
      <c r="A4" s="658" t="s">
        <v>7</v>
      </c>
      <c r="B4" s="507" t="s">
        <v>8</v>
      </c>
      <c r="C4" s="664" t="s">
        <v>9</v>
      </c>
      <c r="D4" s="664" t="s">
        <v>9</v>
      </c>
      <c r="E4" s="671" t="s">
        <v>9</v>
      </c>
      <c r="F4" s="672" t="s">
        <v>9</v>
      </c>
    </row>
    <row r="5" spans="1:6" ht="24.95" customHeight="1">
      <c r="A5" s="658" t="s">
        <v>10</v>
      </c>
      <c r="B5" s="507" t="s">
        <v>8</v>
      </c>
      <c r="C5" s="676">
        <v>929.12</v>
      </c>
      <c r="D5" s="677">
        <v>1.3</v>
      </c>
      <c r="E5" s="671">
        <v>743.46</v>
      </c>
      <c r="F5" s="672">
        <v>3.2</v>
      </c>
    </row>
    <row r="6" spans="1:6" ht="24.95" customHeight="1">
      <c r="A6" s="658" t="s">
        <v>11</v>
      </c>
      <c r="B6" s="507" t="s">
        <v>8</v>
      </c>
      <c r="C6" s="676">
        <v>295.38</v>
      </c>
      <c r="D6" s="678">
        <v>0.9</v>
      </c>
      <c r="E6" s="671">
        <v>236.48</v>
      </c>
      <c r="F6" s="672">
        <v>2.7</v>
      </c>
    </row>
    <row r="7" spans="1:6" ht="24.95" customHeight="1">
      <c r="A7" s="658" t="s">
        <v>12</v>
      </c>
      <c r="B7" s="507" t="s">
        <v>8</v>
      </c>
      <c r="C7" s="679"/>
      <c r="D7" s="30">
        <v>16</v>
      </c>
      <c r="E7" s="671"/>
      <c r="F7" s="672">
        <v>16.7</v>
      </c>
    </row>
    <row r="8" spans="1:6" ht="24.95" customHeight="1">
      <c r="A8" s="658" t="s">
        <v>13</v>
      </c>
      <c r="B8" s="507" t="s">
        <v>8</v>
      </c>
      <c r="C8" s="679"/>
      <c r="D8" s="30">
        <v>17.37</v>
      </c>
      <c r="E8" s="671"/>
      <c r="F8" s="672">
        <v>22.1</v>
      </c>
    </row>
    <row r="9" spans="1:6" ht="24.95" customHeight="1">
      <c r="A9" s="658" t="s">
        <v>14</v>
      </c>
      <c r="B9" s="507" t="s">
        <v>15</v>
      </c>
      <c r="C9" s="679">
        <v>211.47</v>
      </c>
      <c r="D9" s="30">
        <v>-4.59</v>
      </c>
      <c r="E9" s="671">
        <v>169.67</v>
      </c>
      <c r="F9" s="672">
        <v>-1.5</v>
      </c>
    </row>
    <row r="10" spans="1:6" ht="24.95" customHeight="1">
      <c r="A10" s="658" t="s">
        <v>16</v>
      </c>
      <c r="B10" s="507" t="s">
        <v>8</v>
      </c>
      <c r="C10" s="679">
        <v>739.76</v>
      </c>
      <c r="D10" s="30">
        <v>8.3000000000000007</v>
      </c>
      <c r="E10" s="664">
        <v>590.73</v>
      </c>
      <c r="F10" s="663">
        <v>8.1</v>
      </c>
    </row>
    <row r="11" spans="1:6" ht="24.95" customHeight="1">
      <c r="A11" s="661" t="s">
        <v>17</v>
      </c>
      <c r="B11" s="507" t="s">
        <v>8</v>
      </c>
      <c r="C11" s="679">
        <v>53.08</v>
      </c>
      <c r="D11" s="29">
        <v>6.4</v>
      </c>
      <c r="E11" s="664">
        <v>44.97</v>
      </c>
      <c r="F11" s="663">
        <v>11.4</v>
      </c>
    </row>
    <row r="12" spans="1:6" ht="24.95" customHeight="1">
      <c r="A12" s="661" t="s">
        <v>18</v>
      </c>
      <c r="B12" s="507" t="s">
        <v>8</v>
      </c>
      <c r="C12" s="709">
        <v>198.65</v>
      </c>
      <c r="D12" s="710">
        <v>15</v>
      </c>
      <c r="E12" s="664">
        <v>157.29</v>
      </c>
      <c r="F12" s="663">
        <v>11.7</v>
      </c>
    </row>
    <row r="13" spans="1:6" ht="24.95" customHeight="1">
      <c r="A13" s="658" t="s">
        <v>19</v>
      </c>
      <c r="B13" s="507" t="s">
        <v>8</v>
      </c>
      <c r="C13" s="686">
        <v>267.29000000000002</v>
      </c>
      <c r="D13" s="687">
        <v>17.55</v>
      </c>
      <c r="E13" s="664">
        <v>226.7242</v>
      </c>
      <c r="F13" s="663">
        <v>22.3</v>
      </c>
    </row>
    <row r="14" spans="1:6" ht="24.95" customHeight="1">
      <c r="A14" s="658" t="s">
        <v>20</v>
      </c>
      <c r="B14" s="507" t="s">
        <v>8</v>
      </c>
      <c r="C14" s="688">
        <v>151.5147</v>
      </c>
      <c r="D14" s="689">
        <v>17.399999999999999</v>
      </c>
      <c r="E14" s="662">
        <v>115.13</v>
      </c>
      <c r="F14" s="663">
        <v>18.399999999999999</v>
      </c>
    </row>
    <row r="15" spans="1:6" ht="24.95" customHeight="1">
      <c r="A15" s="658" t="s">
        <v>21</v>
      </c>
      <c r="B15" s="507" t="s">
        <v>8</v>
      </c>
      <c r="C15" s="688">
        <v>77.030100000000004</v>
      </c>
      <c r="D15" s="689">
        <v>11</v>
      </c>
      <c r="E15" s="662">
        <v>59.97</v>
      </c>
      <c r="F15" s="663">
        <v>20.2</v>
      </c>
    </row>
    <row r="16" spans="1:6" ht="24.95" customHeight="1">
      <c r="A16" s="658" t="s">
        <v>22</v>
      </c>
      <c r="B16" s="507" t="s">
        <v>8</v>
      </c>
      <c r="C16" s="688">
        <v>74.4846</v>
      </c>
      <c r="D16" s="689">
        <v>24.9</v>
      </c>
      <c r="E16" s="662">
        <v>55.16</v>
      </c>
      <c r="F16" s="663">
        <v>16.5</v>
      </c>
    </row>
    <row r="17" spans="1:6" ht="24.95" customHeight="1">
      <c r="A17" s="658" t="s">
        <v>23</v>
      </c>
      <c r="B17" s="507" t="s">
        <v>24</v>
      </c>
      <c r="C17" s="690">
        <v>7184</v>
      </c>
      <c r="D17" s="691">
        <v>66.5</v>
      </c>
      <c r="E17" s="673">
        <v>7165</v>
      </c>
      <c r="F17" s="663">
        <v>173.3</v>
      </c>
    </row>
    <row r="18" spans="1:6" ht="24.95" customHeight="1">
      <c r="A18" s="658" t="s">
        <v>25</v>
      </c>
      <c r="B18" s="507" t="s">
        <v>8</v>
      </c>
      <c r="C18" s="686">
        <v>3589.55</v>
      </c>
      <c r="D18" s="687">
        <v>9.3000000000000007</v>
      </c>
      <c r="E18" s="664">
        <v>3559.77</v>
      </c>
      <c r="F18" s="663">
        <v>8.5</v>
      </c>
    </row>
    <row r="19" spans="1:6" ht="24.95" customHeight="1">
      <c r="A19" s="661" t="s">
        <v>26</v>
      </c>
      <c r="B19" s="507" t="s">
        <v>8</v>
      </c>
      <c r="C19" s="692">
        <v>2298.89</v>
      </c>
      <c r="D19" s="693">
        <v>11.4</v>
      </c>
      <c r="E19" s="664">
        <v>2290.33</v>
      </c>
      <c r="F19" s="663">
        <v>10.7</v>
      </c>
    </row>
    <row r="20" spans="1:6" ht="24.95" customHeight="1">
      <c r="A20" s="658" t="s">
        <v>27</v>
      </c>
      <c r="B20" s="507" t="s">
        <v>8</v>
      </c>
      <c r="C20" s="692">
        <v>2285.88</v>
      </c>
      <c r="D20" s="693">
        <v>15.1</v>
      </c>
      <c r="E20" s="664">
        <v>2284.04</v>
      </c>
      <c r="F20" s="663">
        <v>15.8</v>
      </c>
    </row>
    <row r="21" spans="1:6" ht="24.95" customHeight="1">
      <c r="A21" s="658" t="s">
        <v>28</v>
      </c>
      <c r="B21" s="507" t="s">
        <v>29</v>
      </c>
      <c r="C21" s="693">
        <v>101.9</v>
      </c>
      <c r="D21" s="693">
        <v>1.9</v>
      </c>
      <c r="E21" s="663">
        <v>101.7</v>
      </c>
      <c r="F21" s="663">
        <v>1.7</v>
      </c>
    </row>
    <row r="22" spans="1:6" ht="24.95" customHeight="1">
      <c r="A22" s="658" t="s">
        <v>30</v>
      </c>
      <c r="B22" s="507" t="s">
        <v>29</v>
      </c>
      <c r="C22" s="693">
        <v>100.6</v>
      </c>
      <c r="D22" s="693">
        <v>0.6</v>
      </c>
      <c r="E22" s="663">
        <v>100.6</v>
      </c>
      <c r="F22" s="663">
        <v>0.6</v>
      </c>
    </row>
    <row r="23" spans="1:6" ht="24.95" customHeight="1">
      <c r="A23" s="658" t="s">
        <v>31</v>
      </c>
      <c r="B23" s="507" t="s">
        <v>32</v>
      </c>
      <c r="C23" s="692">
        <v>80.732900000000001</v>
      </c>
      <c r="D23" s="693">
        <v>5.68</v>
      </c>
      <c r="E23" s="664">
        <v>62.468800000000002</v>
      </c>
      <c r="F23" s="663">
        <v>7.89</v>
      </c>
    </row>
    <row r="24" spans="1:6" ht="24.95" customHeight="1">
      <c r="A24" s="666" t="s">
        <v>33</v>
      </c>
      <c r="B24" s="667" t="s">
        <v>32</v>
      </c>
      <c r="C24" s="694">
        <v>49.265799999999999</v>
      </c>
      <c r="D24" s="695">
        <v>2.06</v>
      </c>
      <c r="E24" s="674">
        <v>38.704500000000003</v>
      </c>
      <c r="F24" s="675">
        <v>4.8600000000000003</v>
      </c>
    </row>
    <row r="25" spans="1:6">
      <c r="A25" s="670" t="s">
        <v>34</v>
      </c>
      <c r="B25" s="670"/>
      <c r="C25" s="210"/>
      <c r="D25" s="210"/>
    </row>
  </sheetData>
  <sheetProtection password="DC9E" sheet="1" objects="1" scenarios="1"/>
  <mergeCells count="5">
    <mergeCell ref="A1:F1"/>
    <mergeCell ref="C2:D2"/>
    <mergeCell ref="E2:F2"/>
    <mergeCell ref="A2:A3"/>
    <mergeCell ref="B2:B3"/>
  </mergeCells>
  <phoneticPr fontId="10" type="noConversion"/>
  <pageMargins left="0.75" right="0.75" top="1" bottom="1" header="0.5" footer="0.5"/>
  <pageSetup paperSize="9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>
  <sheetPr enableFormatConditionsCalculation="0">
    <tabColor theme="5"/>
  </sheetPr>
  <dimension ref="A1:E28"/>
  <sheetViews>
    <sheetView zoomScale="80" workbookViewId="0">
      <selection activeCell="B17" sqref="B17:B28"/>
    </sheetView>
  </sheetViews>
  <sheetFormatPr defaultColWidth="9" defaultRowHeight="14.25"/>
  <cols>
    <col min="1" max="1" width="31.75" style="44" customWidth="1"/>
    <col min="2" max="2" width="13.125" customWidth="1"/>
    <col min="3" max="3" width="12.75" customWidth="1"/>
    <col min="4" max="4" width="16" customWidth="1"/>
  </cols>
  <sheetData>
    <row r="1" spans="1:4" ht="33.75" customHeight="1">
      <c r="A1" s="746" t="s">
        <v>526</v>
      </c>
      <c r="B1" s="746"/>
      <c r="C1" s="746"/>
      <c r="D1" s="746"/>
    </row>
    <row r="2" spans="1:4" ht="20.25" customHeight="1">
      <c r="A2" s="3"/>
      <c r="B2" s="3"/>
      <c r="C2" s="3"/>
      <c r="D2" s="329" t="s">
        <v>464</v>
      </c>
    </row>
    <row r="3" spans="1:4" s="43" customFormat="1" ht="31.5" customHeight="1">
      <c r="A3" s="292" t="s">
        <v>492</v>
      </c>
      <c r="B3" s="872" t="s">
        <v>49</v>
      </c>
      <c r="C3" s="276" t="s">
        <v>6</v>
      </c>
      <c r="D3" s="277" t="s">
        <v>466</v>
      </c>
    </row>
    <row r="4" spans="1:4" ht="18" customHeight="1">
      <c r="A4" s="321" t="s">
        <v>527</v>
      </c>
      <c r="B4" s="330"/>
      <c r="C4" s="317"/>
      <c r="D4" s="206"/>
    </row>
    <row r="5" spans="1:4" ht="18" customHeight="1">
      <c r="A5" s="313" t="s">
        <v>468</v>
      </c>
      <c r="B5" s="330">
        <v>1362.9641999999999</v>
      </c>
      <c r="C5" s="331">
        <v>8.5</v>
      </c>
      <c r="D5" s="279" t="s">
        <v>469</v>
      </c>
    </row>
    <row r="6" spans="1:4" ht="18" customHeight="1">
      <c r="A6" s="313" t="s">
        <v>470</v>
      </c>
      <c r="B6" s="330">
        <v>335.07139999999998</v>
      </c>
      <c r="C6" s="331">
        <v>8.3000000000000007</v>
      </c>
      <c r="D6" s="325">
        <v>8</v>
      </c>
    </row>
    <row r="7" spans="1:4" ht="18" customHeight="1">
      <c r="A7" s="315" t="s">
        <v>471</v>
      </c>
      <c r="B7" s="330">
        <v>348.06720000000001</v>
      </c>
      <c r="C7" s="331">
        <v>7.5</v>
      </c>
      <c r="D7" s="325">
        <v>10</v>
      </c>
    </row>
    <row r="8" spans="1:4" ht="18" customHeight="1">
      <c r="A8" s="316" t="s">
        <v>472</v>
      </c>
      <c r="B8" s="330">
        <v>37.178899999999999</v>
      </c>
      <c r="C8" s="331">
        <v>9</v>
      </c>
      <c r="D8" s="325">
        <v>6</v>
      </c>
    </row>
    <row r="9" spans="1:4" ht="18" customHeight="1">
      <c r="A9" s="315" t="s">
        <v>473</v>
      </c>
      <c r="B9" s="330">
        <v>58.850099999999998</v>
      </c>
      <c r="C9" s="331">
        <v>9.1</v>
      </c>
      <c r="D9" s="325">
        <v>5</v>
      </c>
    </row>
    <row r="10" spans="1:4" ht="18" customHeight="1">
      <c r="A10" s="315" t="s">
        <v>474</v>
      </c>
      <c r="B10" s="330">
        <v>147.5626</v>
      </c>
      <c r="C10" s="331">
        <v>9.4</v>
      </c>
      <c r="D10" s="325">
        <v>4</v>
      </c>
    </row>
    <row r="11" spans="1:4" ht="18" customHeight="1">
      <c r="A11" s="315" t="s">
        <v>475</v>
      </c>
      <c r="B11" s="330">
        <v>113.4045</v>
      </c>
      <c r="C11" s="331">
        <v>10.199999999999999</v>
      </c>
      <c r="D11" s="325">
        <v>1</v>
      </c>
    </row>
    <row r="12" spans="1:4" ht="18" customHeight="1">
      <c r="A12" s="315" t="s">
        <v>476</v>
      </c>
      <c r="B12" s="330">
        <v>73.314099999999996</v>
      </c>
      <c r="C12" s="331">
        <v>7.9</v>
      </c>
      <c r="D12" s="325">
        <v>9</v>
      </c>
    </row>
    <row r="13" spans="1:4" ht="18" customHeight="1">
      <c r="A13" s="315" t="s">
        <v>477</v>
      </c>
      <c r="B13" s="330">
        <v>129.88489999999999</v>
      </c>
      <c r="C13" s="331">
        <v>8.5</v>
      </c>
      <c r="D13" s="325">
        <v>7</v>
      </c>
    </row>
    <row r="14" spans="1:4" ht="18" customHeight="1">
      <c r="A14" s="315" t="s">
        <v>478</v>
      </c>
      <c r="B14" s="330">
        <v>99.876499999999993</v>
      </c>
      <c r="C14" s="331">
        <v>9.6999999999999993</v>
      </c>
      <c r="D14" s="325">
        <v>2</v>
      </c>
    </row>
    <row r="15" spans="1:4" ht="18" customHeight="1">
      <c r="A15" s="315" t="s">
        <v>479</v>
      </c>
      <c r="B15" s="330">
        <v>167.31620000000001</v>
      </c>
      <c r="C15" s="331">
        <v>9.6</v>
      </c>
      <c r="D15" s="325">
        <v>3</v>
      </c>
    </row>
    <row r="16" spans="1:4" ht="18" customHeight="1">
      <c r="A16" s="300" t="s">
        <v>528</v>
      </c>
      <c r="B16" s="310"/>
      <c r="C16" s="311"/>
      <c r="D16" s="312"/>
    </row>
    <row r="17" spans="1:5" ht="18" customHeight="1">
      <c r="A17" s="313" t="s">
        <v>468</v>
      </c>
      <c r="B17" s="314"/>
      <c r="C17" s="324">
        <v>4.9000000000000004</v>
      </c>
      <c r="D17" s="203" t="s">
        <v>9</v>
      </c>
      <c r="E17" s="99"/>
    </row>
    <row r="18" spans="1:5" ht="18" customHeight="1">
      <c r="A18" s="313" t="s">
        <v>470</v>
      </c>
      <c r="B18" s="314"/>
      <c r="C18" s="324">
        <v>1</v>
      </c>
      <c r="D18" s="203">
        <v>8</v>
      </c>
      <c r="E18" s="99"/>
    </row>
    <row r="19" spans="1:5" ht="18" customHeight="1">
      <c r="A19" s="315" t="s">
        <v>471</v>
      </c>
      <c r="B19" s="314"/>
      <c r="C19" s="324">
        <v>6.3</v>
      </c>
      <c r="D19" s="203">
        <v>6</v>
      </c>
      <c r="E19" s="99"/>
    </row>
    <row r="20" spans="1:5" ht="18" customHeight="1">
      <c r="A20" s="316" t="s">
        <v>472</v>
      </c>
      <c r="B20" s="314"/>
      <c r="C20" s="324">
        <v>-2.7</v>
      </c>
      <c r="D20" s="203">
        <v>9</v>
      </c>
      <c r="E20" s="99"/>
    </row>
    <row r="21" spans="1:5" ht="18" customHeight="1">
      <c r="A21" s="315" t="s">
        <v>473</v>
      </c>
      <c r="B21" s="314"/>
      <c r="C21" s="324">
        <v>6.2</v>
      </c>
      <c r="D21" s="203">
        <v>7</v>
      </c>
      <c r="E21" s="99"/>
    </row>
    <row r="22" spans="1:5" ht="18" customHeight="1">
      <c r="A22" s="315" t="s">
        <v>474</v>
      </c>
      <c r="B22" s="314"/>
      <c r="C22" s="324">
        <v>24.1</v>
      </c>
      <c r="D22" s="203">
        <v>3</v>
      </c>
    </row>
    <row r="23" spans="1:5" ht="18" customHeight="1">
      <c r="A23" s="315" t="s">
        <v>475</v>
      </c>
      <c r="B23" s="314"/>
      <c r="C23" s="324">
        <v>7.5</v>
      </c>
      <c r="D23" s="203">
        <v>5</v>
      </c>
    </row>
    <row r="24" spans="1:5" ht="18" customHeight="1">
      <c r="A24" s="315" t="s">
        <v>476</v>
      </c>
      <c r="B24" s="314"/>
      <c r="C24" s="324">
        <v>31.4</v>
      </c>
      <c r="D24" s="203">
        <v>1</v>
      </c>
    </row>
    <row r="25" spans="1:5" ht="18" customHeight="1">
      <c r="A25" s="315" t="s">
        <v>477</v>
      </c>
      <c r="B25" s="314"/>
      <c r="C25" s="324">
        <v>13.9</v>
      </c>
      <c r="D25" s="203">
        <v>4</v>
      </c>
    </row>
    <row r="26" spans="1:5" ht="18" customHeight="1">
      <c r="A26" s="315" t="s">
        <v>489</v>
      </c>
      <c r="B26" s="314"/>
      <c r="C26" s="324">
        <v>1.7</v>
      </c>
      <c r="D26" s="203" t="s">
        <v>9</v>
      </c>
    </row>
    <row r="27" spans="1:5" ht="18" customHeight="1">
      <c r="A27" s="315" t="s">
        <v>478</v>
      </c>
      <c r="B27" s="314"/>
      <c r="C27" s="324">
        <v>26.1</v>
      </c>
      <c r="D27" s="203">
        <v>2</v>
      </c>
    </row>
    <row r="28" spans="1:5">
      <c r="A28" s="318" t="s">
        <v>479</v>
      </c>
      <c r="B28" s="319"/>
      <c r="C28" s="327">
        <v>-27</v>
      </c>
      <c r="D28" s="205">
        <v>10</v>
      </c>
    </row>
  </sheetData>
  <sheetProtection password="DC9E" sheet="1" objects="1" scenarios="1"/>
  <mergeCells count="1">
    <mergeCell ref="A1:D1"/>
  </mergeCells>
  <phoneticPr fontId="10" type="noConversion"/>
  <printOptions horizontalCentered="1"/>
  <pageMargins left="0.75" right="0.75" top="0.59" bottom="0.59" header="0.51" footer="0.51"/>
  <pageSetup paperSize="9" scale="97" orientation="portrait"/>
  <headerFooter scaleWithDoc="0" alignWithMargins="0"/>
</worksheet>
</file>

<file path=xl/worksheets/sheet41.xml><?xml version="1.0" encoding="utf-8"?>
<worksheet xmlns="http://schemas.openxmlformats.org/spreadsheetml/2006/main" xmlns:r="http://schemas.openxmlformats.org/officeDocument/2006/relationships">
  <sheetPr enableFormatConditionsCalculation="0">
    <tabColor theme="5"/>
  </sheetPr>
  <dimension ref="A1:E28"/>
  <sheetViews>
    <sheetView zoomScale="80" workbookViewId="0">
      <selection activeCell="B5" sqref="B5:B27"/>
    </sheetView>
  </sheetViews>
  <sheetFormatPr defaultRowHeight="14.25"/>
  <cols>
    <col min="1" max="1" width="31.75" style="200" customWidth="1"/>
    <col min="2" max="2" width="13.125" style="274" customWidth="1"/>
    <col min="3" max="3" width="12.75" style="274" customWidth="1"/>
    <col min="4" max="4" width="16" style="274" customWidth="1"/>
    <col min="5" max="16384" width="9" style="274"/>
  </cols>
  <sheetData>
    <row r="1" spans="1:4" ht="33.75" customHeight="1">
      <c r="A1" s="747" t="s">
        <v>529</v>
      </c>
      <c r="B1" s="747"/>
      <c r="C1" s="747"/>
      <c r="D1" s="747"/>
    </row>
    <row r="2" spans="1:4" ht="20.25" customHeight="1">
      <c r="A2" s="39"/>
      <c r="B2" s="39"/>
      <c r="C2" s="39"/>
      <c r="D2" s="202" t="s">
        <v>464</v>
      </c>
    </row>
    <row r="3" spans="1:4" s="201" customFormat="1" ht="31.5" customHeight="1">
      <c r="A3" s="275" t="s">
        <v>492</v>
      </c>
      <c r="B3" s="875" t="s">
        <v>49</v>
      </c>
      <c r="C3" s="276" t="s">
        <v>6</v>
      </c>
      <c r="D3" s="277" t="s">
        <v>466</v>
      </c>
    </row>
    <row r="4" spans="1:4" ht="18" customHeight="1">
      <c r="A4" s="321" t="s">
        <v>530</v>
      </c>
      <c r="B4" s="322"/>
      <c r="C4" s="311"/>
      <c r="D4" s="312"/>
    </row>
    <row r="5" spans="1:4" ht="18" customHeight="1">
      <c r="A5" s="313" t="s">
        <v>468</v>
      </c>
      <c r="B5" s="314"/>
      <c r="C5" s="323">
        <v>4.9000000000000004</v>
      </c>
      <c r="D5" s="203" t="s">
        <v>9</v>
      </c>
    </row>
    <row r="6" spans="1:4" ht="18" customHeight="1">
      <c r="A6" s="313" t="s">
        <v>470</v>
      </c>
      <c r="B6" s="314"/>
      <c r="C6" s="323">
        <v>-34</v>
      </c>
      <c r="D6" s="203">
        <v>8</v>
      </c>
    </row>
    <row r="7" spans="1:4" ht="18" customHeight="1">
      <c r="A7" s="315" t="s">
        <v>471</v>
      </c>
      <c r="B7" s="314"/>
      <c r="C7" s="323">
        <v>182.4</v>
      </c>
      <c r="D7" s="203">
        <v>1</v>
      </c>
    </row>
    <row r="8" spans="1:4" ht="18" customHeight="1">
      <c r="A8" s="316" t="s">
        <v>472</v>
      </c>
      <c r="B8" s="314"/>
      <c r="C8" s="323">
        <v>-9.1999999999999993</v>
      </c>
      <c r="D8" s="203">
        <v>5</v>
      </c>
    </row>
    <row r="9" spans="1:4" ht="18" customHeight="1">
      <c r="A9" s="315" t="s">
        <v>473</v>
      </c>
      <c r="B9" s="314"/>
      <c r="C9" s="323">
        <v>-59.3</v>
      </c>
      <c r="D9" s="203">
        <v>10</v>
      </c>
    </row>
    <row r="10" spans="1:4" ht="18" customHeight="1">
      <c r="A10" s="315" t="s">
        <v>474</v>
      </c>
      <c r="B10" s="314"/>
      <c r="C10" s="323">
        <v>26.1</v>
      </c>
      <c r="D10" s="203">
        <v>3</v>
      </c>
    </row>
    <row r="11" spans="1:4" ht="18" customHeight="1">
      <c r="A11" s="315" t="s">
        <v>475</v>
      </c>
      <c r="B11" s="314"/>
      <c r="C11" s="323">
        <v>-26</v>
      </c>
      <c r="D11" s="203">
        <v>6</v>
      </c>
    </row>
    <row r="12" spans="1:4" ht="18" customHeight="1">
      <c r="A12" s="315" t="s">
        <v>476</v>
      </c>
      <c r="B12" s="314"/>
      <c r="C12" s="323">
        <v>90</v>
      </c>
      <c r="D12" s="203">
        <v>2</v>
      </c>
    </row>
    <row r="13" spans="1:4" ht="18" customHeight="1">
      <c r="A13" s="315" t="s">
        <v>477</v>
      </c>
      <c r="B13" s="314"/>
      <c r="C13" s="323">
        <v>-29.2</v>
      </c>
      <c r="D13" s="203">
        <v>7</v>
      </c>
    </row>
    <row r="14" spans="1:4" ht="18" customHeight="1">
      <c r="A14" s="315" t="s">
        <v>478</v>
      </c>
      <c r="B14" s="314"/>
      <c r="C14" s="323">
        <v>12.2</v>
      </c>
      <c r="D14" s="203">
        <v>4</v>
      </c>
    </row>
    <row r="15" spans="1:4" ht="18" customHeight="1">
      <c r="A15" s="315" t="s">
        <v>479</v>
      </c>
      <c r="B15" s="314"/>
      <c r="C15" s="323">
        <v>-56.6</v>
      </c>
      <c r="D15" s="203">
        <v>9</v>
      </c>
    </row>
    <row r="16" spans="1:4" ht="18" customHeight="1">
      <c r="A16" s="321" t="s">
        <v>531</v>
      </c>
      <c r="B16" s="314"/>
      <c r="C16" s="324"/>
      <c r="D16" s="206"/>
    </row>
    <row r="17" spans="1:5" ht="18" customHeight="1">
      <c r="A17" s="313" t="s">
        <v>468</v>
      </c>
      <c r="B17" s="314"/>
      <c r="C17" s="324">
        <v>115.4</v>
      </c>
      <c r="D17" s="279" t="s">
        <v>9</v>
      </c>
      <c r="E17" s="284"/>
    </row>
    <row r="18" spans="1:5" ht="18" customHeight="1">
      <c r="A18" s="313" t="s">
        <v>470</v>
      </c>
      <c r="B18" s="314"/>
      <c r="C18" s="324">
        <v>-27.7</v>
      </c>
      <c r="D18" s="325">
        <v>8</v>
      </c>
      <c r="E18" s="284"/>
    </row>
    <row r="19" spans="1:5" ht="18" customHeight="1">
      <c r="A19" s="315" t="s">
        <v>471</v>
      </c>
      <c r="B19" s="314"/>
      <c r="C19" s="324">
        <v>1033.3</v>
      </c>
      <c r="D19" s="325">
        <v>1</v>
      </c>
      <c r="E19" s="284"/>
    </row>
    <row r="20" spans="1:5" ht="18" customHeight="1">
      <c r="A20" s="316" t="s">
        <v>472</v>
      </c>
      <c r="B20" s="314"/>
      <c r="C20" s="324">
        <v>66.099999999999994</v>
      </c>
      <c r="D20" s="325">
        <v>4</v>
      </c>
      <c r="E20" s="284"/>
    </row>
    <row r="21" spans="1:5" ht="18" customHeight="1">
      <c r="A21" s="315" t="s">
        <v>473</v>
      </c>
      <c r="B21" s="314"/>
      <c r="C21" s="324">
        <v>-62.1</v>
      </c>
      <c r="D21" s="325">
        <v>9</v>
      </c>
      <c r="E21" s="284"/>
    </row>
    <row r="22" spans="1:5" ht="18" customHeight="1">
      <c r="A22" s="315" t="s">
        <v>474</v>
      </c>
      <c r="B22" s="314"/>
      <c r="C22" s="324">
        <v>345.5</v>
      </c>
      <c r="D22" s="325">
        <v>2</v>
      </c>
    </row>
    <row r="23" spans="1:5" ht="18" customHeight="1">
      <c r="A23" s="315" t="s">
        <v>475</v>
      </c>
      <c r="B23" s="314"/>
      <c r="C23" s="324">
        <v>36</v>
      </c>
      <c r="D23" s="325">
        <v>6</v>
      </c>
    </row>
    <row r="24" spans="1:5" ht="18" customHeight="1">
      <c r="A24" s="315" t="s">
        <v>476</v>
      </c>
      <c r="B24" s="326"/>
      <c r="C24" s="326" t="s">
        <v>9</v>
      </c>
      <c r="D24" s="325" t="s">
        <v>9</v>
      </c>
    </row>
    <row r="25" spans="1:5" ht="18" customHeight="1">
      <c r="A25" s="315" t="s">
        <v>477</v>
      </c>
      <c r="B25" s="314"/>
      <c r="C25" s="324">
        <v>98.5</v>
      </c>
      <c r="D25" s="325">
        <v>3</v>
      </c>
    </row>
    <row r="26" spans="1:5" ht="17.100000000000001" customHeight="1">
      <c r="A26" s="315" t="s">
        <v>478</v>
      </c>
      <c r="B26" s="314"/>
      <c r="C26" s="324">
        <v>43.7</v>
      </c>
      <c r="D26" s="325">
        <v>5</v>
      </c>
    </row>
    <row r="27" spans="1:5" ht="18" customHeight="1">
      <c r="A27" s="318" t="s">
        <v>479</v>
      </c>
      <c r="B27" s="319"/>
      <c r="C27" s="327">
        <v>6.6</v>
      </c>
      <c r="D27" s="328">
        <v>7</v>
      </c>
    </row>
    <row r="28" spans="1:5">
      <c r="B28" s="284"/>
    </row>
  </sheetData>
  <sheetProtection password="DC9E" sheet="1" objects="1" scenarios="1"/>
  <mergeCells count="1">
    <mergeCell ref="A1:D1"/>
  </mergeCells>
  <phoneticPr fontId="10" type="noConversion"/>
  <printOptions horizontalCentered="1"/>
  <pageMargins left="0.75" right="0.75" top="0.59" bottom="0.59" header="0.51" footer="0.51"/>
  <pageSetup paperSize="9" scale="97" orientation="portrait"/>
  <headerFooter scaleWithDoc="0" alignWithMargins="0"/>
</worksheet>
</file>

<file path=xl/worksheets/sheet42.xml><?xml version="1.0" encoding="utf-8"?>
<worksheet xmlns="http://schemas.openxmlformats.org/spreadsheetml/2006/main" xmlns:r="http://schemas.openxmlformats.org/officeDocument/2006/relationships">
  <sheetPr enableFormatConditionsCalculation="0">
    <tabColor theme="5"/>
  </sheetPr>
  <dimension ref="A1:E28"/>
  <sheetViews>
    <sheetView zoomScale="80" workbookViewId="0">
      <selection activeCell="B3" sqref="B3"/>
    </sheetView>
  </sheetViews>
  <sheetFormatPr defaultRowHeight="14.25"/>
  <cols>
    <col min="1" max="1" width="37.375" style="200" customWidth="1"/>
    <col min="2" max="2" width="13.125" style="274" customWidth="1"/>
    <col min="3" max="3" width="12.75" style="274" customWidth="1"/>
    <col min="4" max="4" width="16" style="274" customWidth="1"/>
    <col min="5" max="16384" width="9" style="274"/>
  </cols>
  <sheetData>
    <row r="1" spans="1:4" ht="33.75" customHeight="1">
      <c r="A1" s="747" t="s">
        <v>532</v>
      </c>
      <c r="B1" s="747"/>
      <c r="C1" s="747"/>
      <c r="D1" s="747"/>
    </row>
    <row r="2" spans="1:4" ht="20.25" customHeight="1">
      <c r="A2" s="39"/>
      <c r="B2" s="39"/>
      <c r="C2" s="39"/>
      <c r="D2" s="202"/>
    </row>
    <row r="3" spans="1:4" s="201" customFormat="1" ht="31.5" customHeight="1">
      <c r="A3" s="275" t="s">
        <v>492</v>
      </c>
      <c r="B3" s="875" t="s">
        <v>49</v>
      </c>
      <c r="C3" s="276" t="s">
        <v>6</v>
      </c>
      <c r="D3" s="277" t="s">
        <v>466</v>
      </c>
    </row>
    <row r="4" spans="1:4" ht="18" customHeight="1">
      <c r="A4" s="309" t="s">
        <v>533</v>
      </c>
      <c r="B4" s="310"/>
      <c r="C4" s="311"/>
      <c r="D4" s="312"/>
    </row>
    <row r="5" spans="1:4" ht="18" customHeight="1">
      <c r="A5" s="313" t="s">
        <v>468</v>
      </c>
      <c r="B5" s="314">
        <v>359.29</v>
      </c>
      <c r="C5" s="298">
        <v>4.3</v>
      </c>
      <c r="D5" s="203"/>
    </row>
    <row r="6" spans="1:4" ht="18" customHeight="1">
      <c r="A6" s="313" t="s">
        <v>470</v>
      </c>
      <c r="B6" s="314">
        <v>69.400000000000006</v>
      </c>
      <c r="C6" s="298">
        <v>3.7</v>
      </c>
      <c r="D6" s="203">
        <v>6</v>
      </c>
    </row>
    <row r="7" spans="1:4" ht="18" customHeight="1">
      <c r="A7" s="315" t="s">
        <v>471</v>
      </c>
      <c r="B7" s="314">
        <v>32.65</v>
      </c>
      <c r="C7" s="298">
        <v>-37.200000000000003</v>
      </c>
      <c r="D7" s="203">
        <v>10</v>
      </c>
    </row>
    <row r="8" spans="1:4" ht="18" customHeight="1">
      <c r="A8" s="316" t="s">
        <v>472</v>
      </c>
      <c r="B8" s="314">
        <v>26.14</v>
      </c>
      <c r="C8" s="298">
        <v>-12.9</v>
      </c>
      <c r="D8" s="203">
        <v>8</v>
      </c>
    </row>
    <row r="9" spans="1:4" ht="18" customHeight="1">
      <c r="A9" s="315" t="s">
        <v>473</v>
      </c>
      <c r="B9" s="314">
        <v>31.39</v>
      </c>
      <c r="C9" s="298">
        <v>63.6</v>
      </c>
      <c r="D9" s="203">
        <v>3</v>
      </c>
    </row>
    <row r="10" spans="1:4" ht="18" customHeight="1">
      <c r="A10" s="315" t="s">
        <v>474</v>
      </c>
      <c r="B10" s="314">
        <v>69.400000000000006</v>
      </c>
      <c r="C10" s="298">
        <v>29</v>
      </c>
      <c r="D10" s="203">
        <v>5</v>
      </c>
    </row>
    <row r="11" spans="1:4" ht="18" customHeight="1">
      <c r="A11" s="315" t="s">
        <v>475</v>
      </c>
      <c r="B11" s="314">
        <v>58.36</v>
      </c>
      <c r="C11" s="298">
        <v>1.5</v>
      </c>
      <c r="D11" s="203">
        <v>7</v>
      </c>
    </row>
    <row r="12" spans="1:4" ht="18" customHeight="1">
      <c r="A12" s="315" t="s">
        <v>476</v>
      </c>
      <c r="B12" s="314">
        <v>18.91</v>
      </c>
      <c r="C12" s="298">
        <v>30.4</v>
      </c>
      <c r="D12" s="203">
        <v>4</v>
      </c>
    </row>
    <row r="13" spans="1:4" ht="18" customHeight="1">
      <c r="A13" s="315" t="s">
        <v>477</v>
      </c>
      <c r="B13" s="314">
        <v>23.28</v>
      </c>
      <c r="C13" s="298">
        <v>109.5</v>
      </c>
      <c r="D13" s="203">
        <v>1</v>
      </c>
    </row>
    <row r="14" spans="1:4" ht="18" customHeight="1">
      <c r="A14" s="315" t="s">
        <v>478</v>
      </c>
      <c r="B14" s="314">
        <v>25.61</v>
      </c>
      <c r="C14" s="298">
        <v>99.3</v>
      </c>
      <c r="D14" s="203">
        <v>2</v>
      </c>
    </row>
    <row r="15" spans="1:4" ht="18" customHeight="1">
      <c r="A15" s="315" t="s">
        <v>479</v>
      </c>
      <c r="B15" s="314">
        <v>38.42</v>
      </c>
      <c r="C15" s="298">
        <v>-23.8</v>
      </c>
      <c r="D15" s="203">
        <v>9</v>
      </c>
    </row>
    <row r="16" spans="1:4" ht="18" customHeight="1">
      <c r="A16" s="309" t="s">
        <v>534</v>
      </c>
      <c r="B16" s="314"/>
      <c r="C16" s="317"/>
      <c r="D16" s="206"/>
    </row>
    <row r="17" spans="1:5" ht="18" customHeight="1">
      <c r="A17" s="313" t="s">
        <v>468</v>
      </c>
      <c r="B17" s="314">
        <v>394.303</v>
      </c>
      <c r="C17" s="298">
        <v>-0.7</v>
      </c>
      <c r="D17" s="203"/>
      <c r="E17" s="284"/>
    </row>
    <row r="18" spans="1:5" ht="18" customHeight="1">
      <c r="A18" s="313" t="s">
        <v>470</v>
      </c>
      <c r="B18" s="314">
        <v>59.133499999999998</v>
      </c>
      <c r="C18" s="298">
        <v>1.8</v>
      </c>
      <c r="D18" s="203">
        <v>6</v>
      </c>
      <c r="E18" s="284"/>
    </row>
    <row r="19" spans="1:5" ht="18" customHeight="1">
      <c r="A19" s="315" t="s">
        <v>471</v>
      </c>
      <c r="B19" s="314">
        <v>45.756700000000002</v>
      </c>
      <c r="C19" s="298">
        <v>60.3</v>
      </c>
      <c r="D19" s="203">
        <v>1</v>
      </c>
      <c r="E19" s="284"/>
    </row>
    <row r="20" spans="1:5" ht="18" customHeight="1">
      <c r="A20" s="316" t="s">
        <v>472</v>
      </c>
      <c r="B20" s="314">
        <v>9.4659999999999993</v>
      </c>
      <c r="C20" s="298">
        <v>43.6</v>
      </c>
      <c r="D20" s="203">
        <v>3</v>
      </c>
      <c r="E20" s="284"/>
    </row>
    <row r="21" spans="1:5" ht="18" customHeight="1">
      <c r="A21" s="315" t="s">
        <v>473</v>
      </c>
      <c r="B21" s="314">
        <v>19.510999999999999</v>
      </c>
      <c r="C21" s="298">
        <v>-38.799999999999997</v>
      </c>
      <c r="D21" s="203">
        <v>9</v>
      </c>
      <c r="E21" s="284"/>
    </row>
    <row r="22" spans="1:5" ht="18" customHeight="1">
      <c r="A22" s="315" t="s">
        <v>474</v>
      </c>
      <c r="B22" s="314">
        <v>45.411900000000003</v>
      </c>
      <c r="C22" s="298">
        <v>-38.299999999999997</v>
      </c>
      <c r="D22" s="203">
        <v>8</v>
      </c>
    </row>
    <row r="23" spans="1:5" ht="18" customHeight="1">
      <c r="A23" s="315" t="s">
        <v>475</v>
      </c>
      <c r="B23" s="314">
        <v>82.311199999999999</v>
      </c>
      <c r="C23" s="298">
        <v>33.5</v>
      </c>
      <c r="D23" s="203">
        <v>4</v>
      </c>
    </row>
    <row r="24" spans="1:5" ht="18" customHeight="1">
      <c r="A24" s="315" t="s">
        <v>476</v>
      </c>
      <c r="B24" s="314">
        <v>29.321999999999999</v>
      </c>
      <c r="C24" s="298">
        <v>-8.5</v>
      </c>
      <c r="D24" s="203">
        <v>7</v>
      </c>
    </row>
    <row r="25" spans="1:5" ht="18" customHeight="1">
      <c r="A25" s="315" t="s">
        <v>477</v>
      </c>
      <c r="B25" s="314">
        <v>20.571200000000001</v>
      </c>
      <c r="C25" s="298">
        <v>48.5</v>
      </c>
      <c r="D25" s="203">
        <v>2</v>
      </c>
    </row>
    <row r="26" spans="1:5" ht="18" customHeight="1">
      <c r="A26" s="315" t="s">
        <v>478</v>
      </c>
      <c r="B26" s="314">
        <v>47.200499999999998</v>
      </c>
      <c r="C26" s="298">
        <v>25.3</v>
      </c>
      <c r="D26" s="203">
        <v>5</v>
      </c>
    </row>
    <row r="27" spans="1:5" ht="18" customHeight="1">
      <c r="A27" s="318" t="s">
        <v>479</v>
      </c>
      <c r="B27" s="319">
        <v>49.507399999999997</v>
      </c>
      <c r="C27" s="320">
        <v>-38.9</v>
      </c>
      <c r="D27" s="205">
        <v>10</v>
      </c>
    </row>
    <row r="28" spans="1:5">
      <c r="B28" s="284"/>
    </row>
  </sheetData>
  <sheetProtection password="DC9E" sheet="1" objects="1" scenarios="1"/>
  <mergeCells count="1">
    <mergeCell ref="A1:D1"/>
  </mergeCells>
  <phoneticPr fontId="10" type="noConversion"/>
  <printOptions horizontalCentered="1"/>
  <pageMargins left="0.75" right="0.75" top="0.59" bottom="0.59" header="0.51" footer="0.51"/>
  <pageSetup paperSize="9" scale="97" orientation="portrait"/>
  <headerFooter scaleWithDoc="0" alignWithMargins="0"/>
</worksheet>
</file>

<file path=xl/worksheets/sheet43.xml><?xml version="1.0" encoding="utf-8"?>
<worksheet xmlns="http://schemas.openxmlformats.org/spreadsheetml/2006/main" xmlns:r="http://schemas.openxmlformats.org/officeDocument/2006/relationships">
  <sheetPr enableFormatConditionsCalculation="0">
    <tabColor theme="5"/>
  </sheetPr>
  <dimension ref="A1:E27"/>
  <sheetViews>
    <sheetView zoomScale="80" workbookViewId="0">
      <selection activeCell="K16" sqref="K16"/>
    </sheetView>
  </sheetViews>
  <sheetFormatPr defaultColWidth="9" defaultRowHeight="14.25"/>
  <cols>
    <col min="1" max="1" width="32.75" style="44" customWidth="1"/>
    <col min="2" max="4" width="13.125" customWidth="1"/>
  </cols>
  <sheetData>
    <row r="1" spans="1:5" ht="33.75" customHeight="1">
      <c r="A1" s="746" t="s">
        <v>535</v>
      </c>
      <c r="B1" s="746"/>
      <c r="C1" s="746"/>
      <c r="D1" s="746"/>
    </row>
    <row r="2" spans="1:5" ht="20.25" customHeight="1">
      <c r="A2" s="3"/>
      <c r="B2" s="3"/>
      <c r="C2" s="738" t="s">
        <v>464</v>
      </c>
      <c r="D2" s="738"/>
    </row>
    <row r="3" spans="1:5" s="43" customFormat="1" ht="31.5" customHeight="1">
      <c r="A3" s="292" t="s">
        <v>492</v>
      </c>
      <c r="B3" s="906" t="s">
        <v>49</v>
      </c>
      <c r="C3" s="907" t="s">
        <v>6</v>
      </c>
      <c r="D3" s="295" t="s">
        <v>466</v>
      </c>
    </row>
    <row r="4" spans="1:5" ht="18" customHeight="1">
      <c r="A4" s="296" t="s">
        <v>536</v>
      </c>
      <c r="B4" s="908"/>
      <c r="C4" s="909"/>
      <c r="D4" s="206"/>
    </row>
    <row r="5" spans="1:5" ht="18" customHeight="1">
      <c r="A5" s="281" t="s">
        <v>468</v>
      </c>
      <c r="B5" s="910">
        <v>97.959800000000001</v>
      </c>
      <c r="C5" s="911">
        <v>6.3</v>
      </c>
      <c r="D5" s="206" t="s">
        <v>469</v>
      </c>
    </row>
    <row r="6" spans="1:5" ht="18" customHeight="1">
      <c r="A6" s="281" t="s">
        <v>470</v>
      </c>
      <c r="B6" s="910">
        <v>2.6892999999999998</v>
      </c>
      <c r="C6" s="911">
        <v>0.5</v>
      </c>
      <c r="D6" s="206">
        <v>9</v>
      </c>
      <c r="E6" s="297"/>
    </row>
    <row r="7" spans="1:5" ht="18" customHeight="1">
      <c r="A7" s="285" t="s">
        <v>471</v>
      </c>
      <c r="B7" s="910">
        <v>5.1504000000000003</v>
      </c>
      <c r="C7" s="911">
        <v>-19.899999999999999</v>
      </c>
      <c r="D7" s="206">
        <v>10</v>
      </c>
      <c r="E7" s="297"/>
    </row>
    <row r="8" spans="1:5" ht="18" customHeight="1">
      <c r="A8" s="286" t="s">
        <v>472</v>
      </c>
      <c r="B8" s="910">
        <v>3.9849000000000001</v>
      </c>
      <c r="C8" s="911">
        <v>84.3</v>
      </c>
      <c r="D8" s="206">
        <v>1</v>
      </c>
      <c r="E8" s="297"/>
    </row>
    <row r="9" spans="1:5" ht="18" customHeight="1">
      <c r="A9" s="285" t="s">
        <v>473</v>
      </c>
      <c r="B9" s="910">
        <v>4.3882000000000003</v>
      </c>
      <c r="C9" s="911">
        <v>8</v>
      </c>
      <c r="D9" s="206">
        <v>4</v>
      </c>
      <c r="E9" s="297"/>
    </row>
    <row r="10" spans="1:5" ht="18" customHeight="1">
      <c r="A10" s="285" t="s">
        <v>474</v>
      </c>
      <c r="B10" s="124">
        <v>12.471</v>
      </c>
      <c r="C10" s="298">
        <v>19.3</v>
      </c>
      <c r="D10" s="206">
        <v>2</v>
      </c>
    </row>
    <row r="11" spans="1:5" ht="18" customHeight="1">
      <c r="A11" s="285" t="s">
        <v>475</v>
      </c>
      <c r="B11" s="99">
        <v>7.0875000000000004</v>
      </c>
      <c r="C11" s="299">
        <v>7.4</v>
      </c>
      <c r="D11" s="206">
        <v>5</v>
      </c>
    </row>
    <row r="12" spans="1:5" ht="18" customHeight="1">
      <c r="A12" s="285" t="s">
        <v>476</v>
      </c>
      <c r="B12" s="99">
        <v>3.9279999999999999</v>
      </c>
      <c r="C12" s="299">
        <v>8.3000000000000007</v>
      </c>
      <c r="D12" s="206">
        <v>3</v>
      </c>
    </row>
    <row r="13" spans="1:5" ht="18" customHeight="1">
      <c r="A13" s="285" t="s">
        <v>477</v>
      </c>
      <c r="B13" s="99">
        <v>4.226</v>
      </c>
      <c r="C13" s="299">
        <v>3.5</v>
      </c>
      <c r="D13" s="206">
        <v>8</v>
      </c>
    </row>
    <row r="14" spans="1:5" ht="18" customHeight="1">
      <c r="A14" s="285" t="s">
        <v>478</v>
      </c>
      <c r="B14" s="99">
        <v>5.2203999999999997</v>
      </c>
      <c r="C14" s="299">
        <v>6.3</v>
      </c>
      <c r="D14" s="206">
        <v>7</v>
      </c>
    </row>
    <row r="15" spans="1:5" ht="18" customHeight="1">
      <c r="A15" s="285" t="s">
        <v>479</v>
      </c>
      <c r="B15" s="99">
        <v>8.69</v>
      </c>
      <c r="C15" s="299">
        <v>6.4</v>
      </c>
      <c r="D15" s="206">
        <v>6</v>
      </c>
    </row>
    <row r="16" spans="1:5" ht="18" customHeight="1">
      <c r="A16" s="300" t="s">
        <v>537</v>
      </c>
      <c r="B16" s="99"/>
      <c r="C16" s="301"/>
      <c r="D16" s="302"/>
      <c r="E16" s="43"/>
    </row>
    <row r="17" spans="1:4" ht="18" customHeight="1">
      <c r="A17" s="303" t="s">
        <v>468</v>
      </c>
      <c r="B17" s="99">
        <v>372.36630000000002</v>
      </c>
      <c r="C17" s="304">
        <v>6.6</v>
      </c>
      <c r="D17" s="206" t="s">
        <v>9</v>
      </c>
    </row>
    <row r="18" spans="1:4" ht="18" customHeight="1">
      <c r="A18" s="303" t="s">
        <v>470</v>
      </c>
      <c r="B18" s="99">
        <v>11.365399999999999</v>
      </c>
      <c r="C18" s="299">
        <v>17.7</v>
      </c>
      <c r="D18" s="206">
        <v>2</v>
      </c>
    </row>
    <row r="19" spans="1:4" ht="18" customHeight="1">
      <c r="A19" s="305" t="s">
        <v>471</v>
      </c>
      <c r="B19" s="99">
        <v>14.8118</v>
      </c>
      <c r="C19" s="299">
        <v>15.1</v>
      </c>
      <c r="D19" s="206">
        <v>4</v>
      </c>
    </row>
    <row r="20" spans="1:4" ht="18" customHeight="1">
      <c r="A20" s="306" t="s">
        <v>472</v>
      </c>
      <c r="B20" s="99">
        <v>12.3773</v>
      </c>
      <c r="C20" s="299">
        <v>23.5</v>
      </c>
      <c r="D20" s="206">
        <v>1</v>
      </c>
    </row>
    <row r="21" spans="1:4" ht="18" customHeight="1">
      <c r="A21" s="305" t="s">
        <v>473</v>
      </c>
      <c r="B21" s="99">
        <v>12.4284</v>
      </c>
      <c r="C21" s="299">
        <v>15.2</v>
      </c>
      <c r="D21" s="206">
        <v>3</v>
      </c>
    </row>
    <row r="22" spans="1:4" ht="18" customHeight="1">
      <c r="A22" s="305" t="s">
        <v>474</v>
      </c>
      <c r="B22" s="99">
        <v>20.546299999999999</v>
      </c>
      <c r="C22" s="299">
        <v>14</v>
      </c>
      <c r="D22" s="206">
        <v>5</v>
      </c>
    </row>
    <row r="23" spans="1:4" ht="18" customHeight="1">
      <c r="A23" s="305" t="s">
        <v>475</v>
      </c>
      <c r="B23" s="99">
        <v>40.177399999999999</v>
      </c>
      <c r="C23" s="299">
        <v>2.6</v>
      </c>
      <c r="D23" s="206">
        <v>9</v>
      </c>
    </row>
    <row r="24" spans="1:4" ht="18" customHeight="1">
      <c r="A24" s="285" t="s">
        <v>476</v>
      </c>
      <c r="B24" s="99">
        <v>31.2514</v>
      </c>
      <c r="C24" s="299">
        <v>8.6999999999999993</v>
      </c>
      <c r="D24" s="206">
        <v>7</v>
      </c>
    </row>
    <row r="25" spans="1:4" ht="18" customHeight="1">
      <c r="A25" s="285" t="s">
        <v>477</v>
      </c>
      <c r="B25" s="99">
        <v>53.959099999999999</v>
      </c>
      <c r="C25" s="299">
        <v>-6.6</v>
      </c>
      <c r="D25" s="206">
        <v>10</v>
      </c>
    </row>
    <row r="26" spans="1:4" ht="18" customHeight="1">
      <c r="A26" s="285" t="s">
        <v>478</v>
      </c>
      <c r="B26" s="99">
        <v>38.692</v>
      </c>
      <c r="C26" s="299">
        <v>12</v>
      </c>
      <c r="D26" s="206">
        <v>6</v>
      </c>
    </row>
    <row r="27" spans="1:4" ht="18" customHeight="1">
      <c r="A27" s="289" t="s">
        <v>479</v>
      </c>
      <c r="B27" s="307">
        <v>60.952800000000003</v>
      </c>
      <c r="C27" s="308">
        <v>8.1999999999999993</v>
      </c>
      <c r="D27" s="291">
        <v>8</v>
      </c>
    </row>
  </sheetData>
  <sheetProtection password="DC9E" sheet="1" objects="1" scenarios="1"/>
  <mergeCells count="2">
    <mergeCell ref="A1:D1"/>
    <mergeCell ref="C2:D2"/>
  </mergeCells>
  <phoneticPr fontId="10" type="noConversion"/>
  <pageMargins left="0.75" right="0.75" top="0.39" bottom="0.39" header="0.51" footer="0.51"/>
  <pageSetup paperSize="9" scale="96" orientation="portrait" verticalDpi="0"/>
  <headerFooter scaleWithDoc="0" alignWithMargins="0"/>
</worksheet>
</file>

<file path=xl/worksheets/sheet44.xml><?xml version="1.0" encoding="utf-8"?>
<worksheet xmlns="http://schemas.openxmlformats.org/spreadsheetml/2006/main" xmlns:r="http://schemas.openxmlformats.org/officeDocument/2006/relationships">
  <sheetPr enableFormatConditionsCalculation="0">
    <tabColor theme="5"/>
  </sheetPr>
  <dimension ref="A1:F29"/>
  <sheetViews>
    <sheetView zoomScale="80" workbookViewId="0">
      <selection activeCell="E16" sqref="E16"/>
    </sheetView>
  </sheetViews>
  <sheetFormatPr defaultRowHeight="14.25"/>
  <cols>
    <col min="1" max="1" width="35.5" style="200" customWidth="1"/>
    <col min="2" max="4" width="13.125" style="274" customWidth="1"/>
    <col min="5" max="16384" width="9" style="274"/>
  </cols>
  <sheetData>
    <row r="1" spans="1:6" ht="24.95" customHeight="1">
      <c r="A1" s="747" t="s">
        <v>538</v>
      </c>
      <c r="B1" s="747"/>
      <c r="C1" s="747"/>
      <c r="D1" s="747"/>
    </row>
    <row r="2" spans="1:6" ht="20.25" customHeight="1">
      <c r="A2" s="39"/>
      <c r="B2" s="39"/>
      <c r="C2" s="744"/>
      <c r="D2" s="744"/>
    </row>
    <row r="3" spans="1:6" s="201" customFormat="1" ht="31.5" customHeight="1">
      <c r="A3" s="874" t="s">
        <v>492</v>
      </c>
      <c r="B3" s="875" t="s">
        <v>49</v>
      </c>
      <c r="C3" s="276" t="s">
        <v>6</v>
      </c>
      <c r="D3" s="277" t="s">
        <v>466</v>
      </c>
    </row>
    <row r="4" spans="1:6" ht="24" customHeight="1">
      <c r="A4" s="912" t="s">
        <v>539</v>
      </c>
      <c r="B4" s="913"/>
      <c r="C4" s="278"/>
      <c r="D4" s="279"/>
      <c r="E4" s="280"/>
    </row>
    <row r="5" spans="1:6" ht="18" customHeight="1">
      <c r="A5" s="914" t="s">
        <v>468</v>
      </c>
      <c r="B5" s="282">
        <v>250.47970000000001</v>
      </c>
      <c r="C5" s="283">
        <v>5.4</v>
      </c>
      <c r="D5" s="206" t="s">
        <v>9</v>
      </c>
      <c r="F5" s="284"/>
    </row>
    <row r="6" spans="1:6" ht="18" customHeight="1">
      <c r="A6" s="914" t="s">
        <v>470</v>
      </c>
      <c r="B6" s="901" t="s">
        <v>9</v>
      </c>
      <c r="C6" s="206" t="s">
        <v>9</v>
      </c>
      <c r="D6" s="206" t="s">
        <v>9</v>
      </c>
      <c r="F6" s="284"/>
    </row>
    <row r="7" spans="1:6" ht="18" customHeight="1">
      <c r="A7" s="870" t="s">
        <v>471</v>
      </c>
      <c r="B7" s="901" t="s">
        <v>9</v>
      </c>
      <c r="C7" s="206" t="s">
        <v>9</v>
      </c>
      <c r="D7" s="206" t="s">
        <v>9</v>
      </c>
      <c r="F7" s="284"/>
    </row>
    <row r="8" spans="1:6" ht="18" customHeight="1">
      <c r="A8" s="915" t="s">
        <v>472</v>
      </c>
      <c r="B8" s="901" t="s">
        <v>9</v>
      </c>
      <c r="C8" s="206" t="s">
        <v>9</v>
      </c>
      <c r="D8" s="206" t="s">
        <v>9</v>
      </c>
      <c r="F8" s="284"/>
    </row>
    <row r="9" spans="1:6" ht="18" customHeight="1">
      <c r="A9" s="870" t="s">
        <v>473</v>
      </c>
      <c r="B9" s="901" t="s">
        <v>9</v>
      </c>
      <c r="C9" s="206" t="s">
        <v>9</v>
      </c>
      <c r="D9" s="206" t="s">
        <v>9</v>
      </c>
      <c r="F9" s="284"/>
    </row>
    <row r="10" spans="1:6" ht="18" customHeight="1">
      <c r="A10" s="870" t="s">
        <v>474</v>
      </c>
      <c r="B10" s="901" t="s">
        <v>9</v>
      </c>
      <c r="C10" s="206" t="s">
        <v>9</v>
      </c>
      <c r="D10" s="206" t="s">
        <v>9</v>
      </c>
    </row>
    <row r="11" spans="1:6" ht="18" customHeight="1">
      <c r="A11" s="870" t="s">
        <v>475</v>
      </c>
      <c r="B11" s="901" t="s">
        <v>9</v>
      </c>
      <c r="C11" s="206" t="s">
        <v>9</v>
      </c>
      <c r="D11" s="206" t="s">
        <v>9</v>
      </c>
    </row>
    <row r="12" spans="1:6" ht="18" customHeight="1">
      <c r="A12" s="870" t="s">
        <v>476</v>
      </c>
      <c r="B12" s="901" t="s">
        <v>9</v>
      </c>
      <c r="C12" s="206" t="s">
        <v>9</v>
      </c>
      <c r="D12" s="206" t="s">
        <v>9</v>
      </c>
    </row>
    <row r="13" spans="1:6" ht="18" customHeight="1">
      <c r="A13" s="870" t="s">
        <v>477</v>
      </c>
      <c r="B13" s="901" t="s">
        <v>9</v>
      </c>
      <c r="C13" s="206" t="s">
        <v>9</v>
      </c>
      <c r="D13" s="206" t="s">
        <v>9</v>
      </c>
    </row>
    <row r="14" spans="1:6" ht="18" customHeight="1">
      <c r="A14" s="870" t="s">
        <v>478</v>
      </c>
      <c r="B14" s="901" t="s">
        <v>9</v>
      </c>
      <c r="C14" s="206" t="s">
        <v>9</v>
      </c>
      <c r="D14" s="206" t="s">
        <v>9</v>
      </c>
    </row>
    <row r="15" spans="1:6" ht="18" customHeight="1">
      <c r="A15" s="870" t="s">
        <v>479</v>
      </c>
      <c r="B15" s="901" t="s">
        <v>9</v>
      </c>
      <c r="C15" s="206" t="s">
        <v>9</v>
      </c>
      <c r="D15" s="206" t="s">
        <v>9</v>
      </c>
    </row>
    <row r="16" spans="1:6" ht="24.95" customHeight="1">
      <c r="A16" s="912" t="s">
        <v>540</v>
      </c>
      <c r="B16" s="913"/>
      <c r="C16" s="10"/>
      <c r="D16" s="206"/>
      <c r="E16" s="201"/>
    </row>
    <row r="17" spans="1:6" ht="18" customHeight="1">
      <c r="A17" s="914" t="s">
        <v>468</v>
      </c>
      <c r="B17" s="902">
        <v>19329</v>
      </c>
      <c r="C17" s="287">
        <v>192.5</v>
      </c>
      <c r="D17" s="206" t="s">
        <v>9</v>
      </c>
    </row>
    <row r="18" spans="1:6" ht="18" customHeight="1">
      <c r="A18" s="914" t="s">
        <v>470</v>
      </c>
      <c r="B18" s="902">
        <v>0</v>
      </c>
      <c r="C18" s="287">
        <v>0</v>
      </c>
      <c r="D18" s="206" t="s">
        <v>9</v>
      </c>
      <c r="F18" s="288"/>
    </row>
    <row r="19" spans="1:6" ht="18" customHeight="1">
      <c r="A19" s="870" t="s">
        <v>471</v>
      </c>
      <c r="B19" s="902">
        <v>73</v>
      </c>
      <c r="C19" s="287">
        <v>-90.3</v>
      </c>
      <c r="D19" s="206" t="s">
        <v>9</v>
      </c>
      <c r="F19" s="288"/>
    </row>
    <row r="20" spans="1:6" ht="18" customHeight="1">
      <c r="A20" s="286" t="s">
        <v>472</v>
      </c>
      <c r="B20" s="77">
        <v>126</v>
      </c>
      <c r="C20" s="206">
        <v>-39.700000000000003</v>
      </c>
      <c r="D20" s="206" t="s">
        <v>9</v>
      </c>
      <c r="F20" s="288"/>
    </row>
    <row r="21" spans="1:6" ht="18" customHeight="1">
      <c r="A21" s="285" t="s">
        <v>473</v>
      </c>
      <c r="B21" s="77">
        <v>474</v>
      </c>
      <c r="C21" s="287">
        <v>-44.2</v>
      </c>
      <c r="D21" s="206" t="s">
        <v>9</v>
      </c>
      <c r="F21" s="288"/>
    </row>
    <row r="22" spans="1:6" ht="18" customHeight="1">
      <c r="A22" s="285" t="s">
        <v>474</v>
      </c>
      <c r="B22" s="77">
        <v>2324</v>
      </c>
      <c r="C22" s="287">
        <v>12.1</v>
      </c>
      <c r="D22" s="206" t="s">
        <v>9</v>
      </c>
    </row>
    <row r="23" spans="1:6" ht="18" customHeight="1">
      <c r="A23" s="285" t="s">
        <v>475</v>
      </c>
      <c r="B23" s="77">
        <v>1447</v>
      </c>
      <c r="C23" s="287">
        <v>871.1</v>
      </c>
      <c r="D23" s="206" t="s">
        <v>9</v>
      </c>
    </row>
    <row r="24" spans="1:6" ht="18" customHeight="1">
      <c r="A24" s="285" t="s">
        <v>476</v>
      </c>
      <c r="B24" s="77">
        <v>665</v>
      </c>
      <c r="C24" s="287">
        <v>-35.4</v>
      </c>
      <c r="D24" s="206" t="s">
        <v>9</v>
      </c>
    </row>
    <row r="25" spans="1:6" ht="18" customHeight="1">
      <c r="A25" s="285" t="s">
        <v>477</v>
      </c>
      <c r="B25" s="77">
        <v>650</v>
      </c>
      <c r="C25" s="287">
        <v>-2.8</v>
      </c>
      <c r="D25" s="206" t="s">
        <v>9</v>
      </c>
    </row>
    <row r="26" spans="1:6" ht="18" customHeight="1">
      <c r="A26" s="285" t="s">
        <v>489</v>
      </c>
      <c r="B26" s="206" t="s">
        <v>9</v>
      </c>
      <c r="C26" s="206" t="s">
        <v>9</v>
      </c>
      <c r="D26" s="206" t="s">
        <v>9</v>
      </c>
    </row>
    <row r="27" spans="1:6" ht="18" customHeight="1">
      <c r="A27" s="285" t="s">
        <v>478</v>
      </c>
      <c r="B27" s="77">
        <v>701</v>
      </c>
      <c r="C27" s="287">
        <v>-18.100000000000001</v>
      </c>
      <c r="D27" s="206" t="s">
        <v>9</v>
      </c>
    </row>
    <row r="28" spans="1:6" ht="18" customHeight="1">
      <c r="A28" s="289" t="s">
        <v>479</v>
      </c>
      <c r="B28" s="290">
        <v>39</v>
      </c>
      <c r="C28" s="291" t="s">
        <v>9</v>
      </c>
      <c r="D28" s="291" t="s">
        <v>9</v>
      </c>
    </row>
    <row r="29" spans="1:6">
      <c r="A29" s="744" t="s">
        <v>541</v>
      </c>
      <c r="B29" s="744"/>
      <c r="C29" s="744"/>
      <c r="D29" s="744"/>
    </row>
  </sheetData>
  <sheetProtection password="DC9E" sheet="1" objects="1" scenarios="1"/>
  <mergeCells count="5">
    <mergeCell ref="A1:D1"/>
    <mergeCell ref="C2:D2"/>
    <mergeCell ref="A4:B4"/>
    <mergeCell ref="A16:B16"/>
    <mergeCell ref="A29:D29"/>
  </mergeCells>
  <phoneticPr fontId="10" type="noConversion"/>
  <pageMargins left="0.75" right="0.75" top="0.39" bottom="0.39" header="0.51" footer="0.51"/>
  <pageSetup paperSize="9" scale="96" orientation="portrait" verticalDpi="0"/>
  <headerFooter scaleWithDoc="0" alignWithMargins="0"/>
</worksheet>
</file>

<file path=xl/worksheets/sheet45.xml><?xml version="1.0" encoding="utf-8"?>
<worksheet xmlns="http://schemas.openxmlformats.org/spreadsheetml/2006/main" xmlns:r="http://schemas.openxmlformats.org/officeDocument/2006/relationships">
  <dimension ref="A1:E28"/>
  <sheetViews>
    <sheetView zoomScale="90" zoomScaleSheetLayoutView="100" workbookViewId="0">
      <selection activeCell="E24" sqref="E24"/>
    </sheetView>
  </sheetViews>
  <sheetFormatPr defaultColWidth="9" defaultRowHeight="14.25"/>
  <cols>
    <col min="1" max="1" width="29" customWidth="1"/>
    <col min="2" max="5" width="11" customWidth="1"/>
  </cols>
  <sheetData>
    <row r="1" spans="1:5" ht="29.1" customHeight="1">
      <c r="A1" s="749" t="s">
        <v>542</v>
      </c>
      <c r="B1" s="749"/>
      <c r="C1" s="749"/>
      <c r="D1" s="749"/>
      <c r="E1" s="749"/>
    </row>
    <row r="2" spans="1:5" ht="15.95" customHeight="1">
      <c r="A2" s="752" t="s">
        <v>543</v>
      </c>
      <c r="B2" s="750" t="s">
        <v>45</v>
      </c>
      <c r="C2" s="751"/>
      <c r="D2" s="750" t="s">
        <v>42</v>
      </c>
      <c r="E2" s="751"/>
    </row>
    <row r="3" spans="1:5" ht="15.95" customHeight="1">
      <c r="A3" s="752"/>
      <c r="B3" s="211" t="s">
        <v>5</v>
      </c>
      <c r="C3" s="211" t="s">
        <v>6</v>
      </c>
      <c r="D3" s="211" t="s">
        <v>5</v>
      </c>
      <c r="E3" s="211" t="s">
        <v>6</v>
      </c>
    </row>
    <row r="4" spans="1:5" ht="15.95" customHeight="1">
      <c r="A4" s="213" t="s">
        <v>468</v>
      </c>
      <c r="B4" s="268">
        <v>3008.3928000000001</v>
      </c>
      <c r="C4" s="269">
        <v>6</v>
      </c>
      <c r="D4" s="268">
        <v>670.48299999999995</v>
      </c>
      <c r="E4" s="269">
        <v>6.7999842511594597</v>
      </c>
    </row>
    <row r="5" spans="1:5" ht="15.95" customHeight="1">
      <c r="A5" s="213" t="s">
        <v>470</v>
      </c>
      <c r="B5" s="268">
        <v>343.22649999999999</v>
      </c>
      <c r="C5" s="269">
        <v>8</v>
      </c>
      <c r="D5" s="268">
        <v>77.121313000000001</v>
      </c>
      <c r="E5" s="269">
        <v>7.4012462820150704</v>
      </c>
    </row>
    <row r="6" spans="1:5" ht="15.95" customHeight="1">
      <c r="A6" s="216" t="s">
        <v>471</v>
      </c>
      <c r="B6" s="268">
        <v>468.26170000000002</v>
      </c>
      <c r="C6" s="269">
        <v>6</v>
      </c>
      <c r="D6" s="268">
        <v>101.94712699999999</v>
      </c>
      <c r="E6" s="269">
        <v>7.4773191778625403</v>
      </c>
    </row>
    <row r="7" spans="1:5" ht="15.95" customHeight="1">
      <c r="A7" s="217" t="s">
        <v>472</v>
      </c>
      <c r="B7" s="268">
        <v>307.97840000000002</v>
      </c>
      <c r="C7" s="269">
        <v>5.9</v>
      </c>
      <c r="D7" s="268">
        <v>70.645578</v>
      </c>
      <c r="E7" s="269">
        <v>4.5406373487344203</v>
      </c>
    </row>
    <row r="8" spans="1:5" ht="15.95" customHeight="1">
      <c r="A8" s="216" t="s">
        <v>473</v>
      </c>
      <c r="B8" s="268">
        <v>166.5684</v>
      </c>
      <c r="C8" s="269">
        <v>7.5</v>
      </c>
      <c r="D8" s="268">
        <v>38.422837999999999</v>
      </c>
      <c r="E8" s="269">
        <v>8.6589055719438495</v>
      </c>
    </row>
    <row r="9" spans="1:5" ht="15.95" customHeight="1">
      <c r="A9" s="216" t="s">
        <v>474</v>
      </c>
      <c r="B9" s="268">
        <v>402.03829999999999</v>
      </c>
      <c r="C9" s="269">
        <v>9.5</v>
      </c>
      <c r="D9" s="268">
        <v>113.690687</v>
      </c>
      <c r="E9" s="269">
        <v>1.4648617267550199</v>
      </c>
    </row>
    <row r="10" spans="1:5" ht="15.95" customHeight="1">
      <c r="A10" s="216" t="s">
        <v>475</v>
      </c>
      <c r="B10" s="268">
        <v>282.00220000000002</v>
      </c>
      <c r="C10" s="269">
        <v>7</v>
      </c>
      <c r="D10" s="268">
        <v>51.980319999999999</v>
      </c>
      <c r="E10" s="269">
        <v>5.0331318750386602</v>
      </c>
    </row>
    <row r="11" spans="1:5" ht="15.95" customHeight="1">
      <c r="A11" s="218" t="s">
        <v>476</v>
      </c>
      <c r="B11" s="268">
        <v>190.5968</v>
      </c>
      <c r="C11" s="269">
        <v>8.1999999999999993</v>
      </c>
      <c r="D11" s="268">
        <v>41.731166000000002</v>
      </c>
      <c r="E11" s="269">
        <v>7.1406860554798204</v>
      </c>
    </row>
    <row r="12" spans="1:5" ht="15.95" customHeight="1">
      <c r="A12" s="218" t="s">
        <v>477</v>
      </c>
      <c r="B12" s="268">
        <v>309.67239999999998</v>
      </c>
      <c r="C12" s="269">
        <v>4.2</v>
      </c>
      <c r="D12" s="268">
        <v>62.262557000000001</v>
      </c>
      <c r="E12" s="269">
        <v>6.30275493915103</v>
      </c>
    </row>
    <row r="13" spans="1:5" ht="15.95" customHeight="1">
      <c r="A13" s="218" t="s">
        <v>478</v>
      </c>
      <c r="B13" s="268">
        <v>325.30239999999998</v>
      </c>
      <c r="C13" s="269">
        <v>7.5</v>
      </c>
      <c r="D13" s="268">
        <v>60.756484999999998</v>
      </c>
      <c r="E13" s="269">
        <v>7.6777274367801196</v>
      </c>
    </row>
    <row r="14" spans="1:5" ht="15.95" customHeight="1">
      <c r="A14" s="218" t="s">
        <v>479</v>
      </c>
      <c r="B14" s="268">
        <v>562.54010000000005</v>
      </c>
      <c r="C14" s="269">
        <v>7</v>
      </c>
      <c r="D14" s="268">
        <v>86.193886000000006</v>
      </c>
      <c r="E14" s="269">
        <v>7.3702476029454296</v>
      </c>
    </row>
    <row r="15" spans="1:5" ht="15.95" customHeight="1">
      <c r="A15" s="752" t="s">
        <v>543</v>
      </c>
      <c r="B15" s="750" t="s">
        <v>37</v>
      </c>
      <c r="C15" s="751"/>
      <c r="D15" s="750" t="s">
        <v>3</v>
      </c>
      <c r="E15" s="751"/>
    </row>
    <row r="16" spans="1:5" ht="15.95" customHeight="1">
      <c r="A16" s="752"/>
      <c r="B16" s="211" t="s">
        <v>5</v>
      </c>
      <c r="C16" s="211" t="s">
        <v>6</v>
      </c>
      <c r="D16" s="211" t="s">
        <v>5</v>
      </c>
      <c r="E16" s="211" t="s">
        <v>6</v>
      </c>
    </row>
    <row r="17" spans="1:5" ht="15.95" customHeight="1">
      <c r="A17" s="213" t="s">
        <v>468</v>
      </c>
      <c r="B17" s="111">
        <v>1437.7439999999999</v>
      </c>
      <c r="C17" s="270">
        <v>4.1999873627800204</v>
      </c>
      <c r="D17" s="111">
        <v>2231.7750000000001</v>
      </c>
      <c r="E17" s="270">
        <v>4.0999971611529276</v>
      </c>
    </row>
    <row r="18" spans="1:5" ht="15.95" customHeight="1">
      <c r="A18" s="213" t="s">
        <v>470</v>
      </c>
      <c r="B18" s="111">
        <v>174.7807</v>
      </c>
      <c r="C18" s="270">
        <v>5.5</v>
      </c>
      <c r="D18" s="111">
        <v>264.13799999999998</v>
      </c>
      <c r="E18" s="270">
        <v>5.6517813377807471</v>
      </c>
    </row>
    <row r="19" spans="1:5" ht="15.95" customHeight="1">
      <c r="A19" s="216" t="s">
        <v>471</v>
      </c>
      <c r="B19" s="111">
        <v>228.4572</v>
      </c>
      <c r="C19" s="270">
        <v>1.95152504897997</v>
      </c>
      <c r="D19" s="111">
        <v>327.47000000000003</v>
      </c>
      <c r="E19" s="270">
        <v>-3.7191588026816902</v>
      </c>
    </row>
    <row r="20" spans="1:5" ht="15.95" customHeight="1">
      <c r="A20" s="217" t="s">
        <v>472</v>
      </c>
      <c r="B20" s="111">
        <v>136.37389999999999</v>
      </c>
      <c r="C20" s="270">
        <v>0.195321856374051</v>
      </c>
      <c r="D20" s="111">
        <v>222.30719999999999</v>
      </c>
      <c r="E20" s="270">
        <v>1.8430312628466368</v>
      </c>
    </row>
    <row r="21" spans="1:5" ht="15.95" customHeight="1">
      <c r="A21" s="216" t="s">
        <v>473</v>
      </c>
      <c r="B21" s="111">
        <v>79.393199999999993</v>
      </c>
      <c r="C21" s="270">
        <v>6.6673739839186101</v>
      </c>
      <c r="D21" s="111">
        <v>134.59700000000001</v>
      </c>
      <c r="E21" s="270">
        <v>7.4830985019155491</v>
      </c>
    </row>
    <row r="22" spans="1:5" ht="15.95" customHeight="1">
      <c r="A22" s="216" t="s">
        <v>474</v>
      </c>
      <c r="B22" s="111">
        <v>216.2543</v>
      </c>
      <c r="C22" s="270">
        <v>4.4515528967602602</v>
      </c>
      <c r="D22" s="111">
        <v>302.96019999999999</v>
      </c>
      <c r="E22" s="270">
        <v>5.8447131777786865</v>
      </c>
    </row>
    <row r="23" spans="1:5" ht="15.95" customHeight="1">
      <c r="A23" s="216" t="s">
        <v>475</v>
      </c>
      <c r="B23" s="111">
        <v>140.45050000000001</v>
      </c>
      <c r="C23" s="270">
        <v>6.1782973076109799</v>
      </c>
      <c r="D23" s="111">
        <v>225.67160000000001</v>
      </c>
      <c r="E23" s="270">
        <v>6.0443895211194132</v>
      </c>
    </row>
    <row r="24" spans="1:5" ht="15.95" customHeight="1">
      <c r="A24" s="218" t="s">
        <v>476</v>
      </c>
      <c r="B24" s="111">
        <v>103.72410000000001</v>
      </c>
      <c r="C24" s="270">
        <v>6.0372676367713796</v>
      </c>
      <c r="D24" s="111">
        <v>159.53440000000001</v>
      </c>
      <c r="E24" s="270">
        <v>6.6756261682508153</v>
      </c>
    </row>
    <row r="25" spans="1:5" ht="15.95" customHeight="1">
      <c r="A25" s="218" t="s">
        <v>477</v>
      </c>
      <c r="B25" s="111">
        <v>123.3434</v>
      </c>
      <c r="C25" s="270">
        <v>4.8731064036609002</v>
      </c>
      <c r="D25" s="111">
        <v>194.50640000000001</v>
      </c>
      <c r="E25" s="270">
        <v>3.1127128107917343</v>
      </c>
    </row>
    <row r="26" spans="1:5" ht="15.95" customHeight="1">
      <c r="A26" s="218" t="s">
        <v>478</v>
      </c>
      <c r="B26" s="111">
        <v>121.81310000000001</v>
      </c>
      <c r="C26" s="270">
        <v>6.97937039823542</v>
      </c>
      <c r="D26" s="111">
        <v>208.6747</v>
      </c>
      <c r="E26" s="270">
        <v>6.8054219664218039</v>
      </c>
    </row>
    <row r="27" spans="1:5">
      <c r="A27" s="271" t="s">
        <v>479</v>
      </c>
      <c r="B27" s="272">
        <v>269.04480000000001</v>
      </c>
      <c r="C27" s="273">
        <v>5.5</v>
      </c>
      <c r="D27" s="272">
        <v>417.79640000000001</v>
      </c>
      <c r="E27" s="273">
        <v>2.9761301171258339</v>
      </c>
    </row>
    <row r="28" spans="1:5">
      <c r="D28" s="45"/>
      <c r="E28" s="45"/>
    </row>
  </sheetData>
  <sheetProtection password="DC9E" sheet="1" objects="1" scenarios="1"/>
  <mergeCells count="7">
    <mergeCell ref="A1:E1"/>
    <mergeCell ref="B2:C2"/>
    <mergeCell ref="D2:E2"/>
    <mergeCell ref="B15:C15"/>
    <mergeCell ref="D15:E15"/>
    <mergeCell ref="A2:A3"/>
    <mergeCell ref="A15:A16"/>
  </mergeCells>
  <phoneticPr fontId="10" type="noConversion"/>
  <pageMargins left="0.75" right="0.75" top="1" bottom="1" header="0.5" footer="0.5"/>
</worksheet>
</file>

<file path=xl/worksheets/sheet46.xml><?xml version="1.0" encoding="utf-8"?>
<worksheet xmlns="http://schemas.openxmlformats.org/spreadsheetml/2006/main" xmlns:r="http://schemas.openxmlformats.org/officeDocument/2006/relationships">
  <dimension ref="A1:E27"/>
  <sheetViews>
    <sheetView zoomScale="90" zoomScaleSheetLayoutView="100" workbookViewId="0">
      <selection activeCell="D16" sqref="D16:D27"/>
    </sheetView>
  </sheetViews>
  <sheetFormatPr defaultColWidth="9" defaultRowHeight="14.25"/>
  <cols>
    <col min="1" max="1" width="29" customWidth="1"/>
    <col min="2" max="5" width="11" customWidth="1"/>
  </cols>
  <sheetData>
    <row r="1" spans="1:5" ht="29.1" customHeight="1">
      <c r="A1" s="749" t="s">
        <v>544</v>
      </c>
      <c r="B1" s="749"/>
      <c r="C1" s="749"/>
      <c r="D1" s="749"/>
      <c r="E1" s="749"/>
    </row>
    <row r="2" spans="1:5" ht="15.95" customHeight="1">
      <c r="A2" s="752" t="s">
        <v>543</v>
      </c>
      <c r="B2" s="750" t="s">
        <v>45</v>
      </c>
      <c r="C2" s="751"/>
      <c r="D2" s="750" t="s">
        <v>43</v>
      </c>
      <c r="E2" s="751"/>
    </row>
    <row r="3" spans="1:5" ht="15.95" customHeight="1">
      <c r="A3" s="752"/>
      <c r="B3" s="211" t="s">
        <v>5</v>
      </c>
      <c r="C3" s="211" t="s">
        <v>6</v>
      </c>
      <c r="D3" s="211" t="s">
        <v>5</v>
      </c>
      <c r="E3" s="211" t="s">
        <v>6</v>
      </c>
    </row>
    <row r="4" spans="1:5" ht="15.95" customHeight="1">
      <c r="A4" s="248" t="s">
        <v>11</v>
      </c>
      <c r="B4" s="226"/>
      <c r="C4" s="226"/>
      <c r="D4" s="226"/>
      <c r="E4" s="226"/>
    </row>
    <row r="5" spans="1:5" ht="15.95" customHeight="1">
      <c r="A5" s="227" t="s">
        <v>468</v>
      </c>
      <c r="B5" s="259">
        <v>769.96709999999996</v>
      </c>
      <c r="C5" s="223">
        <v>5</v>
      </c>
      <c r="D5" s="260">
        <v>108.2115</v>
      </c>
      <c r="E5" s="261">
        <v>3.7</v>
      </c>
    </row>
    <row r="6" spans="1:5" ht="15.95" customHeight="1">
      <c r="A6" s="227" t="s">
        <v>470</v>
      </c>
      <c r="B6" s="259">
        <v>36.509</v>
      </c>
      <c r="C6" s="223">
        <v>4.2</v>
      </c>
      <c r="D6" s="260">
        <v>6.6836000000000002</v>
      </c>
      <c r="E6" s="261">
        <v>9.5</v>
      </c>
    </row>
    <row r="7" spans="1:5" ht="15.95" customHeight="1">
      <c r="A7" s="231" t="s">
        <v>471</v>
      </c>
      <c r="B7" s="259">
        <v>194.7234</v>
      </c>
      <c r="C7" s="223">
        <v>1.2</v>
      </c>
      <c r="D7" s="260">
        <v>28.376200000000001</v>
      </c>
      <c r="E7" s="261">
        <v>2.5</v>
      </c>
    </row>
    <row r="8" spans="1:5" ht="15.95" customHeight="1">
      <c r="A8" s="232" t="s">
        <v>472</v>
      </c>
      <c r="B8" s="259">
        <v>211.5976</v>
      </c>
      <c r="C8" s="223">
        <v>6</v>
      </c>
      <c r="D8" s="260">
        <v>27.6096</v>
      </c>
      <c r="E8" s="261">
        <v>-1.1000000000000001</v>
      </c>
    </row>
    <row r="9" spans="1:5" ht="15.95" customHeight="1">
      <c r="A9" s="231" t="s">
        <v>473</v>
      </c>
      <c r="B9" s="259">
        <v>55.0794</v>
      </c>
      <c r="C9" s="223">
        <v>8.5</v>
      </c>
      <c r="D9" s="260">
        <v>7.5682999999999998</v>
      </c>
      <c r="E9" s="261">
        <v>10.9</v>
      </c>
    </row>
    <row r="10" spans="1:5" ht="15.95" customHeight="1">
      <c r="A10" s="231" t="s">
        <v>474</v>
      </c>
      <c r="B10" s="259">
        <v>159.1825</v>
      </c>
      <c r="C10" s="223">
        <v>10</v>
      </c>
      <c r="D10" s="260">
        <v>21.811199999999999</v>
      </c>
      <c r="E10" s="261">
        <v>7.6</v>
      </c>
    </row>
    <row r="11" spans="1:5" ht="15.95" customHeight="1">
      <c r="A11" s="231" t="s">
        <v>475</v>
      </c>
      <c r="B11" s="259">
        <v>38.117699999999999</v>
      </c>
      <c r="C11" s="223">
        <v>8</v>
      </c>
      <c r="D11" s="260">
        <v>3.3445999999999998</v>
      </c>
      <c r="E11" s="261">
        <v>1.4</v>
      </c>
    </row>
    <row r="12" spans="1:5" ht="15.95" customHeight="1">
      <c r="A12" s="233" t="s">
        <v>476</v>
      </c>
      <c r="B12" s="259">
        <v>9.8050999999999995</v>
      </c>
      <c r="C12" s="223">
        <v>19.100000000000001</v>
      </c>
      <c r="D12" s="260">
        <v>2.1248999999999998</v>
      </c>
      <c r="E12" s="261">
        <v>0.1</v>
      </c>
    </row>
    <row r="13" spans="1:5" ht="15.95" customHeight="1">
      <c r="A13" s="233" t="s">
        <v>477</v>
      </c>
      <c r="B13" s="259">
        <v>7.0682</v>
      </c>
      <c r="C13" s="223">
        <v>0.3</v>
      </c>
      <c r="D13" s="260">
        <v>1.776</v>
      </c>
      <c r="E13" s="261">
        <v>1.1000000000000001</v>
      </c>
    </row>
    <row r="14" spans="1:5" ht="15.95" customHeight="1">
      <c r="A14" s="233" t="s">
        <v>478</v>
      </c>
      <c r="B14" s="259">
        <v>30.596399999999999</v>
      </c>
      <c r="C14" s="223">
        <v>10.5</v>
      </c>
      <c r="D14" s="260">
        <v>5.6643999999999997</v>
      </c>
      <c r="E14" s="261">
        <v>6</v>
      </c>
    </row>
    <row r="15" spans="1:5" ht="15.95" customHeight="1">
      <c r="A15" s="251" t="s">
        <v>479</v>
      </c>
      <c r="B15" s="262">
        <v>103.6037</v>
      </c>
      <c r="C15" s="263">
        <v>10.5</v>
      </c>
      <c r="D15" s="264">
        <v>12.504799999999999</v>
      </c>
      <c r="E15" s="265">
        <v>12.6</v>
      </c>
    </row>
    <row r="16" spans="1:5" ht="15.95" customHeight="1">
      <c r="A16" s="248" t="s">
        <v>12</v>
      </c>
      <c r="B16" s="239"/>
      <c r="C16" s="239"/>
      <c r="D16" s="239"/>
      <c r="E16" s="239"/>
    </row>
    <row r="17" spans="1:5" ht="15.95" customHeight="1">
      <c r="A17" s="227" t="s">
        <v>468</v>
      </c>
      <c r="B17" s="259"/>
      <c r="C17" s="266">
        <v>12.8</v>
      </c>
      <c r="D17" s="228"/>
      <c r="E17" s="229">
        <v>16.100000000000001</v>
      </c>
    </row>
    <row r="18" spans="1:5" ht="15.95" customHeight="1">
      <c r="A18" s="227" t="s">
        <v>470</v>
      </c>
      <c r="B18" s="259"/>
      <c r="C18" s="266">
        <v>15.6</v>
      </c>
      <c r="D18" s="228"/>
      <c r="E18" s="229">
        <v>14.1</v>
      </c>
    </row>
    <row r="19" spans="1:5" ht="15.95" customHeight="1">
      <c r="A19" s="231" t="s">
        <v>471</v>
      </c>
      <c r="B19" s="259"/>
      <c r="C19" s="266">
        <v>10.1</v>
      </c>
      <c r="D19" s="228"/>
      <c r="E19" s="229">
        <v>21.1</v>
      </c>
    </row>
    <row r="20" spans="1:5" ht="15.95" customHeight="1">
      <c r="A20" s="232" t="s">
        <v>472</v>
      </c>
      <c r="B20" s="259"/>
      <c r="C20" s="266">
        <v>23.2</v>
      </c>
      <c r="D20" s="228"/>
      <c r="E20" s="229">
        <v>29.8</v>
      </c>
    </row>
    <row r="21" spans="1:5" ht="15.95" customHeight="1">
      <c r="A21" s="231" t="s">
        <v>473</v>
      </c>
      <c r="B21" s="259"/>
      <c r="C21" s="266">
        <v>6.7</v>
      </c>
      <c r="D21" s="228"/>
      <c r="E21" s="229">
        <v>14.5</v>
      </c>
    </row>
    <row r="22" spans="1:5" ht="15.95" customHeight="1">
      <c r="A22" s="231" t="s">
        <v>474</v>
      </c>
      <c r="B22" s="259"/>
      <c r="C22" s="223">
        <v>21.8</v>
      </c>
      <c r="D22" s="228"/>
      <c r="E22" s="229">
        <v>6.3</v>
      </c>
    </row>
    <row r="23" spans="1:5" ht="15.95" customHeight="1">
      <c r="A23" s="231" t="s">
        <v>475</v>
      </c>
      <c r="B23" s="259"/>
      <c r="C23" s="223">
        <v>21.9</v>
      </c>
      <c r="D23" s="228"/>
      <c r="E23" s="229">
        <v>12.3</v>
      </c>
    </row>
    <row r="24" spans="1:5" ht="15.95" customHeight="1">
      <c r="A24" s="233" t="s">
        <v>476</v>
      </c>
      <c r="B24" s="259"/>
      <c r="C24" s="223">
        <v>37.5</v>
      </c>
      <c r="D24" s="228"/>
      <c r="E24" s="229">
        <v>21.2</v>
      </c>
    </row>
    <row r="25" spans="1:5" ht="15.95" customHeight="1">
      <c r="A25" s="233" t="s">
        <v>477</v>
      </c>
      <c r="B25" s="259"/>
      <c r="C25" s="223">
        <v>18.7</v>
      </c>
      <c r="D25" s="228"/>
      <c r="E25" s="229">
        <v>14.4</v>
      </c>
    </row>
    <row r="26" spans="1:5" ht="15.95" customHeight="1">
      <c r="A26" s="233" t="s">
        <v>478</v>
      </c>
      <c r="B26" s="259"/>
      <c r="C26" s="223">
        <v>21.4</v>
      </c>
      <c r="D26" s="228"/>
      <c r="E26" s="229">
        <v>20.399999999999999</v>
      </c>
    </row>
    <row r="27" spans="1:5" ht="15.95" customHeight="1">
      <c r="A27" s="234" t="s">
        <v>479</v>
      </c>
      <c r="B27" s="267"/>
      <c r="C27" s="224">
        <v>5.8</v>
      </c>
      <c r="D27" s="235"/>
      <c r="E27" s="236">
        <v>11.1</v>
      </c>
    </row>
  </sheetData>
  <sheetProtection password="DC9E" sheet="1" objects="1" scenarios="1"/>
  <mergeCells count="4">
    <mergeCell ref="A1:E1"/>
    <mergeCell ref="B2:C2"/>
    <mergeCell ref="D2:E2"/>
    <mergeCell ref="A2:A3"/>
  </mergeCells>
  <phoneticPr fontId="10" type="noConversion"/>
  <pageMargins left="0.75" right="0.75" top="1" bottom="1" header="0.5" footer="0.5"/>
</worksheet>
</file>

<file path=xl/worksheets/sheet47.xml><?xml version="1.0" encoding="utf-8"?>
<worksheet xmlns="http://schemas.openxmlformats.org/spreadsheetml/2006/main" xmlns:r="http://schemas.openxmlformats.org/officeDocument/2006/relationships">
  <dimension ref="A1:E27"/>
  <sheetViews>
    <sheetView zoomScale="90" zoomScaleSheetLayoutView="100" workbookViewId="0">
      <selection activeCell="D17" sqref="D17:D27"/>
    </sheetView>
  </sheetViews>
  <sheetFormatPr defaultColWidth="9" defaultRowHeight="14.25"/>
  <cols>
    <col min="1" max="1" width="29" customWidth="1"/>
    <col min="2" max="5" width="11" customWidth="1"/>
  </cols>
  <sheetData>
    <row r="1" spans="1:5" ht="29.1" customHeight="1">
      <c r="A1" s="749" t="s">
        <v>545</v>
      </c>
      <c r="B1" s="749"/>
      <c r="C1" s="749"/>
      <c r="D1" s="749"/>
      <c r="E1" s="749"/>
    </row>
    <row r="2" spans="1:5" ht="15.95" customHeight="1">
      <c r="A2" s="752" t="s">
        <v>543</v>
      </c>
      <c r="B2" s="750" t="s">
        <v>42</v>
      </c>
      <c r="C2" s="751"/>
      <c r="D2" s="750" t="s">
        <v>40</v>
      </c>
      <c r="E2" s="751"/>
    </row>
    <row r="3" spans="1:5" ht="15.95" customHeight="1">
      <c r="A3" s="752"/>
      <c r="B3" s="211" t="s">
        <v>5</v>
      </c>
      <c r="C3" s="211" t="s">
        <v>6</v>
      </c>
      <c r="D3" s="211" t="s">
        <v>5</v>
      </c>
      <c r="E3" s="211" t="s">
        <v>6</v>
      </c>
    </row>
    <row r="4" spans="1:5" ht="15.95" customHeight="1">
      <c r="A4" s="252" t="s">
        <v>11</v>
      </c>
      <c r="B4" s="253"/>
      <c r="C4" s="253"/>
      <c r="D4" s="253"/>
      <c r="E4" s="253"/>
    </row>
    <row r="5" spans="1:5" ht="15.95" customHeight="1">
      <c r="A5" s="254" t="s">
        <v>468</v>
      </c>
      <c r="B5" s="255">
        <v>179.8374</v>
      </c>
      <c r="C5" s="256">
        <v>7</v>
      </c>
      <c r="D5" s="255">
        <v>236.4813</v>
      </c>
      <c r="E5" s="256">
        <v>2.7</v>
      </c>
    </row>
    <row r="6" spans="1:5" ht="15.95" customHeight="1">
      <c r="A6" s="254" t="s">
        <v>470</v>
      </c>
      <c r="B6" s="255">
        <v>9.2929999999999993</v>
      </c>
      <c r="C6" s="256">
        <v>4.5</v>
      </c>
      <c r="D6" s="255">
        <v>12.178800000000001</v>
      </c>
      <c r="E6" s="256">
        <v>0</v>
      </c>
    </row>
    <row r="7" spans="1:5" ht="15.95" customHeight="1">
      <c r="A7" s="218" t="s">
        <v>471</v>
      </c>
      <c r="B7" s="255">
        <v>47.599499999999999</v>
      </c>
      <c r="C7" s="256">
        <v>8.6</v>
      </c>
      <c r="D7" s="255">
        <v>60.700400000000002</v>
      </c>
      <c r="E7" s="256">
        <v>2.2000000000000002</v>
      </c>
    </row>
    <row r="8" spans="1:5" ht="15.95" customHeight="1">
      <c r="A8" s="257" t="s">
        <v>472</v>
      </c>
      <c r="B8" s="255">
        <v>45.761400000000002</v>
      </c>
      <c r="C8" s="916">
        <v>4.0999999999999996</v>
      </c>
      <c r="D8" s="917">
        <v>60.616599999999998</v>
      </c>
      <c r="E8" s="916">
        <v>0</v>
      </c>
    </row>
    <row r="9" spans="1:5" ht="15.95" customHeight="1">
      <c r="A9" s="218" t="s">
        <v>473</v>
      </c>
      <c r="B9" s="255">
        <v>13.3597</v>
      </c>
      <c r="C9" s="916">
        <v>11.8</v>
      </c>
      <c r="D9" s="917">
        <v>18.446000000000002</v>
      </c>
      <c r="E9" s="916">
        <v>10.199999999999999</v>
      </c>
    </row>
    <row r="10" spans="1:5" ht="15.95" customHeight="1">
      <c r="A10" s="218" t="s">
        <v>474</v>
      </c>
      <c r="B10" s="255">
        <v>36.467300000000002</v>
      </c>
      <c r="C10" s="916">
        <v>6</v>
      </c>
      <c r="D10" s="917">
        <v>49.513399999999997</v>
      </c>
      <c r="E10" s="916">
        <v>4.9000000000000004</v>
      </c>
    </row>
    <row r="11" spans="1:5" ht="15.95" customHeight="1">
      <c r="A11" s="218" t="s">
        <v>475</v>
      </c>
      <c r="B11" s="255">
        <v>6.4023000000000003</v>
      </c>
      <c r="C11" s="916">
        <v>5.2</v>
      </c>
      <c r="D11" s="917">
        <v>9.1888000000000005</v>
      </c>
      <c r="E11" s="916">
        <v>7.5</v>
      </c>
    </row>
    <row r="12" spans="1:5" ht="15.95" customHeight="1">
      <c r="A12" s="218" t="s">
        <v>476</v>
      </c>
      <c r="B12" s="255">
        <v>3.2332000000000001</v>
      </c>
      <c r="C12" s="916">
        <v>0.2</v>
      </c>
      <c r="D12" s="917">
        <v>4.1386000000000003</v>
      </c>
      <c r="E12" s="916">
        <v>2.5</v>
      </c>
    </row>
    <row r="13" spans="1:5" ht="15.95" customHeight="1">
      <c r="A13" s="218" t="s">
        <v>477</v>
      </c>
      <c r="B13" s="255">
        <v>2.8475999999999999</v>
      </c>
      <c r="C13" s="916">
        <v>6</v>
      </c>
      <c r="D13" s="917">
        <v>3.3957999999999999</v>
      </c>
      <c r="E13" s="916">
        <v>5.8</v>
      </c>
    </row>
    <row r="14" spans="1:5" ht="15.95" customHeight="1">
      <c r="A14" s="218" t="s">
        <v>478</v>
      </c>
      <c r="B14" s="255">
        <v>8.7902000000000005</v>
      </c>
      <c r="C14" s="916">
        <v>8.9</v>
      </c>
      <c r="D14" s="917">
        <v>11.2531</v>
      </c>
      <c r="E14" s="916">
        <v>9.8000000000000007</v>
      </c>
    </row>
    <row r="15" spans="1:5" ht="15.95" customHeight="1">
      <c r="A15" s="219" t="s">
        <v>479</v>
      </c>
      <c r="B15" s="258">
        <v>22.378900000000002</v>
      </c>
      <c r="C15" s="918">
        <v>12.9</v>
      </c>
      <c r="D15" s="919">
        <v>30.16</v>
      </c>
      <c r="E15" s="918">
        <v>11.8</v>
      </c>
    </row>
    <row r="16" spans="1:5" ht="15.95" customHeight="1">
      <c r="A16" s="248" t="s">
        <v>12</v>
      </c>
      <c r="B16" s="239"/>
      <c r="C16" s="920"/>
      <c r="D16" s="920"/>
      <c r="E16" s="920"/>
    </row>
    <row r="17" spans="1:5" ht="15.95" customHeight="1">
      <c r="A17" s="227" t="s">
        <v>468</v>
      </c>
      <c r="B17" s="228"/>
      <c r="C17" s="921">
        <v>17.600000000000001</v>
      </c>
      <c r="D17" s="922"/>
      <c r="E17" s="921">
        <v>16.7</v>
      </c>
    </row>
    <row r="18" spans="1:5" ht="15.95" customHeight="1">
      <c r="A18" s="227" t="s">
        <v>470</v>
      </c>
      <c r="B18" s="228"/>
      <c r="C18" s="921">
        <v>12</v>
      </c>
      <c r="D18" s="922"/>
      <c r="E18" s="921">
        <v>16.600000000000001</v>
      </c>
    </row>
    <row r="19" spans="1:5" ht="15.95" customHeight="1">
      <c r="A19" s="231" t="s">
        <v>471</v>
      </c>
      <c r="B19" s="228"/>
      <c r="C19" s="921">
        <v>23.1</v>
      </c>
      <c r="D19" s="922"/>
      <c r="E19" s="921">
        <v>33</v>
      </c>
    </row>
    <row r="20" spans="1:5" ht="15.95" customHeight="1">
      <c r="A20" s="232" t="s">
        <v>472</v>
      </c>
      <c r="B20" s="228"/>
      <c r="C20" s="921">
        <v>24.4</v>
      </c>
      <c r="D20" s="922"/>
      <c r="E20" s="921">
        <v>19.399999999999999</v>
      </c>
    </row>
    <row r="21" spans="1:5" ht="15.95" customHeight="1">
      <c r="A21" s="231" t="s">
        <v>473</v>
      </c>
      <c r="B21" s="228"/>
      <c r="C21" s="229">
        <v>16.600000000000001</v>
      </c>
      <c r="D21" s="228"/>
      <c r="E21" s="229">
        <v>7.8</v>
      </c>
    </row>
    <row r="22" spans="1:5" ht="15.95" customHeight="1">
      <c r="A22" s="231" t="s">
        <v>474</v>
      </c>
      <c r="B22" s="228"/>
      <c r="C22" s="229">
        <v>18.8</v>
      </c>
      <c r="D22" s="228"/>
      <c r="E22" s="229">
        <v>16.3</v>
      </c>
    </row>
    <row r="23" spans="1:5" ht="15.95" customHeight="1">
      <c r="A23" s="231" t="s">
        <v>475</v>
      </c>
      <c r="B23" s="228"/>
      <c r="C23" s="229">
        <v>16.8</v>
      </c>
      <c r="D23" s="228"/>
      <c r="E23" s="229">
        <v>8.3000000000000007</v>
      </c>
    </row>
    <row r="24" spans="1:5" ht="15.95" customHeight="1">
      <c r="A24" s="233" t="s">
        <v>476</v>
      </c>
      <c r="B24" s="228"/>
      <c r="C24" s="229">
        <v>16.3</v>
      </c>
      <c r="D24" s="228"/>
      <c r="E24" s="229">
        <v>29.5</v>
      </c>
    </row>
    <row r="25" spans="1:5" ht="15.95" customHeight="1">
      <c r="A25" s="233" t="s">
        <v>477</v>
      </c>
      <c r="B25" s="228"/>
      <c r="C25" s="229">
        <v>36.6</v>
      </c>
      <c r="D25" s="228"/>
      <c r="E25" s="229">
        <v>32.6</v>
      </c>
    </row>
    <row r="26" spans="1:5" ht="15.95" customHeight="1">
      <c r="A26" s="233" t="s">
        <v>478</v>
      </c>
      <c r="B26" s="228"/>
      <c r="C26" s="229">
        <v>5.8</v>
      </c>
      <c r="D26" s="228"/>
      <c r="E26" s="229">
        <v>19.3</v>
      </c>
    </row>
    <row r="27" spans="1:5" ht="15.95" customHeight="1">
      <c r="A27" s="234" t="s">
        <v>479</v>
      </c>
      <c r="B27" s="235"/>
      <c r="C27" s="236">
        <v>10.1</v>
      </c>
      <c r="D27" s="235"/>
      <c r="E27" s="236">
        <v>12.1</v>
      </c>
    </row>
  </sheetData>
  <sheetProtection password="DC9E" sheet="1" objects="1" scenarios="1"/>
  <mergeCells count="4">
    <mergeCell ref="A1:E1"/>
    <mergeCell ref="B2:C2"/>
    <mergeCell ref="D2:E2"/>
    <mergeCell ref="A2:A3"/>
  </mergeCells>
  <phoneticPr fontId="10" type="noConversion"/>
  <pageMargins left="0.75" right="0.75" top="1" bottom="1" header="0.5" footer="0.5"/>
</worksheet>
</file>

<file path=xl/worksheets/sheet48.xml><?xml version="1.0" encoding="utf-8"?>
<worksheet xmlns="http://schemas.openxmlformats.org/spreadsheetml/2006/main" xmlns:r="http://schemas.openxmlformats.org/officeDocument/2006/relationships">
  <dimension ref="A1:E27"/>
  <sheetViews>
    <sheetView zoomScale="90" zoomScaleSheetLayoutView="100" workbookViewId="0">
      <selection activeCell="D17" sqref="D17:D27"/>
    </sheetView>
  </sheetViews>
  <sheetFormatPr defaultColWidth="9" defaultRowHeight="14.25"/>
  <cols>
    <col min="1" max="1" width="29" customWidth="1"/>
    <col min="2" max="5" width="11" customWidth="1"/>
  </cols>
  <sheetData>
    <row r="1" spans="1:5" ht="29.1" customHeight="1">
      <c r="A1" s="749" t="s">
        <v>546</v>
      </c>
      <c r="B1" s="749"/>
      <c r="C1" s="749"/>
      <c r="D1" s="749"/>
      <c r="E1" s="749"/>
    </row>
    <row r="2" spans="1:5" ht="15.95" customHeight="1">
      <c r="A2" s="752" t="s">
        <v>543</v>
      </c>
      <c r="B2" s="750" t="s">
        <v>39</v>
      </c>
      <c r="C2" s="751"/>
      <c r="D2" s="750" t="s">
        <v>37</v>
      </c>
      <c r="E2" s="751"/>
    </row>
    <row r="3" spans="1:5" ht="15.95" customHeight="1">
      <c r="A3" s="752"/>
      <c r="B3" s="244" t="s">
        <v>5</v>
      </c>
      <c r="C3" s="244" t="s">
        <v>6</v>
      </c>
      <c r="D3" s="244" t="s">
        <v>5</v>
      </c>
      <c r="E3" s="244" t="s">
        <v>6</v>
      </c>
    </row>
    <row r="4" spans="1:5" ht="15.95" customHeight="1">
      <c r="A4" s="248" t="s">
        <v>11</v>
      </c>
      <c r="B4" s="245"/>
      <c r="C4" s="245"/>
      <c r="D4" s="249"/>
      <c r="E4" s="250"/>
    </row>
    <row r="5" spans="1:5" ht="15.95" customHeight="1">
      <c r="A5" s="227" t="s">
        <v>468</v>
      </c>
      <c r="B5" s="111">
        <v>295.37709999999998</v>
      </c>
      <c r="C5" s="246">
        <v>0.9</v>
      </c>
      <c r="D5" s="111">
        <v>360.83789999999999</v>
      </c>
      <c r="E5" s="246">
        <v>0.2</v>
      </c>
    </row>
    <row r="6" spans="1:5" ht="15.95" customHeight="1">
      <c r="A6" s="227" t="s">
        <v>470</v>
      </c>
      <c r="B6" s="111">
        <v>15.518599999999999</v>
      </c>
      <c r="C6" s="246">
        <v>-2.6</v>
      </c>
      <c r="D6" s="111">
        <v>18.194400000000002</v>
      </c>
      <c r="E6" s="246">
        <v>-3.1</v>
      </c>
    </row>
    <row r="7" spans="1:5" ht="15.95" customHeight="1">
      <c r="A7" s="231" t="s">
        <v>471</v>
      </c>
      <c r="B7" s="111">
        <v>77.604699999999994</v>
      </c>
      <c r="C7" s="246">
        <v>0.8</v>
      </c>
      <c r="D7" s="111">
        <v>93.761700000000005</v>
      </c>
      <c r="E7" s="246">
        <v>0.5</v>
      </c>
    </row>
    <row r="8" spans="1:5" ht="15.95" customHeight="1">
      <c r="A8" s="232" t="s">
        <v>472</v>
      </c>
      <c r="B8" s="111">
        <v>77.516999999999996</v>
      </c>
      <c r="C8" s="246">
        <v>-2.5</v>
      </c>
      <c r="D8" s="111">
        <v>95.244900000000001</v>
      </c>
      <c r="E8" s="246">
        <v>-2.4</v>
      </c>
    </row>
    <row r="9" spans="1:5" ht="15.95" customHeight="1">
      <c r="A9" s="231" t="s">
        <v>473</v>
      </c>
      <c r="B9" s="111">
        <v>23.238399999999999</v>
      </c>
      <c r="C9" s="246">
        <v>9.9</v>
      </c>
      <c r="D9" s="111">
        <v>28.347200000000001</v>
      </c>
      <c r="E9" s="246">
        <v>9.3000000000000007</v>
      </c>
    </row>
    <row r="10" spans="1:5" ht="15.95" customHeight="1">
      <c r="A10" s="231" t="s">
        <v>474</v>
      </c>
      <c r="B10" s="111">
        <v>62.732500000000002</v>
      </c>
      <c r="C10" s="246">
        <v>2.9</v>
      </c>
      <c r="D10" s="111">
        <v>77.363699999999994</v>
      </c>
      <c r="E10" s="246">
        <v>5</v>
      </c>
    </row>
    <row r="11" spans="1:5" ht="15.95" customHeight="1">
      <c r="A11" s="231" t="s">
        <v>475</v>
      </c>
      <c r="B11" s="111">
        <v>11.606299999999999</v>
      </c>
      <c r="C11" s="246">
        <v>5.6</v>
      </c>
      <c r="D11" s="111">
        <v>16.539400000000001</v>
      </c>
      <c r="E11" s="246">
        <v>7.7</v>
      </c>
    </row>
    <row r="12" spans="1:5" ht="15.95" customHeight="1">
      <c r="A12" s="233" t="s">
        <v>476</v>
      </c>
      <c r="B12" s="111">
        <v>4.8986999999999998</v>
      </c>
      <c r="C12" s="246">
        <v>3</v>
      </c>
      <c r="D12" s="111">
        <v>5.5701999999999998</v>
      </c>
      <c r="E12" s="246">
        <v>1.4</v>
      </c>
    </row>
    <row r="13" spans="1:5" ht="15.95" customHeight="1">
      <c r="A13" s="233" t="s">
        <v>477</v>
      </c>
      <c r="B13" s="111">
        <v>3.8635000000000002</v>
      </c>
      <c r="C13" s="246">
        <v>2.8</v>
      </c>
      <c r="D13" s="111">
        <v>4.4153000000000002</v>
      </c>
      <c r="E13" s="246">
        <v>0.2</v>
      </c>
    </row>
    <row r="14" spans="1:5" ht="15.95" customHeight="1">
      <c r="A14" s="233" t="s">
        <v>478</v>
      </c>
      <c r="B14" s="111">
        <v>13.5519</v>
      </c>
      <c r="C14" s="246">
        <v>9.6</v>
      </c>
      <c r="D14" s="111">
        <v>16.104800000000001</v>
      </c>
      <c r="E14" s="246">
        <v>9.9</v>
      </c>
    </row>
    <row r="15" spans="1:5" ht="15.95" customHeight="1">
      <c r="A15" s="251" t="s">
        <v>479</v>
      </c>
      <c r="B15" s="129">
        <v>37.668300000000002</v>
      </c>
      <c r="C15" s="247">
        <v>9.9</v>
      </c>
      <c r="D15" s="129">
        <v>45.394300000000001</v>
      </c>
      <c r="E15" s="247">
        <v>5</v>
      </c>
    </row>
    <row r="16" spans="1:5" ht="15.95" customHeight="1">
      <c r="A16" s="248" t="s">
        <v>12</v>
      </c>
      <c r="B16" s="222"/>
      <c r="C16" s="222"/>
      <c r="D16" s="222"/>
      <c r="E16" s="222"/>
    </row>
    <row r="17" spans="1:5" ht="15.95" customHeight="1">
      <c r="A17" s="227" t="s">
        <v>468</v>
      </c>
      <c r="B17" s="214"/>
      <c r="C17" s="215">
        <v>16</v>
      </c>
      <c r="D17" s="214"/>
      <c r="E17" s="215">
        <v>1.8605000263786309</v>
      </c>
    </row>
    <row r="18" spans="1:5" ht="15.95" customHeight="1">
      <c r="A18" s="227" t="s">
        <v>470</v>
      </c>
      <c r="B18" s="214"/>
      <c r="C18" s="215">
        <v>3.1</v>
      </c>
      <c r="D18" s="214"/>
      <c r="E18" s="215">
        <v>0.2</v>
      </c>
    </row>
    <row r="19" spans="1:5" ht="15.95" customHeight="1">
      <c r="A19" s="231" t="s">
        <v>471</v>
      </c>
      <c r="B19" s="214"/>
      <c r="C19" s="215">
        <v>16.100000000000001</v>
      </c>
      <c r="D19" s="214"/>
      <c r="E19" s="215">
        <v>2</v>
      </c>
    </row>
    <row r="20" spans="1:5" ht="15.95" customHeight="1">
      <c r="A20" s="232" t="s">
        <v>472</v>
      </c>
      <c r="B20" s="214"/>
      <c r="C20" s="215">
        <v>21.1</v>
      </c>
      <c r="D20" s="214"/>
      <c r="E20" s="215">
        <v>3.6434707615111535</v>
      </c>
    </row>
    <row r="21" spans="1:5" ht="15.95" customHeight="1">
      <c r="A21" s="231" t="s">
        <v>473</v>
      </c>
      <c r="B21" s="214"/>
      <c r="C21" s="215">
        <v>0.2</v>
      </c>
      <c r="D21" s="214"/>
      <c r="E21" s="215">
        <v>-24.55089964168036</v>
      </c>
    </row>
    <row r="22" spans="1:5" ht="15.95" customHeight="1">
      <c r="A22" s="231" t="s">
        <v>474</v>
      </c>
      <c r="B22" s="214"/>
      <c r="C22" s="215">
        <v>17.7</v>
      </c>
      <c r="D22" s="214"/>
      <c r="E22" s="215">
        <v>7.1</v>
      </c>
    </row>
    <row r="23" spans="1:5" ht="15.95" customHeight="1">
      <c r="A23" s="231" t="s">
        <v>475</v>
      </c>
      <c r="B23" s="214"/>
      <c r="C23" s="215">
        <v>9.1999999999999993</v>
      </c>
      <c r="D23" s="214"/>
      <c r="E23" s="215">
        <v>10.1</v>
      </c>
    </row>
    <row r="24" spans="1:5" ht="15.95" customHeight="1">
      <c r="A24" s="233" t="s">
        <v>476</v>
      </c>
      <c r="B24" s="214"/>
      <c r="C24" s="215">
        <v>34.1</v>
      </c>
      <c r="D24" s="214"/>
      <c r="E24" s="215">
        <v>22.607383237246765</v>
      </c>
    </row>
    <row r="25" spans="1:5" ht="15.95" customHeight="1">
      <c r="A25" s="233" t="s">
        <v>477</v>
      </c>
      <c r="B25" s="214"/>
      <c r="C25" s="215">
        <v>29.8</v>
      </c>
      <c r="D25" s="214"/>
      <c r="E25" s="215">
        <v>15.6</v>
      </c>
    </row>
    <row r="26" spans="1:5" ht="15.95" customHeight="1">
      <c r="A26" s="233" t="s">
        <v>478</v>
      </c>
      <c r="B26" s="214"/>
      <c r="C26" s="215">
        <v>34.700000000000003</v>
      </c>
      <c r="D26" s="214"/>
      <c r="E26" s="215">
        <v>23.5</v>
      </c>
    </row>
    <row r="27" spans="1:5" ht="15.95" customHeight="1">
      <c r="A27" s="234" t="s">
        <v>479</v>
      </c>
      <c r="B27" s="220"/>
      <c r="C27" s="221">
        <v>10.199999999999999</v>
      </c>
      <c r="D27" s="220"/>
      <c r="E27" s="221">
        <v>-22.8</v>
      </c>
    </row>
  </sheetData>
  <sheetProtection password="DC9E" sheet="1" objects="1" scenarios="1"/>
  <mergeCells count="4">
    <mergeCell ref="A1:E1"/>
    <mergeCell ref="B2:C2"/>
    <mergeCell ref="D2:E2"/>
    <mergeCell ref="A2:A3"/>
  </mergeCells>
  <phoneticPr fontId="10" type="noConversion"/>
  <pageMargins left="0.75" right="0.75" top="1" bottom="1" header="0.5" footer="0.5"/>
</worksheet>
</file>

<file path=xl/worksheets/sheet49.xml><?xml version="1.0" encoding="utf-8"?>
<worksheet xmlns="http://schemas.openxmlformats.org/spreadsheetml/2006/main" xmlns:r="http://schemas.openxmlformats.org/officeDocument/2006/relationships">
  <dimension ref="A1:E27"/>
  <sheetViews>
    <sheetView zoomScale="90" zoomScaleSheetLayoutView="100" workbookViewId="0">
      <selection activeCell="D17" sqref="D17:D27"/>
    </sheetView>
  </sheetViews>
  <sheetFormatPr defaultColWidth="9" defaultRowHeight="14.25"/>
  <cols>
    <col min="1" max="1" width="29" customWidth="1"/>
    <col min="2" max="3" width="11" customWidth="1"/>
  </cols>
  <sheetData>
    <row r="1" spans="1:5" ht="29.1" customHeight="1">
      <c r="A1" s="209" t="s">
        <v>547</v>
      </c>
      <c r="B1" s="209"/>
      <c r="C1" s="209"/>
      <c r="D1" s="210"/>
      <c r="E1" s="210"/>
    </row>
    <row r="2" spans="1:5" ht="15.95" customHeight="1">
      <c r="A2" s="752" t="s">
        <v>543</v>
      </c>
      <c r="B2" s="750" t="s">
        <v>36</v>
      </c>
      <c r="C2" s="751"/>
      <c r="D2" s="750" t="s">
        <v>4</v>
      </c>
      <c r="E2" s="751"/>
    </row>
    <row r="3" spans="1:5" ht="15.95" customHeight="1">
      <c r="A3" s="752"/>
      <c r="B3" s="244" t="s">
        <v>5</v>
      </c>
      <c r="C3" s="244" t="s">
        <v>6</v>
      </c>
      <c r="D3" s="244" t="s">
        <v>5</v>
      </c>
      <c r="E3" s="244" t="s">
        <v>6</v>
      </c>
    </row>
    <row r="4" spans="1:5" ht="15.95" customHeight="1">
      <c r="A4" s="248" t="s">
        <v>11</v>
      </c>
      <c r="B4" s="245"/>
      <c r="C4" s="245"/>
      <c r="D4" s="245"/>
      <c r="E4" s="245"/>
    </row>
    <row r="5" spans="1:5" ht="15.95" customHeight="1">
      <c r="A5" s="923" t="s">
        <v>468</v>
      </c>
      <c r="B5" s="111">
        <v>414.54</v>
      </c>
      <c r="C5" s="246">
        <v>-2.5</v>
      </c>
      <c r="D5" s="111">
        <v>466.55549999999999</v>
      </c>
      <c r="E5" s="246">
        <v>-4.5</v>
      </c>
    </row>
    <row r="6" spans="1:5" ht="15.95" customHeight="1">
      <c r="A6" s="923" t="s">
        <v>470</v>
      </c>
      <c r="B6" s="111">
        <v>21.38</v>
      </c>
      <c r="C6" s="246">
        <v>-2.9</v>
      </c>
      <c r="D6" s="111">
        <v>17.469799999999999</v>
      </c>
      <c r="E6" s="246">
        <v>-0.8</v>
      </c>
    </row>
    <row r="7" spans="1:5" ht="15.95" customHeight="1">
      <c r="A7" s="924" t="s">
        <v>471</v>
      </c>
      <c r="B7" s="111">
        <v>101.19</v>
      </c>
      <c r="C7" s="246">
        <v>-7.1</v>
      </c>
      <c r="D7" s="111">
        <v>90.4893</v>
      </c>
      <c r="E7" s="246">
        <v>-13.5</v>
      </c>
    </row>
    <row r="8" spans="1:5" ht="15.95" customHeight="1">
      <c r="A8" s="925" t="s">
        <v>472</v>
      </c>
      <c r="B8" s="111">
        <v>112.52</v>
      </c>
      <c r="C8" s="246">
        <v>-2.2999999999999998</v>
      </c>
      <c r="D8" s="111">
        <v>132.31059999999999</v>
      </c>
      <c r="E8" s="246">
        <v>-1</v>
      </c>
    </row>
    <row r="9" spans="1:5" ht="15.95" customHeight="1">
      <c r="A9" s="924" t="s">
        <v>473</v>
      </c>
      <c r="B9" s="111">
        <v>33.380000000000003</v>
      </c>
      <c r="C9" s="246">
        <v>9.9</v>
      </c>
      <c r="D9" s="111">
        <v>36.739100000000001</v>
      </c>
      <c r="E9" s="246">
        <v>10.199999999999999</v>
      </c>
    </row>
    <row r="10" spans="1:5" ht="15.95" customHeight="1">
      <c r="A10" s="924" t="s">
        <v>474</v>
      </c>
      <c r="B10" s="111">
        <v>90.82</v>
      </c>
      <c r="C10" s="246">
        <v>4.0999999999999996</v>
      </c>
      <c r="D10" s="111">
        <v>118.57899999999999</v>
      </c>
      <c r="E10" s="246">
        <v>3.8</v>
      </c>
    </row>
    <row r="11" spans="1:5" ht="15.95" customHeight="1">
      <c r="A11" s="924" t="s">
        <v>475</v>
      </c>
      <c r="B11" s="111">
        <v>19.37</v>
      </c>
      <c r="C11" s="246">
        <v>6.1</v>
      </c>
      <c r="D11" s="111">
        <v>17.089500000000001</v>
      </c>
      <c r="E11" s="246">
        <v>6</v>
      </c>
    </row>
    <row r="12" spans="1:5" ht="15.95" customHeight="1">
      <c r="A12" s="926" t="s">
        <v>476</v>
      </c>
      <c r="B12" s="111">
        <v>6.36</v>
      </c>
      <c r="C12" s="246">
        <v>1.3</v>
      </c>
      <c r="D12" s="111">
        <v>7.8352000000000004</v>
      </c>
      <c r="E12" s="246">
        <v>2.8</v>
      </c>
    </row>
    <row r="13" spans="1:5" ht="15.95" customHeight="1">
      <c r="A13" s="926" t="s">
        <v>477</v>
      </c>
      <c r="B13" s="111">
        <v>4.95</v>
      </c>
      <c r="C13" s="246">
        <v>-3.9</v>
      </c>
      <c r="D13" s="111">
        <v>5.5961999999999996</v>
      </c>
      <c r="E13" s="246">
        <v>-3</v>
      </c>
    </row>
    <row r="14" spans="1:5" ht="15.95" customHeight="1">
      <c r="A14" s="926" t="s">
        <v>478</v>
      </c>
      <c r="B14" s="111">
        <v>18.86</v>
      </c>
      <c r="C14" s="246">
        <v>10.5</v>
      </c>
      <c r="D14" s="111">
        <v>15.1866</v>
      </c>
      <c r="E14" s="246">
        <v>10.7</v>
      </c>
    </row>
    <row r="15" spans="1:5" ht="15.95" customHeight="1">
      <c r="A15" s="927" t="s">
        <v>479</v>
      </c>
      <c r="B15" s="129">
        <v>52.62</v>
      </c>
      <c r="C15" s="247">
        <v>3.1</v>
      </c>
      <c r="D15" s="129">
        <v>52.896599999999999</v>
      </c>
      <c r="E15" s="247">
        <v>1.5</v>
      </c>
    </row>
    <row r="16" spans="1:5" ht="15.95" customHeight="1">
      <c r="A16" s="248" t="s">
        <v>12</v>
      </c>
      <c r="B16" s="222"/>
      <c r="C16" s="222"/>
      <c r="D16" s="222"/>
      <c r="E16" s="222"/>
    </row>
    <row r="17" spans="1:5" ht="15.95" customHeight="1">
      <c r="A17" s="227" t="s">
        <v>468</v>
      </c>
      <c r="B17" s="214"/>
      <c r="C17" s="215">
        <v>4.1283031184974561</v>
      </c>
      <c r="D17" s="214"/>
      <c r="E17" s="215">
        <v>3.0995700281660703</v>
      </c>
    </row>
    <row r="18" spans="1:5" ht="15.95" customHeight="1">
      <c r="A18" s="227" t="s">
        <v>470</v>
      </c>
      <c r="B18" s="214"/>
      <c r="C18" s="215">
        <v>0.30750683302642301</v>
      </c>
      <c r="D18" s="214"/>
      <c r="E18" s="215">
        <v>0.2999604149428734</v>
      </c>
    </row>
    <row r="19" spans="1:5" ht="15.95" customHeight="1">
      <c r="A19" s="231" t="s">
        <v>471</v>
      </c>
      <c r="B19" s="214"/>
      <c r="C19" s="215">
        <v>1.9381291057298142</v>
      </c>
      <c r="D19" s="214"/>
      <c r="E19" s="215">
        <v>9.9964212467824609E-2</v>
      </c>
    </row>
    <row r="20" spans="1:5" ht="15.95" customHeight="1">
      <c r="A20" s="232" t="s">
        <v>472</v>
      </c>
      <c r="B20" s="214"/>
      <c r="C20" s="215">
        <v>2.0126822569570777</v>
      </c>
      <c r="D20" s="214"/>
      <c r="E20" s="215">
        <v>-4.7134575918896644</v>
      </c>
    </row>
    <row r="21" spans="1:5" ht="15.95" customHeight="1">
      <c r="A21" s="231" t="s">
        <v>473</v>
      </c>
      <c r="B21" s="214"/>
      <c r="C21" s="215">
        <v>-18.645849713579693</v>
      </c>
      <c r="D21" s="214"/>
      <c r="E21" s="215">
        <v>-12.238457091984628</v>
      </c>
    </row>
    <row r="22" spans="1:5" ht="15.95" customHeight="1">
      <c r="A22" s="231" t="s">
        <v>474</v>
      </c>
      <c r="B22" s="214"/>
      <c r="C22" s="215">
        <v>24.319725121724815</v>
      </c>
      <c r="D22" s="214"/>
      <c r="E22" s="215">
        <v>24.909853013595068</v>
      </c>
    </row>
    <row r="23" spans="1:5" ht="15.95" customHeight="1">
      <c r="A23" s="231" t="s">
        <v>475</v>
      </c>
      <c r="B23" s="214"/>
      <c r="C23" s="215">
        <v>8.6561965323107728</v>
      </c>
      <c r="D23" s="214"/>
      <c r="E23" s="215">
        <v>1.6869115067493112</v>
      </c>
    </row>
    <row r="24" spans="1:5" ht="15.95" customHeight="1">
      <c r="A24" s="233" t="s">
        <v>476</v>
      </c>
      <c r="B24" s="214"/>
      <c r="C24" s="215">
        <v>30.372047965649045</v>
      </c>
      <c r="D24" s="214"/>
      <c r="E24" s="215">
        <v>28.946582096241855</v>
      </c>
    </row>
    <row r="25" spans="1:5" ht="15.95" customHeight="1">
      <c r="A25" s="233" t="s">
        <v>477</v>
      </c>
      <c r="B25" s="214"/>
      <c r="C25" s="215">
        <v>5.4152040790181672</v>
      </c>
      <c r="D25" s="214"/>
      <c r="E25" s="215">
        <v>-2.5155418529597426</v>
      </c>
    </row>
    <row r="26" spans="1:5" ht="15.95" customHeight="1">
      <c r="A26" s="233" t="s">
        <v>478</v>
      </c>
      <c r="B26" s="214"/>
      <c r="C26" s="215">
        <v>28.683814862480602</v>
      </c>
      <c r="D26" s="214"/>
      <c r="E26" s="215">
        <v>25.252709409500667</v>
      </c>
    </row>
    <row r="27" spans="1:5" ht="15.95" customHeight="1">
      <c r="A27" s="234" t="s">
        <v>479</v>
      </c>
      <c r="B27" s="220"/>
      <c r="C27" s="221">
        <v>-26.644490201808097</v>
      </c>
      <c r="D27" s="220"/>
      <c r="E27" s="221">
        <v>-25.00691830434161</v>
      </c>
    </row>
  </sheetData>
  <sheetProtection password="DC9E" sheet="1" objects="1" scenarios="1"/>
  <mergeCells count="3">
    <mergeCell ref="B2:C2"/>
    <mergeCell ref="D2:E2"/>
    <mergeCell ref="A2:A3"/>
  </mergeCells>
  <phoneticPr fontId="10" type="noConversion"/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>
  <dimension ref="A1:F25"/>
  <sheetViews>
    <sheetView zoomScaleSheetLayoutView="75" workbookViewId="0">
      <selection activeCell="E7" sqref="E7:E8"/>
    </sheetView>
  </sheetViews>
  <sheetFormatPr defaultColWidth="9" defaultRowHeight="14.25"/>
  <cols>
    <col min="1" max="1" width="28" customWidth="1"/>
    <col min="2" max="2" width="9.125" customWidth="1"/>
  </cols>
  <sheetData>
    <row r="1" spans="1:6" ht="36" customHeight="1">
      <c r="A1" s="716" t="s">
        <v>41</v>
      </c>
      <c r="B1" s="716"/>
      <c r="C1" s="716"/>
      <c r="D1" s="716"/>
    </row>
    <row r="2" spans="1:6" ht="21.95" customHeight="1">
      <c r="A2" s="721" t="s">
        <v>1</v>
      </c>
      <c r="B2" s="722" t="s">
        <v>2</v>
      </c>
      <c r="C2" s="724" t="s">
        <v>42</v>
      </c>
      <c r="D2" s="725"/>
      <c r="E2" s="724" t="s">
        <v>43</v>
      </c>
      <c r="F2" s="725"/>
    </row>
    <row r="3" spans="1:6" ht="21.95" customHeight="1">
      <c r="A3" s="721"/>
      <c r="B3" s="723"/>
      <c r="C3" s="657" t="s">
        <v>5</v>
      </c>
      <c r="D3" s="657" t="s">
        <v>6</v>
      </c>
      <c r="E3" s="657" t="s">
        <v>5</v>
      </c>
      <c r="F3" s="657" t="s">
        <v>6</v>
      </c>
    </row>
    <row r="4" spans="1:6" ht="23.1" customHeight="1">
      <c r="A4" s="658" t="s">
        <v>7</v>
      </c>
      <c r="B4" s="507" t="s">
        <v>8</v>
      </c>
      <c r="C4" s="671">
        <v>670.48299999999995</v>
      </c>
      <c r="D4" s="672">
        <v>6.7999842511594597</v>
      </c>
      <c r="E4" s="659" t="s">
        <v>9</v>
      </c>
      <c r="F4" s="660" t="s">
        <v>9</v>
      </c>
    </row>
    <row r="5" spans="1:6" ht="23.1" customHeight="1">
      <c r="A5" s="658" t="s">
        <v>10</v>
      </c>
      <c r="B5" s="507" t="s">
        <v>8</v>
      </c>
      <c r="C5" s="671">
        <v>569.02</v>
      </c>
      <c r="D5" s="672">
        <v>7.2</v>
      </c>
      <c r="E5" s="665">
        <v>340.39</v>
      </c>
      <c r="F5" s="660">
        <v>4.0999999999999996</v>
      </c>
    </row>
    <row r="6" spans="1:6" ht="23.1" customHeight="1">
      <c r="A6" s="658" t="s">
        <v>11</v>
      </c>
      <c r="B6" s="507" t="s">
        <v>8</v>
      </c>
      <c r="C6" s="671">
        <v>179.84</v>
      </c>
      <c r="D6" s="672">
        <v>7</v>
      </c>
      <c r="E6" s="665">
        <v>108.21</v>
      </c>
      <c r="F6" s="660">
        <v>3.7</v>
      </c>
    </row>
    <row r="7" spans="1:6" ht="23.1" customHeight="1">
      <c r="A7" s="658" t="s">
        <v>12</v>
      </c>
      <c r="B7" s="507" t="s">
        <v>8</v>
      </c>
      <c r="C7" s="671"/>
      <c r="D7" s="672">
        <v>17.600000000000001</v>
      </c>
      <c r="E7" s="665"/>
      <c r="F7" s="659">
        <v>16.100000000000001</v>
      </c>
    </row>
    <row r="8" spans="1:6" ht="23.1" customHeight="1">
      <c r="A8" s="658" t="s">
        <v>13</v>
      </c>
      <c r="B8" s="507" t="s">
        <v>8</v>
      </c>
      <c r="C8" s="671"/>
      <c r="D8" s="672">
        <v>26.9</v>
      </c>
      <c r="E8" s="665"/>
      <c r="F8" s="659">
        <v>17.8</v>
      </c>
    </row>
    <row r="9" spans="1:6" ht="23.1" customHeight="1">
      <c r="A9" s="658" t="s">
        <v>14</v>
      </c>
      <c r="B9" s="507" t="s">
        <v>15</v>
      </c>
      <c r="C9" s="671">
        <v>131.15</v>
      </c>
      <c r="D9" s="672">
        <v>-0.9</v>
      </c>
      <c r="E9" s="665">
        <v>68.721299999999999</v>
      </c>
      <c r="F9" s="659">
        <v>-6.9</v>
      </c>
    </row>
    <row r="10" spans="1:6" ht="23.1" customHeight="1">
      <c r="A10" s="658" t="s">
        <v>16</v>
      </c>
      <c r="B10" s="507" t="s">
        <v>8</v>
      </c>
      <c r="C10" s="664">
        <v>445.46</v>
      </c>
      <c r="D10" s="663">
        <v>8.1</v>
      </c>
      <c r="E10" s="665">
        <v>298.7004</v>
      </c>
      <c r="F10" s="659">
        <v>8.1</v>
      </c>
    </row>
    <row r="11" spans="1:6" ht="23.1" customHeight="1">
      <c r="A11" s="661" t="s">
        <v>17</v>
      </c>
      <c r="B11" s="507" t="s">
        <v>8</v>
      </c>
      <c r="C11" s="664">
        <v>34.01</v>
      </c>
      <c r="D11" s="663">
        <v>12.4</v>
      </c>
      <c r="E11" s="665">
        <v>24.87</v>
      </c>
      <c r="F11" s="660">
        <v>11.8</v>
      </c>
    </row>
    <row r="12" spans="1:6" ht="23.1" customHeight="1">
      <c r="A12" s="661" t="s">
        <v>18</v>
      </c>
      <c r="B12" s="507" t="s">
        <v>8</v>
      </c>
      <c r="C12" s="664">
        <v>127.07</v>
      </c>
      <c r="D12" s="663">
        <v>15.5</v>
      </c>
      <c r="E12" s="665">
        <v>66.73</v>
      </c>
      <c r="F12" s="660">
        <v>16</v>
      </c>
    </row>
    <row r="13" spans="1:6" ht="23.1" customHeight="1">
      <c r="A13" s="658" t="s">
        <v>19</v>
      </c>
      <c r="B13" s="507" t="s">
        <v>8</v>
      </c>
      <c r="C13" s="664">
        <v>171.95</v>
      </c>
      <c r="D13" s="663">
        <v>25</v>
      </c>
      <c r="E13" s="665">
        <v>116.52</v>
      </c>
      <c r="F13" s="660">
        <v>12.8</v>
      </c>
    </row>
    <row r="14" spans="1:6" ht="23.1" customHeight="1">
      <c r="A14" s="658" t="s">
        <v>20</v>
      </c>
      <c r="B14" s="507" t="s">
        <v>8</v>
      </c>
      <c r="C14" s="662">
        <v>77.67</v>
      </c>
      <c r="D14" s="663">
        <v>7.6</v>
      </c>
      <c r="E14" s="664">
        <v>53.55</v>
      </c>
      <c r="F14" s="663">
        <v>14.7</v>
      </c>
    </row>
    <row r="15" spans="1:6" ht="23.1" customHeight="1">
      <c r="A15" s="658" t="s">
        <v>21</v>
      </c>
      <c r="B15" s="507" t="s">
        <v>8</v>
      </c>
      <c r="C15" s="662">
        <v>38.1</v>
      </c>
      <c r="D15" s="663">
        <v>3.2</v>
      </c>
      <c r="E15" s="664">
        <v>26.44</v>
      </c>
      <c r="F15" s="663">
        <v>3.7</v>
      </c>
    </row>
    <row r="16" spans="1:6" ht="23.1" customHeight="1">
      <c r="A16" s="658" t="s">
        <v>22</v>
      </c>
      <c r="B16" s="507" t="s">
        <v>8</v>
      </c>
      <c r="C16" s="664">
        <v>39.57</v>
      </c>
      <c r="D16" s="663">
        <v>12.1</v>
      </c>
      <c r="E16" s="664">
        <v>27.11</v>
      </c>
      <c r="F16" s="663">
        <v>28</v>
      </c>
    </row>
    <row r="17" spans="1:6" ht="23.1" customHeight="1">
      <c r="A17" s="658" t="s">
        <v>23</v>
      </c>
      <c r="B17" s="507" t="s">
        <v>24</v>
      </c>
      <c r="C17" s="673">
        <v>7165</v>
      </c>
      <c r="D17" s="663">
        <v>173.3</v>
      </c>
      <c r="E17" s="659">
        <v>1197</v>
      </c>
      <c r="F17" s="659">
        <v>5.7</v>
      </c>
    </row>
    <row r="18" spans="1:6" ht="23.1" customHeight="1">
      <c r="A18" s="658" t="s">
        <v>25</v>
      </c>
      <c r="B18" s="507" t="s">
        <v>8</v>
      </c>
      <c r="C18" s="664">
        <v>3493.47</v>
      </c>
      <c r="D18" s="663">
        <v>5.6</v>
      </c>
      <c r="E18" s="659">
        <v>3434.33</v>
      </c>
      <c r="F18" s="660">
        <v>7.1</v>
      </c>
    </row>
    <row r="19" spans="1:6" ht="23.1" customHeight="1">
      <c r="A19" s="661" t="s">
        <v>26</v>
      </c>
      <c r="B19" s="507" t="s">
        <v>8</v>
      </c>
      <c r="C19" s="664">
        <v>2275.63</v>
      </c>
      <c r="D19" s="663">
        <v>10</v>
      </c>
      <c r="E19" s="659">
        <v>2252.36</v>
      </c>
      <c r="F19" s="660">
        <v>10.1</v>
      </c>
    </row>
    <row r="20" spans="1:6" ht="23.1" customHeight="1">
      <c r="A20" s="658" t="s">
        <v>27</v>
      </c>
      <c r="B20" s="507" t="s">
        <v>8</v>
      </c>
      <c r="C20" s="664">
        <v>2267.84</v>
      </c>
      <c r="D20" s="663">
        <v>15.4</v>
      </c>
      <c r="E20" s="659">
        <v>2252.35</v>
      </c>
      <c r="F20" s="660">
        <v>15.9</v>
      </c>
    </row>
    <row r="21" spans="1:6" ht="23.1" customHeight="1">
      <c r="A21" s="658" t="s">
        <v>28</v>
      </c>
      <c r="B21" s="507" t="s">
        <v>29</v>
      </c>
      <c r="C21" s="663">
        <v>101.6</v>
      </c>
      <c r="D21" s="663">
        <v>1.6</v>
      </c>
      <c r="E21" s="659">
        <v>101.6</v>
      </c>
      <c r="F21" s="660">
        <v>1.6</v>
      </c>
    </row>
    <row r="22" spans="1:6" ht="23.1" customHeight="1">
      <c r="A22" s="658" t="s">
        <v>30</v>
      </c>
      <c r="B22" s="507" t="s">
        <v>29</v>
      </c>
      <c r="C22" s="663">
        <v>100.4</v>
      </c>
      <c r="D22" s="663">
        <v>0.4</v>
      </c>
      <c r="E22" s="659">
        <v>100.4</v>
      </c>
      <c r="F22" s="660">
        <v>0.4</v>
      </c>
    </row>
    <row r="23" spans="1:6" ht="23.1" customHeight="1">
      <c r="A23" s="658" t="s">
        <v>31</v>
      </c>
      <c r="B23" s="507" t="s">
        <v>32</v>
      </c>
      <c r="C23" s="664">
        <v>45.414499999999997</v>
      </c>
      <c r="D23" s="663">
        <v>7.18</v>
      </c>
      <c r="E23" s="665">
        <v>29.1554</v>
      </c>
      <c r="F23" s="660">
        <v>7.36</v>
      </c>
    </row>
    <row r="24" spans="1:6" ht="23.1" customHeight="1">
      <c r="A24" s="666" t="s">
        <v>33</v>
      </c>
      <c r="B24" s="667" t="s">
        <v>32</v>
      </c>
      <c r="C24" s="674">
        <v>28.280999999999999</v>
      </c>
      <c r="D24" s="675">
        <v>5.59</v>
      </c>
      <c r="E24" s="668">
        <v>17.8917</v>
      </c>
      <c r="F24" s="669">
        <v>6</v>
      </c>
    </row>
    <row r="25" spans="1:6">
      <c r="A25" s="670" t="s">
        <v>34</v>
      </c>
      <c r="B25" s="670"/>
    </row>
  </sheetData>
  <sheetProtection password="DC9E" sheet="1" objects="1" scenarios="1"/>
  <mergeCells count="5">
    <mergeCell ref="A1:D1"/>
    <mergeCell ref="C2:D2"/>
    <mergeCell ref="E2:F2"/>
    <mergeCell ref="A2:A3"/>
    <mergeCell ref="B2:B3"/>
  </mergeCells>
  <phoneticPr fontId="10" type="noConversion"/>
  <pageMargins left="0.75" right="0.75" top="1" bottom="1" header="0.5" footer="0.5"/>
  <pageSetup paperSize="9" orientation="portrait" r:id="rId1"/>
</worksheet>
</file>

<file path=xl/worksheets/sheet50.xml><?xml version="1.0" encoding="utf-8"?>
<worksheet xmlns="http://schemas.openxmlformats.org/spreadsheetml/2006/main" xmlns:r="http://schemas.openxmlformats.org/officeDocument/2006/relationships">
  <dimension ref="A1:E27"/>
  <sheetViews>
    <sheetView zoomScale="90" zoomScaleSheetLayoutView="100" workbookViewId="0">
      <selection activeCell="B17" sqref="B17"/>
    </sheetView>
  </sheetViews>
  <sheetFormatPr defaultColWidth="9" defaultRowHeight="14.25"/>
  <cols>
    <col min="1" max="1" width="29" customWidth="1"/>
    <col min="2" max="5" width="13.25" customWidth="1"/>
  </cols>
  <sheetData>
    <row r="1" spans="1:5" ht="29.1" customHeight="1">
      <c r="A1" s="749" t="s">
        <v>548</v>
      </c>
      <c r="B1" s="749"/>
      <c r="C1" s="749"/>
      <c r="D1" s="749"/>
      <c r="E1" s="749"/>
    </row>
    <row r="2" spans="1:5" ht="15.95" customHeight="1">
      <c r="A2" s="752" t="s">
        <v>543</v>
      </c>
      <c r="B2" s="750" t="s">
        <v>45</v>
      </c>
      <c r="C2" s="751"/>
      <c r="D2" s="750" t="s">
        <v>43</v>
      </c>
      <c r="E2" s="751"/>
    </row>
    <row r="3" spans="1:5" ht="15.95" customHeight="1">
      <c r="A3" s="752"/>
      <c r="B3" s="211" t="s">
        <v>5</v>
      </c>
      <c r="C3" s="211" t="s">
        <v>6</v>
      </c>
      <c r="D3" s="211" t="s">
        <v>5</v>
      </c>
      <c r="E3" s="211" t="s">
        <v>6</v>
      </c>
    </row>
    <row r="4" spans="1:5" ht="15.95" customHeight="1">
      <c r="A4" s="225" t="s">
        <v>16</v>
      </c>
      <c r="B4" s="226"/>
      <c r="C4" s="226"/>
      <c r="D4" s="226"/>
      <c r="E4" s="226"/>
    </row>
    <row r="5" spans="1:5" ht="15.95" customHeight="1">
      <c r="A5" s="227" t="s">
        <v>468</v>
      </c>
      <c r="B5" s="111">
        <v>1697.3036999999999</v>
      </c>
      <c r="C5" s="112">
        <v>10.3</v>
      </c>
      <c r="D5" s="228">
        <v>298.7004</v>
      </c>
      <c r="E5" s="229">
        <v>8.1</v>
      </c>
    </row>
    <row r="6" spans="1:5" ht="15.95" customHeight="1">
      <c r="A6" s="227" t="s">
        <v>470</v>
      </c>
      <c r="B6" s="111">
        <v>417.74279999999999</v>
      </c>
      <c r="C6" s="112">
        <v>10</v>
      </c>
      <c r="D6" s="228">
        <v>73.692599999999999</v>
      </c>
      <c r="E6" s="229">
        <v>8.5</v>
      </c>
    </row>
    <row r="7" spans="1:5" ht="15.95" customHeight="1">
      <c r="A7" s="231" t="s">
        <v>471</v>
      </c>
      <c r="B7" s="111">
        <v>438.13920000000002</v>
      </c>
      <c r="C7" s="112">
        <v>12.8</v>
      </c>
      <c r="D7" s="228">
        <v>76.863600000000005</v>
      </c>
      <c r="E7" s="229">
        <v>7.9</v>
      </c>
    </row>
    <row r="8" spans="1:5" ht="15.95" customHeight="1">
      <c r="A8" s="232" t="s">
        <v>472</v>
      </c>
      <c r="B8" s="111">
        <v>46.092500000000001</v>
      </c>
      <c r="C8" s="112">
        <v>9.6999999999999993</v>
      </c>
      <c r="D8" s="228">
        <v>8.1158000000000001</v>
      </c>
      <c r="E8" s="229">
        <v>8.8000000000000007</v>
      </c>
    </row>
    <row r="9" spans="1:5" ht="15.95" customHeight="1">
      <c r="A9" s="231" t="s">
        <v>473</v>
      </c>
      <c r="B9" s="111">
        <v>73.049899999999994</v>
      </c>
      <c r="C9" s="112">
        <v>10</v>
      </c>
      <c r="D9" s="228">
        <v>13.0054</v>
      </c>
      <c r="E9" s="229">
        <v>9.3000000000000007</v>
      </c>
    </row>
    <row r="10" spans="1:5" ht="15.95" customHeight="1">
      <c r="A10" s="231" t="s">
        <v>474</v>
      </c>
      <c r="B10" s="111">
        <v>181.9572</v>
      </c>
      <c r="C10" s="112">
        <v>11.7</v>
      </c>
      <c r="D10" s="228">
        <v>31.589700000000001</v>
      </c>
      <c r="E10" s="229">
        <v>6.6</v>
      </c>
    </row>
    <row r="11" spans="1:5" ht="15.95" customHeight="1">
      <c r="A11" s="231" t="s">
        <v>475</v>
      </c>
      <c r="B11" s="111">
        <v>139.36539999999999</v>
      </c>
      <c r="C11" s="112">
        <v>12.8</v>
      </c>
      <c r="D11" s="228">
        <v>24.7211</v>
      </c>
      <c r="E11" s="229">
        <v>8.8000000000000007</v>
      </c>
    </row>
    <row r="12" spans="1:5" ht="15.95" customHeight="1">
      <c r="A12" s="233" t="s">
        <v>476</v>
      </c>
      <c r="B12" s="111">
        <v>91.688199999999995</v>
      </c>
      <c r="C12" s="112">
        <v>8.5</v>
      </c>
      <c r="D12" s="228">
        <v>15.8771</v>
      </c>
      <c r="E12" s="229">
        <v>6.2</v>
      </c>
    </row>
    <row r="13" spans="1:5" ht="15.95" customHeight="1">
      <c r="A13" s="233" t="s">
        <v>477</v>
      </c>
      <c r="B13" s="111">
        <v>161.73859999999999</v>
      </c>
      <c r="C13" s="112">
        <v>7.4</v>
      </c>
      <c r="D13" s="228">
        <v>28.447099999999999</v>
      </c>
      <c r="E13" s="229">
        <v>7.6</v>
      </c>
    </row>
    <row r="14" spans="1:5" ht="15.95" customHeight="1">
      <c r="A14" s="233" t="s">
        <v>478</v>
      </c>
      <c r="B14" s="111">
        <v>123.0689</v>
      </c>
      <c r="C14" s="112">
        <v>9.9</v>
      </c>
      <c r="D14" s="228">
        <v>21.383700000000001</v>
      </c>
      <c r="E14" s="229">
        <v>6.8</v>
      </c>
    </row>
    <row r="15" spans="1:5" ht="15.95" customHeight="1">
      <c r="A15" s="234" t="s">
        <v>479</v>
      </c>
      <c r="B15" s="129">
        <v>206.41970000000001</v>
      </c>
      <c r="C15" s="131">
        <v>8.8000000000000007</v>
      </c>
      <c r="D15" s="235">
        <v>36.594700000000003</v>
      </c>
      <c r="E15" s="236">
        <v>9.1</v>
      </c>
    </row>
    <row r="16" spans="1:5" ht="15.95" customHeight="1">
      <c r="A16" s="225" t="s">
        <v>17</v>
      </c>
      <c r="B16" s="239"/>
      <c r="C16" s="239"/>
      <c r="D16" s="239"/>
      <c r="E16" s="239"/>
    </row>
    <row r="17" spans="1:5" ht="15.95" customHeight="1">
      <c r="A17" s="227" t="s">
        <v>468</v>
      </c>
      <c r="B17" s="876">
        <v>121.83</v>
      </c>
      <c r="C17" s="136">
        <v>15.4</v>
      </c>
      <c r="D17" s="240">
        <v>24.869700000000002</v>
      </c>
      <c r="E17" s="136">
        <v>11.8</v>
      </c>
    </row>
    <row r="18" spans="1:5" ht="15.95" customHeight="1">
      <c r="A18" s="227" t="s">
        <v>470</v>
      </c>
      <c r="B18" s="111">
        <v>3.7172999999999998</v>
      </c>
      <c r="C18" s="136">
        <v>5.3</v>
      </c>
      <c r="D18" s="240">
        <v>0.64590000000000003</v>
      </c>
      <c r="E18" s="136">
        <v>-12.1</v>
      </c>
    </row>
    <row r="19" spans="1:5" ht="15.95" customHeight="1">
      <c r="A19" s="231" t="s">
        <v>471</v>
      </c>
      <c r="B19" s="111">
        <v>8.1633999999999993</v>
      </c>
      <c r="C19" s="136">
        <v>0.7</v>
      </c>
      <c r="D19" s="240">
        <v>1.5358000000000001</v>
      </c>
      <c r="E19" s="136">
        <v>-13.2</v>
      </c>
    </row>
    <row r="20" spans="1:5" ht="15.95" customHeight="1">
      <c r="A20" s="232" t="s">
        <v>472</v>
      </c>
      <c r="B20" s="111">
        <v>4.8691000000000004</v>
      </c>
      <c r="C20" s="136">
        <v>3</v>
      </c>
      <c r="D20" s="240">
        <v>0.54990000000000006</v>
      </c>
      <c r="E20" s="136">
        <v>7.3</v>
      </c>
    </row>
    <row r="21" spans="1:5" ht="15.95" customHeight="1">
      <c r="A21" s="231" t="s">
        <v>473</v>
      </c>
      <c r="B21" s="111">
        <v>5.0061</v>
      </c>
      <c r="C21" s="136">
        <v>15.6</v>
      </c>
      <c r="D21" s="240">
        <v>1.5524</v>
      </c>
      <c r="E21" s="136">
        <v>22.8</v>
      </c>
    </row>
    <row r="22" spans="1:5" ht="15.95" customHeight="1">
      <c r="A22" s="231" t="s">
        <v>474</v>
      </c>
      <c r="B22" s="111">
        <v>12.2575</v>
      </c>
      <c r="C22" s="223">
        <v>31.3</v>
      </c>
      <c r="D22" s="240">
        <v>3.8908999999999998</v>
      </c>
      <c r="E22" s="241">
        <v>71.900000000000006</v>
      </c>
    </row>
    <row r="23" spans="1:5" ht="15.95" customHeight="1">
      <c r="A23" s="231" t="s">
        <v>475</v>
      </c>
      <c r="B23" s="111">
        <v>8.4481999999999999</v>
      </c>
      <c r="C23" s="223">
        <v>25.2</v>
      </c>
      <c r="D23" s="240">
        <v>1.7608999999999999</v>
      </c>
      <c r="E23" s="241">
        <v>17.3</v>
      </c>
    </row>
    <row r="24" spans="1:5" ht="15.95" customHeight="1">
      <c r="A24" s="233" t="s">
        <v>476</v>
      </c>
      <c r="B24" s="111">
        <v>4.9509999999999996</v>
      </c>
      <c r="C24" s="223">
        <v>11.3</v>
      </c>
      <c r="D24" s="240">
        <v>1.0858000000000001</v>
      </c>
      <c r="E24" s="241">
        <v>14.8</v>
      </c>
    </row>
    <row r="25" spans="1:5" ht="15.95" customHeight="1">
      <c r="A25" s="233" t="s">
        <v>477</v>
      </c>
      <c r="B25" s="111">
        <v>5.5186999999999999</v>
      </c>
      <c r="C25" s="223">
        <v>22.9</v>
      </c>
      <c r="D25" s="240">
        <v>1.2456</v>
      </c>
      <c r="E25" s="241">
        <v>-2.4</v>
      </c>
    </row>
    <row r="26" spans="1:5" ht="15.95" customHeight="1">
      <c r="A26" s="233" t="s">
        <v>478</v>
      </c>
      <c r="B26" s="111">
        <v>7.4074999999999998</v>
      </c>
      <c r="C26" s="223">
        <v>6.9</v>
      </c>
      <c r="D26" s="240">
        <v>1.0078</v>
      </c>
      <c r="E26" s="241">
        <v>-12.8</v>
      </c>
    </row>
    <row r="27" spans="1:5" ht="15.95" customHeight="1">
      <c r="A27" s="234" t="s">
        <v>479</v>
      </c>
      <c r="B27" s="129">
        <v>12.085000000000001</v>
      </c>
      <c r="C27" s="224">
        <v>3.4</v>
      </c>
      <c r="D27" s="242">
        <v>1.9454</v>
      </c>
      <c r="E27" s="243">
        <v>15.2</v>
      </c>
    </row>
  </sheetData>
  <sheetProtection password="DC9E" sheet="1" objects="1" scenarios="1"/>
  <mergeCells count="4">
    <mergeCell ref="A1:E1"/>
    <mergeCell ref="B2:C2"/>
    <mergeCell ref="D2:E2"/>
    <mergeCell ref="A2:A3"/>
  </mergeCells>
  <phoneticPr fontId="10" type="noConversion"/>
  <pageMargins left="0.75" right="0.75" top="1" bottom="1" header="0.5" footer="0.5"/>
</worksheet>
</file>

<file path=xl/worksheets/sheet51.xml><?xml version="1.0" encoding="utf-8"?>
<worksheet xmlns="http://schemas.openxmlformats.org/spreadsheetml/2006/main" xmlns:r="http://schemas.openxmlformats.org/officeDocument/2006/relationships">
  <dimension ref="A1:E27"/>
  <sheetViews>
    <sheetView zoomScale="90" zoomScaleSheetLayoutView="100" workbookViewId="0">
      <selection activeCell="I5" sqref="I5"/>
    </sheetView>
  </sheetViews>
  <sheetFormatPr defaultColWidth="9" defaultRowHeight="14.25"/>
  <cols>
    <col min="1" max="1" width="29" customWidth="1"/>
    <col min="2" max="5" width="11" customWidth="1"/>
  </cols>
  <sheetData>
    <row r="1" spans="1:5" ht="29.1" customHeight="1">
      <c r="A1" s="749" t="s">
        <v>549</v>
      </c>
      <c r="B1" s="749"/>
      <c r="C1" s="749"/>
      <c r="D1" s="749"/>
      <c r="E1" s="749"/>
    </row>
    <row r="2" spans="1:5" ht="15.95" customHeight="1">
      <c r="A2" s="752" t="s">
        <v>543</v>
      </c>
      <c r="B2" s="750" t="s">
        <v>42</v>
      </c>
      <c r="C2" s="751"/>
      <c r="D2" s="750" t="s">
        <v>40</v>
      </c>
      <c r="E2" s="751"/>
    </row>
    <row r="3" spans="1:5" ht="15.95" customHeight="1">
      <c r="A3" s="752"/>
      <c r="B3" s="211" t="s">
        <v>5</v>
      </c>
      <c r="C3" s="211" t="s">
        <v>6</v>
      </c>
      <c r="D3" s="211" t="s">
        <v>5</v>
      </c>
      <c r="E3" s="211" t="s">
        <v>6</v>
      </c>
    </row>
    <row r="4" spans="1:5" ht="15.95" customHeight="1">
      <c r="A4" s="225" t="s">
        <v>16</v>
      </c>
      <c r="B4" s="226"/>
      <c r="C4" s="226"/>
      <c r="D4" s="226"/>
      <c r="E4" s="226"/>
    </row>
    <row r="5" spans="1:5" ht="15.95" customHeight="1">
      <c r="A5" s="227" t="s">
        <v>468</v>
      </c>
      <c r="B5" s="228">
        <v>445.46159999999998</v>
      </c>
      <c r="C5" s="229">
        <v>8.1</v>
      </c>
      <c r="D5" s="138">
        <v>590.72810000000004</v>
      </c>
      <c r="E5" s="230">
        <v>8.1</v>
      </c>
    </row>
    <row r="6" spans="1:5" ht="15.95" customHeight="1">
      <c r="A6" s="227" t="s">
        <v>470</v>
      </c>
      <c r="B6" s="228">
        <v>108.8189</v>
      </c>
      <c r="C6" s="229">
        <v>7.4</v>
      </c>
      <c r="D6" s="138">
        <v>144.79390000000001</v>
      </c>
      <c r="E6" s="230">
        <v>7.8</v>
      </c>
    </row>
    <row r="7" spans="1:5" ht="15.95" customHeight="1">
      <c r="A7" s="231" t="s">
        <v>471</v>
      </c>
      <c r="B7" s="228">
        <v>114.9509</v>
      </c>
      <c r="C7" s="229">
        <v>8.1</v>
      </c>
      <c r="D7" s="138">
        <v>151.92189999999999</v>
      </c>
      <c r="E7" s="230">
        <v>7.9</v>
      </c>
    </row>
    <row r="8" spans="1:5" ht="15.95" customHeight="1">
      <c r="A8" s="232" t="s">
        <v>472</v>
      </c>
      <c r="B8" s="228">
        <v>12.154199999999999</v>
      </c>
      <c r="C8" s="229">
        <v>9</v>
      </c>
      <c r="D8" s="138">
        <v>15.8674</v>
      </c>
      <c r="E8" s="230">
        <v>7.2</v>
      </c>
    </row>
    <row r="9" spans="1:5" ht="15.95" customHeight="1">
      <c r="A9" s="231" t="s">
        <v>473</v>
      </c>
      <c r="B9" s="228">
        <v>19.342300000000002</v>
      </c>
      <c r="C9" s="229">
        <v>8.9</v>
      </c>
      <c r="D9" s="138">
        <v>25.221499999999999</v>
      </c>
      <c r="E9" s="230">
        <v>7.2</v>
      </c>
    </row>
    <row r="10" spans="1:5" ht="15.95" customHeight="1">
      <c r="A10" s="231" t="s">
        <v>474</v>
      </c>
      <c r="B10" s="228">
        <v>47.653799999999997</v>
      </c>
      <c r="C10" s="229">
        <v>7.8</v>
      </c>
      <c r="D10" s="138">
        <v>63.465499999999999</v>
      </c>
      <c r="E10" s="230">
        <v>8.4</v>
      </c>
    </row>
    <row r="11" spans="1:5" ht="15.95" customHeight="1">
      <c r="A11" s="231" t="s">
        <v>475</v>
      </c>
      <c r="B11" s="228">
        <v>37.182000000000002</v>
      </c>
      <c r="C11" s="229">
        <v>9.6999999999999993</v>
      </c>
      <c r="D11" s="138">
        <v>49.320099999999996</v>
      </c>
      <c r="E11" s="230">
        <v>9.8000000000000007</v>
      </c>
    </row>
    <row r="12" spans="1:5" ht="15.95" customHeight="1">
      <c r="A12" s="233" t="s">
        <v>476</v>
      </c>
      <c r="B12" s="228">
        <v>23.737500000000001</v>
      </c>
      <c r="C12" s="229">
        <v>6.5</v>
      </c>
      <c r="D12" s="138">
        <v>31.6463</v>
      </c>
      <c r="E12" s="230">
        <v>7.1</v>
      </c>
    </row>
    <row r="13" spans="1:5" ht="15.95" customHeight="1">
      <c r="A13" s="233" t="s">
        <v>477</v>
      </c>
      <c r="B13" s="228">
        <v>42.538699999999999</v>
      </c>
      <c r="C13" s="229">
        <v>8</v>
      </c>
      <c r="D13" s="138">
        <v>56.418500000000002</v>
      </c>
      <c r="E13" s="230">
        <v>8</v>
      </c>
    </row>
    <row r="14" spans="1:5" ht="15.95" customHeight="1">
      <c r="A14" s="233" t="s">
        <v>478</v>
      </c>
      <c r="B14" s="228">
        <v>32.093000000000004</v>
      </c>
      <c r="C14" s="229">
        <v>7.4</v>
      </c>
      <c r="D14" s="138">
        <v>42.877200000000002</v>
      </c>
      <c r="E14" s="230">
        <v>8.1999999999999993</v>
      </c>
    </row>
    <row r="15" spans="1:5" ht="15.95" customHeight="1">
      <c r="A15" s="234" t="s">
        <v>479</v>
      </c>
      <c r="B15" s="235">
        <v>54.648200000000003</v>
      </c>
      <c r="C15" s="236">
        <v>9.1999999999999993</v>
      </c>
      <c r="D15" s="237">
        <v>72.661500000000004</v>
      </c>
      <c r="E15" s="238">
        <v>9.4</v>
      </c>
    </row>
    <row r="16" spans="1:5" ht="15.95" customHeight="1">
      <c r="A16" s="225" t="s">
        <v>17</v>
      </c>
      <c r="B16" s="239"/>
      <c r="C16" s="239"/>
      <c r="D16" s="239"/>
      <c r="E16" s="239"/>
    </row>
    <row r="17" spans="1:5" ht="15.95" customHeight="1">
      <c r="A17" s="227" t="s">
        <v>468</v>
      </c>
      <c r="B17" s="240">
        <v>34.008499999999998</v>
      </c>
      <c r="C17" s="136">
        <v>12.4</v>
      </c>
      <c r="D17" s="240">
        <v>44.970199999999998</v>
      </c>
      <c r="E17" s="136">
        <v>11.4</v>
      </c>
    </row>
    <row r="18" spans="1:5" ht="15.95" customHeight="1">
      <c r="A18" s="227" t="s">
        <v>470</v>
      </c>
      <c r="B18" s="240">
        <v>0.92710000000000004</v>
      </c>
      <c r="C18" s="136">
        <v>1.9</v>
      </c>
      <c r="D18" s="240">
        <v>1.258</v>
      </c>
      <c r="E18" s="136">
        <v>0.7</v>
      </c>
    </row>
    <row r="19" spans="1:5" ht="15.95" customHeight="1">
      <c r="A19" s="231" t="s">
        <v>471</v>
      </c>
      <c r="B19" s="240">
        <v>2.37</v>
      </c>
      <c r="C19" s="136">
        <v>0.7</v>
      </c>
      <c r="D19" s="240">
        <v>2.8889</v>
      </c>
      <c r="E19" s="136">
        <v>-6.8</v>
      </c>
    </row>
    <row r="20" spans="1:5" ht="15.95" customHeight="1">
      <c r="A20" s="232" t="s">
        <v>472</v>
      </c>
      <c r="B20" s="240">
        <v>0.88749999999999996</v>
      </c>
      <c r="C20" s="136">
        <v>10.199999999999999</v>
      </c>
      <c r="D20" s="240">
        <v>1.0579000000000001</v>
      </c>
      <c r="E20" s="136">
        <v>9.1</v>
      </c>
    </row>
    <row r="21" spans="1:5" ht="15.95" customHeight="1">
      <c r="A21" s="231" t="s">
        <v>473</v>
      </c>
      <c r="B21" s="240">
        <v>1.8222</v>
      </c>
      <c r="C21" s="136">
        <v>20.9</v>
      </c>
      <c r="D21" s="240">
        <v>2.3369</v>
      </c>
      <c r="E21" s="136">
        <v>23.4</v>
      </c>
    </row>
    <row r="22" spans="1:5" ht="15.95" customHeight="1">
      <c r="A22" s="231" t="s">
        <v>474</v>
      </c>
      <c r="B22" s="240">
        <v>4.6475</v>
      </c>
      <c r="C22" s="241">
        <v>56.7</v>
      </c>
      <c r="D22" s="240">
        <v>5.3042999999999996</v>
      </c>
      <c r="E22" s="241">
        <v>34.299999999999997</v>
      </c>
    </row>
    <row r="23" spans="1:5" ht="15.95" customHeight="1">
      <c r="A23" s="231" t="s">
        <v>475</v>
      </c>
      <c r="B23" s="240">
        <v>2.3637000000000001</v>
      </c>
      <c r="C23" s="241">
        <v>11.2</v>
      </c>
      <c r="D23" s="240">
        <v>2.8186</v>
      </c>
      <c r="E23" s="241">
        <v>-7.3</v>
      </c>
    </row>
    <row r="24" spans="1:5" ht="15.95" customHeight="1">
      <c r="A24" s="233" t="s">
        <v>476</v>
      </c>
      <c r="B24" s="240">
        <v>1.421</v>
      </c>
      <c r="C24" s="241">
        <v>13.1</v>
      </c>
      <c r="D24" s="240">
        <v>2.2856000000000001</v>
      </c>
      <c r="E24" s="241">
        <v>38.1</v>
      </c>
    </row>
    <row r="25" spans="1:5" ht="15.95" customHeight="1">
      <c r="A25" s="233" t="s">
        <v>477</v>
      </c>
      <c r="B25" s="240">
        <v>1.6598999999999999</v>
      </c>
      <c r="C25" s="241">
        <v>-2</v>
      </c>
      <c r="D25" s="240">
        <v>2.0590999999999999</v>
      </c>
      <c r="E25" s="241">
        <v>-3.1</v>
      </c>
    </row>
    <row r="26" spans="1:5" ht="15.95" customHeight="1">
      <c r="A26" s="233" t="s">
        <v>478</v>
      </c>
      <c r="B26" s="240">
        <v>1.5733999999999999</v>
      </c>
      <c r="C26" s="241">
        <v>4.0999999999999996</v>
      </c>
      <c r="D26" s="240">
        <v>2.0337000000000001</v>
      </c>
      <c r="E26" s="241">
        <v>1.9</v>
      </c>
    </row>
    <row r="27" spans="1:5" ht="15.95" customHeight="1">
      <c r="A27" s="234" t="s">
        <v>479</v>
      </c>
      <c r="B27" s="242">
        <v>2.7818000000000001</v>
      </c>
      <c r="C27" s="243">
        <v>10.4</v>
      </c>
      <c r="D27" s="242">
        <v>3.5316000000000001</v>
      </c>
      <c r="E27" s="243">
        <v>10.4</v>
      </c>
    </row>
  </sheetData>
  <sheetProtection password="DC9E" sheet="1" objects="1" scenarios="1"/>
  <mergeCells count="4">
    <mergeCell ref="A1:E1"/>
    <mergeCell ref="B2:C2"/>
    <mergeCell ref="D2:E2"/>
    <mergeCell ref="A2:A3"/>
  </mergeCells>
  <phoneticPr fontId="10" type="noConversion"/>
  <pageMargins left="0.75" right="0.75" top="1" bottom="1" header="0.5" footer="0.5"/>
</worksheet>
</file>

<file path=xl/worksheets/sheet52.xml><?xml version="1.0" encoding="utf-8"?>
<worksheet xmlns="http://schemas.openxmlformats.org/spreadsheetml/2006/main" xmlns:r="http://schemas.openxmlformats.org/officeDocument/2006/relationships">
  <dimension ref="A1:E27"/>
  <sheetViews>
    <sheetView zoomScale="90" zoomScaleSheetLayoutView="100" workbookViewId="0">
      <selection activeCell="H10" sqref="H10"/>
    </sheetView>
  </sheetViews>
  <sheetFormatPr defaultColWidth="9" defaultRowHeight="14.25"/>
  <cols>
    <col min="1" max="1" width="29" customWidth="1"/>
    <col min="2" max="5" width="11" customWidth="1"/>
  </cols>
  <sheetData>
    <row r="1" spans="1:5" ht="29.1" customHeight="1">
      <c r="A1" s="749" t="s">
        <v>550</v>
      </c>
      <c r="B1" s="749"/>
      <c r="C1" s="749"/>
      <c r="D1" s="749"/>
      <c r="E1" s="749"/>
    </row>
    <row r="2" spans="1:5" ht="15.95" customHeight="1">
      <c r="A2" s="752" t="s">
        <v>543</v>
      </c>
      <c r="B2" s="750" t="s">
        <v>39</v>
      </c>
      <c r="C2" s="751"/>
      <c r="D2" s="750" t="s">
        <v>37</v>
      </c>
      <c r="E2" s="751"/>
    </row>
    <row r="3" spans="1:5" ht="15.95" customHeight="1">
      <c r="A3" s="752"/>
      <c r="B3" s="211" t="s">
        <v>5</v>
      </c>
      <c r="C3" s="211" t="s">
        <v>6</v>
      </c>
      <c r="D3" s="211" t="s">
        <v>5</v>
      </c>
      <c r="E3" s="211" t="s">
        <v>6</v>
      </c>
    </row>
    <row r="4" spans="1:5" ht="15.95" customHeight="1">
      <c r="A4" s="212" t="s">
        <v>16</v>
      </c>
      <c r="B4" s="212"/>
      <c r="C4" s="212"/>
      <c r="D4" s="212"/>
      <c r="E4" s="212"/>
    </row>
    <row r="5" spans="1:5" ht="15.95" customHeight="1">
      <c r="A5" s="213" t="s">
        <v>468</v>
      </c>
      <c r="B5" s="214">
        <v>739.76089999999999</v>
      </c>
      <c r="C5" s="215">
        <v>8.3000000000000007</v>
      </c>
      <c r="D5" s="214">
        <v>892.25009999999997</v>
      </c>
      <c r="E5" s="215">
        <v>8.6</v>
      </c>
    </row>
    <row r="6" spans="1:5" ht="15.95" customHeight="1">
      <c r="A6" s="213" t="s">
        <v>470</v>
      </c>
      <c r="B6" s="214">
        <v>182.43549999999999</v>
      </c>
      <c r="C6" s="215">
        <v>8.1999999999999993</v>
      </c>
      <c r="D6" s="214">
        <v>220.43809999999999</v>
      </c>
      <c r="E6" s="215">
        <v>8.8000000000000007</v>
      </c>
    </row>
    <row r="7" spans="1:5" ht="15.95" customHeight="1">
      <c r="A7" s="216" t="s">
        <v>471</v>
      </c>
      <c r="B7" s="214">
        <v>190.46</v>
      </c>
      <c r="C7" s="215">
        <v>8</v>
      </c>
      <c r="D7" s="214">
        <v>229.34219999999999</v>
      </c>
      <c r="E7" s="215">
        <v>8.1999999999999993</v>
      </c>
    </row>
    <row r="8" spans="1:5" ht="15.95" customHeight="1">
      <c r="A8" s="217" t="s">
        <v>472</v>
      </c>
      <c r="B8" s="214">
        <v>19.853100000000001</v>
      </c>
      <c r="C8" s="215">
        <v>7.5</v>
      </c>
      <c r="D8" s="214">
        <v>23.8994</v>
      </c>
      <c r="E8" s="215">
        <v>7.4</v>
      </c>
    </row>
    <row r="9" spans="1:5" ht="15.95" customHeight="1">
      <c r="A9" s="216" t="s">
        <v>473</v>
      </c>
      <c r="B9" s="214">
        <v>31.322500000000002</v>
      </c>
      <c r="C9" s="215">
        <v>6.7</v>
      </c>
      <c r="D9" s="214">
        <v>38.058500000000002</v>
      </c>
      <c r="E9" s="215">
        <v>7.8</v>
      </c>
    </row>
    <row r="10" spans="1:5" ht="15.95" customHeight="1">
      <c r="A10" s="216" t="s">
        <v>474</v>
      </c>
      <c r="B10" s="214">
        <v>79.978800000000007</v>
      </c>
      <c r="C10" s="215">
        <v>9.3000000000000007</v>
      </c>
      <c r="D10" s="214">
        <v>96.708100000000002</v>
      </c>
      <c r="E10" s="215">
        <v>9.8000000000000007</v>
      </c>
    </row>
    <row r="11" spans="1:5" ht="15.95" customHeight="1">
      <c r="A11" s="216" t="s">
        <v>475</v>
      </c>
      <c r="B11" s="214">
        <v>61.504600000000003</v>
      </c>
      <c r="C11" s="215">
        <v>10</v>
      </c>
      <c r="D11" s="214">
        <v>74.245400000000004</v>
      </c>
      <c r="E11" s="215">
        <v>10.3</v>
      </c>
    </row>
    <row r="12" spans="1:5" ht="15.95" customHeight="1">
      <c r="A12" s="218" t="s">
        <v>476</v>
      </c>
      <c r="B12" s="214">
        <v>39.472799999999999</v>
      </c>
      <c r="C12" s="215">
        <v>7.1</v>
      </c>
      <c r="D12" s="214">
        <v>47.620600000000003</v>
      </c>
      <c r="E12" s="215">
        <v>7.3</v>
      </c>
    </row>
    <row r="13" spans="1:5" ht="15.95" customHeight="1">
      <c r="A13" s="218" t="s">
        <v>477</v>
      </c>
      <c r="B13" s="214">
        <v>70.078599999999994</v>
      </c>
      <c r="C13" s="215">
        <v>7.9</v>
      </c>
      <c r="D13" s="214">
        <v>84.415800000000004</v>
      </c>
      <c r="E13" s="215">
        <v>7.9</v>
      </c>
    </row>
    <row r="14" spans="1:5" ht="15.95" customHeight="1">
      <c r="A14" s="218" t="s">
        <v>478</v>
      </c>
      <c r="B14" s="214">
        <v>53.717599999999997</v>
      </c>
      <c r="C14" s="215">
        <v>8.8000000000000007</v>
      </c>
      <c r="D14" s="214">
        <v>64.925799999999995</v>
      </c>
      <c r="E14" s="215">
        <v>9.1</v>
      </c>
    </row>
    <row r="15" spans="1:5" ht="15.95" customHeight="1">
      <c r="A15" s="219" t="s">
        <v>479</v>
      </c>
      <c r="B15" s="220">
        <v>90.914900000000003</v>
      </c>
      <c r="C15" s="221">
        <v>9.6</v>
      </c>
      <c r="D15" s="220">
        <v>109.304</v>
      </c>
      <c r="E15" s="221">
        <v>9.5</v>
      </c>
    </row>
    <row r="16" spans="1:5" ht="15.95" customHeight="1">
      <c r="A16" s="212" t="s">
        <v>17</v>
      </c>
      <c r="B16" s="222"/>
      <c r="C16" s="222"/>
      <c r="D16" s="222"/>
      <c r="E16" s="222"/>
    </row>
    <row r="17" spans="1:5" ht="15.95" customHeight="1">
      <c r="A17" s="213" t="s">
        <v>468</v>
      </c>
      <c r="B17" s="111">
        <v>53.084099999999999</v>
      </c>
      <c r="C17" s="136">
        <v>6.4</v>
      </c>
      <c r="D17" s="111">
        <v>66.185900000000004</v>
      </c>
      <c r="E17" s="136">
        <v>2.2000000000000002</v>
      </c>
    </row>
    <row r="18" spans="1:5" ht="15.95" customHeight="1">
      <c r="A18" s="213" t="s">
        <v>470</v>
      </c>
      <c r="B18" s="111">
        <v>1.5411999999999999</v>
      </c>
      <c r="C18" s="136">
        <v>1.3</v>
      </c>
      <c r="D18" s="111">
        <v>1.8567</v>
      </c>
      <c r="E18" s="136">
        <v>0.4</v>
      </c>
    </row>
    <row r="19" spans="1:5" ht="15.95" customHeight="1">
      <c r="A19" s="216" t="s">
        <v>471</v>
      </c>
      <c r="B19" s="111">
        <v>3.3174000000000001</v>
      </c>
      <c r="C19" s="136">
        <v>-12.6</v>
      </c>
      <c r="D19" s="111">
        <v>3.9184999999999999</v>
      </c>
      <c r="E19" s="136">
        <v>-12.1</v>
      </c>
    </row>
    <row r="20" spans="1:5" ht="15.95" customHeight="1">
      <c r="A20" s="217" t="s">
        <v>472</v>
      </c>
      <c r="B20" s="111">
        <v>1.2464999999999999</v>
      </c>
      <c r="C20" s="136">
        <v>4.5</v>
      </c>
      <c r="D20" s="111">
        <v>2.5019999999999998</v>
      </c>
      <c r="E20" s="136">
        <v>48.9</v>
      </c>
    </row>
    <row r="21" spans="1:5" ht="15.95" customHeight="1">
      <c r="A21" s="216" t="s">
        <v>473</v>
      </c>
      <c r="B21" s="111">
        <v>2.6116000000000001</v>
      </c>
      <c r="C21" s="136">
        <v>15</v>
      </c>
      <c r="D21" s="111">
        <v>3.2544</v>
      </c>
      <c r="E21" s="136">
        <v>8.6</v>
      </c>
    </row>
    <row r="22" spans="1:5" ht="15.95" customHeight="1">
      <c r="A22" s="216" t="s">
        <v>474</v>
      </c>
      <c r="B22" s="111">
        <v>6.4661</v>
      </c>
      <c r="C22" s="223">
        <v>31.3</v>
      </c>
      <c r="D22" s="111">
        <v>8.1965000000000003</v>
      </c>
      <c r="E22" s="223">
        <v>10.6</v>
      </c>
    </row>
    <row r="23" spans="1:5" ht="15.95" customHeight="1">
      <c r="A23" s="216" t="s">
        <v>475</v>
      </c>
      <c r="B23" s="111">
        <v>3.2429999999999999</v>
      </c>
      <c r="C23" s="223">
        <v>-14.4</v>
      </c>
      <c r="D23" s="111">
        <v>5.0035999999999996</v>
      </c>
      <c r="E23" s="223">
        <v>10.8</v>
      </c>
    </row>
    <row r="24" spans="1:5" ht="15.95" customHeight="1">
      <c r="A24" s="218" t="s">
        <v>476</v>
      </c>
      <c r="B24" s="111">
        <v>2.9043999999999999</v>
      </c>
      <c r="C24" s="223">
        <v>34.1</v>
      </c>
      <c r="D24" s="111">
        <v>2.9502000000000002</v>
      </c>
      <c r="E24" s="223">
        <v>11.2</v>
      </c>
    </row>
    <row r="25" spans="1:5" ht="15.95" customHeight="1">
      <c r="A25" s="218" t="s">
        <v>477</v>
      </c>
      <c r="B25" s="111">
        <v>2.7376</v>
      </c>
      <c r="C25" s="223">
        <v>8.8000000000000007</v>
      </c>
      <c r="D25" s="111">
        <v>3.1800999999999999</v>
      </c>
      <c r="E25" s="223">
        <v>2.4</v>
      </c>
    </row>
    <row r="26" spans="1:5" ht="15.95" customHeight="1">
      <c r="A26" s="218" t="s">
        <v>478</v>
      </c>
      <c r="B26" s="111">
        <v>2.4775</v>
      </c>
      <c r="C26" s="223">
        <v>3.4</v>
      </c>
      <c r="D26" s="111">
        <v>3.8279999999999998</v>
      </c>
      <c r="E26" s="223">
        <v>7.6</v>
      </c>
    </row>
    <row r="27" spans="1:5" ht="15.95" customHeight="1">
      <c r="A27" s="219" t="s">
        <v>479</v>
      </c>
      <c r="B27" s="129">
        <v>4.3125999999999998</v>
      </c>
      <c r="C27" s="224">
        <v>10.9</v>
      </c>
      <c r="D27" s="129">
        <v>6.0042999999999997</v>
      </c>
      <c r="E27" s="224">
        <v>6.9</v>
      </c>
    </row>
  </sheetData>
  <sheetProtection password="DC9E" sheet="1" objects="1" scenarios="1"/>
  <mergeCells count="4">
    <mergeCell ref="A1:E1"/>
    <mergeCell ref="B2:C2"/>
    <mergeCell ref="D2:E2"/>
    <mergeCell ref="A2:A3"/>
  </mergeCells>
  <phoneticPr fontId="10" type="noConversion"/>
  <pageMargins left="0.75" right="0.75" top="1" bottom="1" header="0.5" footer="0.5"/>
</worksheet>
</file>

<file path=xl/worksheets/sheet53.xml><?xml version="1.0" encoding="utf-8"?>
<worksheet xmlns="http://schemas.openxmlformats.org/spreadsheetml/2006/main" xmlns:r="http://schemas.openxmlformats.org/officeDocument/2006/relationships">
  <dimension ref="A1:E27"/>
  <sheetViews>
    <sheetView zoomScale="90" zoomScaleSheetLayoutView="100" workbookViewId="0">
      <selection activeCell="E20" sqref="E20"/>
    </sheetView>
  </sheetViews>
  <sheetFormatPr defaultColWidth="9" defaultRowHeight="14.25"/>
  <cols>
    <col min="1" max="1" width="29" customWidth="1"/>
    <col min="2" max="3" width="11" customWidth="1"/>
  </cols>
  <sheetData>
    <row r="1" spans="1:5" ht="29.1" customHeight="1">
      <c r="A1" s="209" t="s">
        <v>551</v>
      </c>
      <c r="B1" s="209"/>
      <c r="C1" s="209"/>
      <c r="D1" s="210"/>
      <c r="E1" s="210"/>
    </row>
    <row r="2" spans="1:5" ht="15.95" customHeight="1">
      <c r="A2" s="752" t="s">
        <v>543</v>
      </c>
      <c r="B2" s="750" t="s">
        <v>36</v>
      </c>
      <c r="C2" s="751"/>
      <c r="D2" s="750" t="s">
        <v>4</v>
      </c>
      <c r="E2" s="751"/>
    </row>
    <row r="3" spans="1:5" ht="15.95" customHeight="1">
      <c r="A3" s="752"/>
      <c r="B3" s="211" t="s">
        <v>5</v>
      </c>
      <c r="C3" s="211" t="s">
        <v>6</v>
      </c>
      <c r="D3" s="211" t="s">
        <v>5</v>
      </c>
      <c r="E3" s="211" t="s">
        <v>6</v>
      </c>
    </row>
    <row r="4" spans="1:5" ht="15.95" customHeight="1">
      <c r="A4" s="212" t="s">
        <v>16</v>
      </c>
      <c r="B4" s="212"/>
      <c r="C4" s="212"/>
      <c r="D4" s="212"/>
      <c r="E4" s="212"/>
    </row>
    <row r="5" spans="1:5" ht="15.95" customHeight="1">
      <c r="A5" s="213" t="s">
        <v>468</v>
      </c>
      <c r="B5" s="214">
        <v>1047.7336</v>
      </c>
      <c r="C5" s="215">
        <v>8.5</v>
      </c>
      <c r="D5" s="214">
        <v>1199.9936</v>
      </c>
      <c r="E5" s="215">
        <v>8.4</v>
      </c>
    </row>
    <row r="6" spans="1:5" ht="15.95" customHeight="1">
      <c r="A6" s="213" t="s">
        <v>470</v>
      </c>
      <c r="B6" s="214">
        <v>257.86419999999998</v>
      </c>
      <c r="C6" s="215">
        <v>8.5</v>
      </c>
      <c r="D6" s="214">
        <v>295.7627</v>
      </c>
      <c r="E6" s="215">
        <v>8.3000000000000007</v>
      </c>
    </row>
    <row r="7" spans="1:5" ht="15.95" customHeight="1">
      <c r="A7" s="216" t="s">
        <v>471</v>
      </c>
      <c r="B7" s="214">
        <v>268.72410000000002</v>
      </c>
      <c r="C7" s="215">
        <v>8</v>
      </c>
      <c r="D7" s="214">
        <v>307.20749999999998</v>
      </c>
      <c r="E7" s="215">
        <v>7.6</v>
      </c>
    </row>
    <row r="8" spans="1:5" ht="15.95" customHeight="1">
      <c r="A8" s="217" t="s">
        <v>472</v>
      </c>
      <c r="B8" s="214">
        <v>28.2499</v>
      </c>
      <c r="C8" s="215">
        <v>7.8</v>
      </c>
      <c r="D8" s="214">
        <v>32.594499999999996</v>
      </c>
      <c r="E8" s="215">
        <v>8.6</v>
      </c>
    </row>
    <row r="9" spans="1:5" ht="15.95" customHeight="1">
      <c r="A9" s="216" t="s">
        <v>473</v>
      </c>
      <c r="B9" s="214">
        <v>44.635899999999999</v>
      </c>
      <c r="C9" s="215">
        <v>7.6</v>
      </c>
      <c r="D9" s="214">
        <v>51.197699999999998</v>
      </c>
      <c r="E9" s="215">
        <v>7.8</v>
      </c>
    </row>
    <row r="10" spans="1:5" ht="15.95" customHeight="1">
      <c r="A10" s="216" t="s">
        <v>474</v>
      </c>
      <c r="B10" s="214">
        <v>113.3344</v>
      </c>
      <c r="C10" s="215">
        <v>9.5</v>
      </c>
      <c r="D10" s="214">
        <v>129.58330000000001</v>
      </c>
      <c r="E10" s="215">
        <v>9.1</v>
      </c>
    </row>
    <row r="11" spans="1:5" ht="15.95" customHeight="1">
      <c r="A11" s="216" t="s">
        <v>475</v>
      </c>
      <c r="B11" s="214">
        <v>87.351500000000001</v>
      </c>
      <c r="C11" s="215">
        <v>10.199999999999999</v>
      </c>
      <c r="D11" s="214">
        <v>99.730800000000002</v>
      </c>
      <c r="E11" s="215">
        <v>10.1</v>
      </c>
    </row>
    <row r="12" spans="1:5" ht="15.95" customHeight="1">
      <c r="A12" s="218" t="s">
        <v>476</v>
      </c>
      <c r="B12" s="214">
        <v>56.137999999999998</v>
      </c>
      <c r="C12" s="215">
        <v>7.4</v>
      </c>
      <c r="D12" s="214">
        <v>64.486199999999997</v>
      </c>
      <c r="E12" s="215">
        <v>7.8</v>
      </c>
    </row>
    <row r="13" spans="1:5" ht="15.95" customHeight="1">
      <c r="A13" s="218" t="s">
        <v>477</v>
      </c>
      <c r="B13" s="214">
        <v>99.507999999999996</v>
      </c>
      <c r="C13" s="215">
        <v>8</v>
      </c>
      <c r="D13" s="214">
        <v>113.9722</v>
      </c>
      <c r="E13" s="215">
        <v>8.1999999999999993</v>
      </c>
    </row>
    <row r="14" spans="1:5" ht="15.95" customHeight="1">
      <c r="A14" s="218" t="s">
        <v>478</v>
      </c>
      <c r="B14" s="214">
        <v>76.637100000000004</v>
      </c>
      <c r="C14" s="215">
        <v>9.4</v>
      </c>
      <c r="D14" s="214">
        <v>87.814400000000006</v>
      </c>
      <c r="E14" s="215">
        <v>9.6</v>
      </c>
    </row>
    <row r="15" spans="1:5" ht="15.95" customHeight="1">
      <c r="A15" s="219" t="s">
        <v>479</v>
      </c>
      <c r="B15" s="220">
        <v>128.62450000000001</v>
      </c>
      <c r="C15" s="221">
        <v>9.5</v>
      </c>
      <c r="D15" s="220">
        <v>147.2277</v>
      </c>
      <c r="E15" s="221">
        <v>9.4</v>
      </c>
    </row>
    <row r="16" spans="1:5" ht="15.95" customHeight="1">
      <c r="A16" s="212" t="s">
        <v>17</v>
      </c>
      <c r="B16" s="222"/>
      <c r="C16" s="222"/>
      <c r="D16" s="222"/>
      <c r="E16" s="222"/>
    </row>
    <row r="17" spans="1:5" ht="15.95" customHeight="1">
      <c r="A17" s="213" t="s">
        <v>468</v>
      </c>
      <c r="B17" s="111">
        <v>77.880899999999997</v>
      </c>
      <c r="C17" s="136">
        <v>3.7</v>
      </c>
      <c r="D17" s="111">
        <v>87.104600000000005</v>
      </c>
      <c r="E17" s="136">
        <v>4.0999999999999996</v>
      </c>
    </row>
    <row r="18" spans="1:5" ht="15.95" customHeight="1">
      <c r="A18" s="213" t="s">
        <v>470</v>
      </c>
      <c r="B18" s="111">
        <v>2.1907999999999999</v>
      </c>
      <c r="C18" s="136">
        <v>-1.4</v>
      </c>
      <c r="D18" s="111">
        <v>2.3940999999999999</v>
      </c>
      <c r="E18" s="136">
        <v>-2.2000000000000002</v>
      </c>
    </row>
    <row r="19" spans="1:5" ht="15.95" customHeight="1">
      <c r="A19" s="216" t="s">
        <v>471</v>
      </c>
      <c r="B19" s="111">
        <v>4.5724999999999998</v>
      </c>
      <c r="C19" s="136">
        <v>-13.1</v>
      </c>
      <c r="D19" s="111">
        <v>4.8863000000000003</v>
      </c>
      <c r="E19" s="136">
        <v>-16.7</v>
      </c>
    </row>
    <row r="20" spans="1:5" ht="15.95" customHeight="1">
      <c r="A20" s="217" t="s">
        <v>472</v>
      </c>
      <c r="B20" s="111">
        <v>3.5924999999999998</v>
      </c>
      <c r="C20" s="136">
        <v>93.6</v>
      </c>
      <c r="D20" s="111">
        <v>3.782</v>
      </c>
      <c r="E20" s="136">
        <v>88.3</v>
      </c>
    </row>
    <row r="21" spans="1:5" ht="15.95" customHeight="1">
      <c r="A21" s="216" t="s">
        <v>473</v>
      </c>
      <c r="B21" s="111">
        <v>3.6067</v>
      </c>
      <c r="C21" s="136">
        <v>2.2999999999999998</v>
      </c>
      <c r="D21" s="111">
        <v>3.8449</v>
      </c>
      <c r="E21" s="136">
        <v>0.9</v>
      </c>
    </row>
    <row r="22" spans="1:5" ht="15.95" customHeight="1">
      <c r="A22" s="216" t="s">
        <v>474</v>
      </c>
      <c r="B22" s="111">
        <v>9.1790000000000003</v>
      </c>
      <c r="C22" s="223">
        <v>6.7</v>
      </c>
      <c r="D22" s="111">
        <v>9.8480000000000008</v>
      </c>
      <c r="E22" s="223">
        <v>1.7</v>
      </c>
    </row>
    <row r="23" spans="1:5" ht="15.95" customHeight="1">
      <c r="A23" s="216" t="s">
        <v>475</v>
      </c>
      <c r="B23" s="111">
        <v>5.4724000000000004</v>
      </c>
      <c r="C23" s="223">
        <v>0.9</v>
      </c>
      <c r="D23" s="111">
        <v>6.0160999999999998</v>
      </c>
      <c r="E23" s="223">
        <v>0.5</v>
      </c>
    </row>
    <row r="24" spans="1:5" ht="15.95" customHeight="1">
      <c r="A24" s="218" t="s">
        <v>476</v>
      </c>
      <c r="B24" s="111">
        <v>3.2879</v>
      </c>
      <c r="C24" s="223">
        <v>8.6999999999999993</v>
      </c>
      <c r="D24" s="111">
        <v>3.5872000000000002</v>
      </c>
      <c r="E24" s="223">
        <v>7.9</v>
      </c>
    </row>
    <row r="25" spans="1:5" ht="15.95" customHeight="1">
      <c r="A25" s="218" t="s">
        <v>477</v>
      </c>
      <c r="B25" s="111">
        <v>3.5333000000000001</v>
      </c>
      <c r="C25" s="223">
        <v>1.2</v>
      </c>
      <c r="D25" s="111">
        <v>3.8809999999999998</v>
      </c>
      <c r="E25" s="223">
        <v>3</v>
      </c>
    </row>
    <row r="26" spans="1:5" ht="15.95" customHeight="1">
      <c r="A26" s="218" t="s">
        <v>478</v>
      </c>
      <c r="B26" s="111">
        <v>4.1970999999999998</v>
      </c>
      <c r="C26" s="223">
        <v>5.2</v>
      </c>
      <c r="D26" s="111">
        <v>4.6094999999999997</v>
      </c>
      <c r="E26" s="223">
        <v>3.6</v>
      </c>
    </row>
    <row r="27" spans="1:5" ht="15.95" customHeight="1">
      <c r="A27" s="219" t="s">
        <v>479</v>
      </c>
      <c r="B27" s="129">
        <v>7.0392999999999999</v>
      </c>
      <c r="C27" s="224">
        <v>8.1999999999999993</v>
      </c>
      <c r="D27" s="129">
        <v>7.6700999999999997</v>
      </c>
      <c r="E27" s="224">
        <v>7.7</v>
      </c>
    </row>
  </sheetData>
  <sheetProtection password="DC9E" sheet="1" objects="1" scenarios="1"/>
  <mergeCells count="3">
    <mergeCell ref="B2:C2"/>
    <mergeCell ref="D2:E2"/>
    <mergeCell ref="A2:A3"/>
  </mergeCells>
  <phoneticPr fontId="10" type="noConversion"/>
  <pageMargins left="0.75" right="0.75" top="1" bottom="1" header="0.5" footer="0.5"/>
</worksheet>
</file>

<file path=xl/worksheets/sheet54.xml><?xml version="1.0" encoding="utf-8"?>
<worksheet xmlns="http://schemas.openxmlformats.org/spreadsheetml/2006/main" xmlns:r="http://schemas.openxmlformats.org/officeDocument/2006/relationships">
  <sheetPr enableFormatConditionsCalculation="0">
    <tabColor theme="5"/>
  </sheetPr>
  <dimension ref="A1:O27"/>
  <sheetViews>
    <sheetView zoomScaleSheetLayoutView="100" workbookViewId="0">
      <selection activeCell="K11" sqref="K11"/>
    </sheetView>
  </sheetViews>
  <sheetFormatPr defaultColWidth="9" defaultRowHeight="14.25"/>
  <cols>
    <col min="1" max="1" width="16.375" customWidth="1"/>
    <col min="2" max="2" width="13" customWidth="1"/>
    <col min="3" max="3" width="9.375" customWidth="1"/>
    <col min="4" max="4" width="8.625" customWidth="1"/>
    <col min="5" max="5" width="14.625" customWidth="1"/>
    <col min="6" max="6" width="10.5" customWidth="1"/>
    <col min="7" max="7" width="8.625" customWidth="1"/>
  </cols>
  <sheetData>
    <row r="1" spans="1:15" ht="22.5">
      <c r="A1" s="738" t="s">
        <v>577</v>
      </c>
      <c r="B1" s="738"/>
      <c r="C1" s="738"/>
      <c r="D1" s="738"/>
      <c r="E1" s="738"/>
      <c r="F1" s="738"/>
      <c r="G1" s="167"/>
    </row>
    <row r="2" spans="1:15" ht="29.1" customHeight="1">
      <c r="A2" s="738" t="s">
        <v>47</v>
      </c>
      <c r="B2" s="738"/>
      <c r="C2" s="738"/>
      <c r="D2" s="738"/>
      <c r="E2" s="738"/>
      <c r="F2" s="738"/>
      <c r="G2" s="738"/>
    </row>
    <row r="3" spans="1:15" s="163" customFormat="1" ht="30" customHeight="1">
      <c r="A3" s="738" t="s">
        <v>552</v>
      </c>
      <c r="B3" s="738" t="s">
        <v>578</v>
      </c>
      <c r="C3" s="738"/>
      <c r="D3" s="738"/>
      <c r="E3" s="738" t="s">
        <v>579</v>
      </c>
      <c r="F3" s="738"/>
      <c r="G3" s="738"/>
    </row>
    <row r="4" spans="1:15" s="164" customFormat="1" ht="36" customHeight="1">
      <c r="A4" s="738"/>
      <c r="B4" s="191" t="s">
        <v>580</v>
      </c>
      <c r="C4" s="168" t="s">
        <v>553</v>
      </c>
      <c r="D4" s="192" t="s">
        <v>466</v>
      </c>
      <c r="E4" s="191" t="s">
        <v>580</v>
      </c>
      <c r="F4" s="193" t="s">
        <v>553</v>
      </c>
      <c r="G4" s="193" t="s">
        <v>466</v>
      </c>
      <c r="H4" s="169"/>
      <c r="O4" s="175"/>
    </row>
    <row r="5" spans="1:15" s="164" customFormat="1" ht="25.5" customHeight="1">
      <c r="A5" s="185" t="s">
        <v>557</v>
      </c>
      <c r="B5" s="171" t="s">
        <v>9</v>
      </c>
      <c r="C5" s="171" t="s">
        <v>9</v>
      </c>
      <c r="D5" s="171" t="s">
        <v>9</v>
      </c>
      <c r="E5" s="194" t="s">
        <v>9</v>
      </c>
      <c r="F5" s="187" t="s">
        <v>9</v>
      </c>
      <c r="G5" s="171" t="s">
        <v>9</v>
      </c>
      <c r="I5" s="176"/>
      <c r="J5" s="176"/>
      <c r="K5" s="177"/>
      <c r="O5" s="175"/>
    </row>
    <row r="6" spans="1:15" s="164" customFormat="1" ht="23.1" customHeight="1">
      <c r="A6" s="185" t="s">
        <v>558</v>
      </c>
      <c r="B6" s="186">
        <f>ROUND([29]税收总收入!$B$7,2)</f>
        <v>5608.16</v>
      </c>
      <c r="C6" s="11">
        <f>ROUND([29]税收总收入!$C$7,1)</f>
        <v>5.8</v>
      </c>
      <c r="D6" s="171" t="s">
        <v>9</v>
      </c>
      <c r="E6" s="186">
        <f>ROUND([29]税收总收入!$B$6,2)</f>
        <v>0</v>
      </c>
      <c r="F6" s="170">
        <f>ROUND([29]税收总收入!$C$6,1)</f>
        <v>0</v>
      </c>
      <c r="G6" s="171" t="s">
        <v>9</v>
      </c>
      <c r="I6" s="176"/>
      <c r="J6" s="178"/>
      <c r="O6" s="179"/>
    </row>
    <row r="7" spans="1:15" ht="23.1" customHeight="1">
      <c r="A7" s="164" t="s">
        <v>559</v>
      </c>
      <c r="B7" s="186" t="e">
        <f>ROUND(#REF!,2)</f>
        <v>#REF!</v>
      </c>
      <c r="C7" s="11" t="e">
        <f>ROUND(#REF!,1)</f>
        <v>#REF!</v>
      </c>
      <c r="D7" s="195" t="e">
        <f t="shared" ref="D7:D27" si="0">RANK(C7,$C$7:$C$27,0)</f>
        <v>#REF!</v>
      </c>
      <c r="E7" s="186" t="e">
        <f>ROUND(#REF!,2)</f>
        <v>#REF!</v>
      </c>
      <c r="F7" s="170" t="e">
        <f>ROUND(#REF!,1)</f>
        <v>#REF!</v>
      </c>
      <c r="G7" s="171" t="e">
        <f t="shared" ref="G7:G27" si="1">RANK(F7,$F$7:$F$27,0)</f>
        <v>#REF!</v>
      </c>
      <c r="I7" s="180"/>
      <c r="J7" s="181"/>
      <c r="K7" s="182"/>
      <c r="L7" s="183"/>
      <c r="O7" s="184"/>
    </row>
    <row r="8" spans="1:15" ht="23.1" customHeight="1">
      <c r="A8" s="164" t="s">
        <v>560</v>
      </c>
      <c r="B8" s="186" t="e">
        <f>ROUND(#REF!,2)</f>
        <v>#REF!</v>
      </c>
      <c r="C8" s="11" t="e">
        <f>ROUND(#REF!,1)</f>
        <v>#REF!</v>
      </c>
      <c r="D8" s="195" t="e">
        <f t="shared" si="0"/>
        <v>#REF!</v>
      </c>
      <c r="E8" s="186" t="e">
        <f>ROUND(#REF!,2)</f>
        <v>#REF!</v>
      </c>
      <c r="F8" s="170" t="e">
        <f>ROUND(#REF!,1)</f>
        <v>#REF!</v>
      </c>
      <c r="G8" s="171" t="e">
        <f t="shared" si="1"/>
        <v>#REF!</v>
      </c>
      <c r="I8" s="180"/>
      <c r="J8" s="181"/>
      <c r="K8" s="182"/>
      <c r="L8" s="183"/>
      <c r="O8" s="184"/>
    </row>
    <row r="9" spans="1:15" ht="23.1" customHeight="1">
      <c r="A9" s="164" t="s">
        <v>561</v>
      </c>
      <c r="B9" s="186" t="e">
        <f>ROUND(#REF!,2)</f>
        <v>#REF!</v>
      </c>
      <c r="C9" s="11" t="e">
        <f>ROUND(#REF!,1)</f>
        <v>#REF!</v>
      </c>
      <c r="D9" s="195" t="e">
        <f t="shared" si="0"/>
        <v>#REF!</v>
      </c>
      <c r="E9" s="186" t="e">
        <f>ROUND(#REF!,2)</f>
        <v>#REF!</v>
      </c>
      <c r="F9" s="170" t="e">
        <f>ROUND(#REF!,1)</f>
        <v>#REF!</v>
      </c>
      <c r="G9" s="171" t="e">
        <f t="shared" si="1"/>
        <v>#REF!</v>
      </c>
      <c r="I9" s="180"/>
      <c r="J9" s="181"/>
      <c r="K9" s="182"/>
      <c r="L9" s="183"/>
      <c r="O9" s="184"/>
    </row>
    <row r="10" spans="1:15" ht="23.1" customHeight="1">
      <c r="A10" s="164" t="s">
        <v>562</v>
      </c>
      <c r="B10" s="186" t="e">
        <f>ROUND(#REF!,2)</f>
        <v>#REF!</v>
      </c>
      <c r="C10" s="11" t="e">
        <f>ROUND(#REF!,1)</f>
        <v>#REF!</v>
      </c>
      <c r="D10" s="195" t="e">
        <f t="shared" si="0"/>
        <v>#REF!</v>
      </c>
      <c r="E10" s="186" t="e">
        <f>ROUND(#REF!,2)</f>
        <v>#REF!</v>
      </c>
      <c r="F10" s="170" t="e">
        <f>ROUND(#REF!,1)</f>
        <v>#REF!</v>
      </c>
      <c r="G10" s="171" t="e">
        <f t="shared" si="1"/>
        <v>#REF!</v>
      </c>
      <c r="I10" s="180"/>
      <c r="J10" s="181"/>
      <c r="K10" s="182"/>
      <c r="L10" s="183"/>
      <c r="O10" s="184"/>
    </row>
    <row r="11" spans="1:15" ht="23.1" customHeight="1">
      <c r="A11" s="164" t="s">
        <v>563</v>
      </c>
      <c r="B11" s="186" t="e">
        <f>ROUND(#REF!,2)</f>
        <v>#REF!</v>
      </c>
      <c r="C11" s="11" t="e">
        <f>ROUND(#REF!,1)</f>
        <v>#REF!</v>
      </c>
      <c r="D11" s="195" t="e">
        <f t="shared" si="0"/>
        <v>#REF!</v>
      </c>
      <c r="E11" s="186" t="e">
        <f>ROUND(#REF!,2)</f>
        <v>#REF!</v>
      </c>
      <c r="F11" s="170" t="e">
        <f>ROUND(#REF!,1)</f>
        <v>#REF!</v>
      </c>
      <c r="G11" s="171" t="e">
        <f t="shared" si="1"/>
        <v>#REF!</v>
      </c>
      <c r="I11" s="180"/>
      <c r="J11" s="181"/>
      <c r="K11" s="182"/>
      <c r="L11" s="183"/>
      <c r="O11" s="184"/>
    </row>
    <row r="12" spans="1:15" ht="23.1" customHeight="1">
      <c r="A12" s="164" t="s">
        <v>564</v>
      </c>
      <c r="B12" s="186" t="e">
        <f>ROUND(#REF!,2)</f>
        <v>#REF!</v>
      </c>
      <c r="C12" s="11" t="e">
        <f>ROUND(#REF!,1)</f>
        <v>#REF!</v>
      </c>
      <c r="D12" s="195" t="e">
        <f t="shared" si="0"/>
        <v>#REF!</v>
      </c>
      <c r="E12" s="186" t="e">
        <f>ROUND(#REF!,2)</f>
        <v>#REF!</v>
      </c>
      <c r="F12" s="170" t="e">
        <f>ROUND(#REF!,1)</f>
        <v>#REF!</v>
      </c>
      <c r="G12" s="171" t="e">
        <f t="shared" si="1"/>
        <v>#REF!</v>
      </c>
      <c r="I12" s="180"/>
      <c r="J12" s="181"/>
      <c r="K12" s="182"/>
      <c r="L12" s="183"/>
      <c r="O12" s="184"/>
    </row>
    <row r="13" spans="1:15" ht="23.1" customHeight="1">
      <c r="A13" s="164" t="s">
        <v>565</v>
      </c>
      <c r="B13" s="186" t="e">
        <f>ROUND(#REF!,2)</f>
        <v>#REF!</v>
      </c>
      <c r="C13" s="11" t="e">
        <f>ROUND(#REF!,1)</f>
        <v>#REF!</v>
      </c>
      <c r="D13" s="195" t="e">
        <f t="shared" si="0"/>
        <v>#REF!</v>
      </c>
      <c r="E13" s="186" t="e">
        <f>ROUND(#REF!,2)</f>
        <v>#REF!</v>
      </c>
      <c r="F13" s="170" t="e">
        <f>ROUND(#REF!,1)</f>
        <v>#REF!</v>
      </c>
      <c r="G13" s="171" t="e">
        <f t="shared" si="1"/>
        <v>#REF!</v>
      </c>
      <c r="I13" s="180"/>
      <c r="J13" s="181"/>
      <c r="K13" s="182"/>
      <c r="L13" s="183"/>
      <c r="O13" s="184"/>
    </row>
    <row r="14" spans="1:15" ht="23.1" customHeight="1">
      <c r="A14" s="164" t="s">
        <v>566</v>
      </c>
      <c r="B14" s="186" t="e">
        <f>ROUND(#REF!,2)</f>
        <v>#REF!</v>
      </c>
      <c r="C14" s="11" t="e">
        <f>ROUND(#REF!,1)</f>
        <v>#REF!</v>
      </c>
      <c r="D14" s="195" t="e">
        <f t="shared" si="0"/>
        <v>#REF!</v>
      </c>
      <c r="E14" s="186" t="e">
        <f>ROUND(#REF!,2)</f>
        <v>#REF!</v>
      </c>
      <c r="F14" s="170" t="e">
        <f>ROUND(#REF!,1)</f>
        <v>#REF!</v>
      </c>
      <c r="G14" s="171" t="e">
        <f t="shared" si="1"/>
        <v>#REF!</v>
      </c>
      <c r="I14" s="180"/>
      <c r="J14" s="181"/>
      <c r="K14" s="182"/>
      <c r="L14" s="183"/>
      <c r="O14" s="184"/>
    </row>
    <row r="15" spans="1:15" ht="23.1" customHeight="1">
      <c r="A15" s="164" t="s">
        <v>567</v>
      </c>
      <c r="B15" s="186" t="e">
        <f>ROUND(#REF!,2)</f>
        <v>#REF!</v>
      </c>
      <c r="C15" s="11">
        <f>ROUND([29]各市出口!C13,1)</f>
        <v>-9.4</v>
      </c>
      <c r="D15" s="195" t="e">
        <f t="shared" si="0"/>
        <v>#REF!</v>
      </c>
      <c r="E15" s="186" t="e">
        <f>ROUND(#REF!,2)</f>
        <v>#REF!</v>
      </c>
      <c r="F15" s="170" t="e">
        <f>ROUND(#REF!,1)</f>
        <v>#REF!</v>
      </c>
      <c r="G15" s="171" t="e">
        <f t="shared" si="1"/>
        <v>#REF!</v>
      </c>
      <c r="I15" s="180"/>
      <c r="J15" s="181"/>
      <c r="K15" s="182"/>
      <c r="L15" s="183"/>
      <c r="O15" s="184"/>
    </row>
    <row r="16" spans="1:15" ht="23.1" customHeight="1">
      <c r="A16" s="164" t="s">
        <v>568</v>
      </c>
      <c r="B16" s="186" t="e">
        <f>ROUND(#REF!,2)</f>
        <v>#REF!</v>
      </c>
      <c r="C16" s="11" t="e">
        <f>ROUND(#REF!,1)</f>
        <v>#REF!</v>
      </c>
      <c r="D16" s="195" t="e">
        <f t="shared" si="0"/>
        <v>#REF!</v>
      </c>
      <c r="E16" s="186" t="e">
        <f>ROUND(#REF!,2)</f>
        <v>#REF!</v>
      </c>
      <c r="F16" s="170" t="e">
        <f>ROUND(#REF!,1)</f>
        <v>#REF!</v>
      </c>
      <c r="G16" s="171" t="e">
        <f t="shared" si="1"/>
        <v>#REF!</v>
      </c>
      <c r="I16" s="180"/>
      <c r="J16" s="181"/>
      <c r="K16" s="182"/>
      <c r="L16" s="183"/>
      <c r="O16" s="184"/>
    </row>
    <row r="17" spans="1:15" ht="23.1" customHeight="1">
      <c r="A17" s="164" t="s">
        <v>569</v>
      </c>
      <c r="B17" s="186" t="e">
        <f>ROUND(#REF!,2)</f>
        <v>#REF!</v>
      </c>
      <c r="C17" s="11" t="e">
        <f>ROUND(#REF!,1)</f>
        <v>#REF!</v>
      </c>
      <c r="D17" s="195" t="e">
        <f t="shared" si="0"/>
        <v>#REF!</v>
      </c>
      <c r="E17" s="186" t="e">
        <f>ROUND(#REF!,2)</f>
        <v>#REF!</v>
      </c>
      <c r="F17" s="170" t="e">
        <f>ROUND(#REF!,1)</f>
        <v>#REF!</v>
      </c>
      <c r="G17" s="171" t="e">
        <f t="shared" si="1"/>
        <v>#REF!</v>
      </c>
      <c r="I17" s="180"/>
      <c r="J17" s="181"/>
      <c r="K17" s="182"/>
      <c r="L17" s="183"/>
      <c r="O17" s="184"/>
    </row>
    <row r="18" spans="1:15" ht="23.1" customHeight="1">
      <c r="A18" s="164" t="s">
        <v>570</v>
      </c>
      <c r="B18" s="186" t="e">
        <f>ROUND(#REF!,2)</f>
        <v>#REF!</v>
      </c>
      <c r="C18" s="11" t="e">
        <f>ROUND(#REF!,1)</f>
        <v>#REF!</v>
      </c>
      <c r="D18" s="195" t="e">
        <f t="shared" si="0"/>
        <v>#REF!</v>
      </c>
      <c r="E18" s="186" t="e">
        <f>ROUND(#REF!,2)</f>
        <v>#REF!</v>
      </c>
      <c r="F18" s="170" t="e">
        <f>ROUND(#REF!,1)</f>
        <v>#REF!</v>
      </c>
      <c r="G18" s="171" t="e">
        <f t="shared" si="1"/>
        <v>#REF!</v>
      </c>
      <c r="I18" s="180"/>
      <c r="J18" s="181"/>
      <c r="K18" s="182"/>
      <c r="L18" s="183"/>
      <c r="O18" s="184"/>
    </row>
    <row r="19" spans="1:15" ht="23.1" customHeight="1">
      <c r="A19" s="164" t="s">
        <v>571</v>
      </c>
      <c r="B19" s="186" t="e">
        <f>ROUND(#REF!,2)</f>
        <v>#REF!</v>
      </c>
      <c r="C19" s="11" t="e">
        <f>ROUND(#REF!,1)</f>
        <v>#REF!</v>
      </c>
      <c r="D19" s="195" t="e">
        <f t="shared" si="0"/>
        <v>#REF!</v>
      </c>
      <c r="E19" s="186" t="e">
        <f>ROUND(#REF!,2)</f>
        <v>#REF!</v>
      </c>
      <c r="F19" s="170" t="e">
        <f>ROUND(#REF!,1)</f>
        <v>#REF!</v>
      </c>
      <c r="G19" s="171" t="e">
        <f t="shared" si="1"/>
        <v>#REF!</v>
      </c>
      <c r="I19" s="180"/>
      <c r="J19" s="181"/>
      <c r="K19" s="182"/>
      <c r="L19" s="183"/>
      <c r="O19" s="184"/>
    </row>
    <row r="20" spans="1:15" ht="23.1" customHeight="1">
      <c r="A20" s="164" t="s">
        <v>556</v>
      </c>
      <c r="B20" s="186" t="e">
        <f>ROUND(#REF!,2)</f>
        <v>#REF!</v>
      </c>
      <c r="C20" s="11" t="e">
        <f>ROUND(#REF!,1)</f>
        <v>#REF!</v>
      </c>
      <c r="D20" s="195" t="e">
        <f t="shared" si="0"/>
        <v>#REF!</v>
      </c>
      <c r="E20" s="186" t="e">
        <f>ROUND(#REF!,2)</f>
        <v>#REF!</v>
      </c>
      <c r="F20" s="170" t="e">
        <f>ROUND(#REF!,1)</f>
        <v>#REF!</v>
      </c>
      <c r="G20" s="171" t="e">
        <f t="shared" si="1"/>
        <v>#REF!</v>
      </c>
      <c r="I20" s="180"/>
      <c r="J20" s="181"/>
      <c r="K20" s="182"/>
      <c r="L20" s="183"/>
      <c r="O20" s="184"/>
    </row>
    <row r="21" spans="1:15" ht="23.1" customHeight="1">
      <c r="A21" s="164" t="s">
        <v>554</v>
      </c>
      <c r="B21" s="186" t="e">
        <f>ROUND(#REF!,2)</f>
        <v>#REF!</v>
      </c>
      <c r="C21" s="11" t="e">
        <f>ROUND(#REF!,1)</f>
        <v>#REF!</v>
      </c>
      <c r="D21" s="195" t="e">
        <f t="shared" si="0"/>
        <v>#REF!</v>
      </c>
      <c r="E21" s="186" t="e">
        <f>ROUND(#REF!,2)</f>
        <v>#REF!</v>
      </c>
      <c r="F21" s="170" t="e">
        <f>ROUND(#REF!,1)</f>
        <v>#REF!</v>
      </c>
      <c r="G21" s="171" t="e">
        <f t="shared" si="1"/>
        <v>#REF!</v>
      </c>
      <c r="I21" s="180"/>
      <c r="J21" s="181"/>
      <c r="K21" s="182"/>
      <c r="L21" s="183"/>
      <c r="O21" s="184"/>
    </row>
    <row r="22" spans="1:15" ht="23.1" customHeight="1">
      <c r="A22" s="164" t="s">
        <v>555</v>
      </c>
      <c r="B22" s="186" t="e">
        <f>ROUND(#REF!,2)</f>
        <v>#REF!</v>
      </c>
      <c r="C22" s="11" t="e">
        <f>ROUND(#REF!,1)</f>
        <v>#REF!</v>
      </c>
      <c r="D22" s="195" t="e">
        <f t="shared" si="0"/>
        <v>#REF!</v>
      </c>
      <c r="E22" s="186" t="e">
        <f>ROUND(#REF!,2)</f>
        <v>#REF!</v>
      </c>
      <c r="F22" s="170" t="e">
        <f>ROUND(#REF!,1)</f>
        <v>#REF!</v>
      </c>
      <c r="G22" s="171" t="e">
        <f t="shared" si="1"/>
        <v>#REF!</v>
      </c>
      <c r="I22" s="180"/>
      <c r="J22" s="181"/>
      <c r="K22" s="182"/>
      <c r="L22" s="183"/>
      <c r="O22" s="184"/>
    </row>
    <row r="23" spans="1:15" ht="23.1" customHeight="1">
      <c r="A23" s="164" t="s">
        <v>572</v>
      </c>
      <c r="B23" s="186" t="e">
        <f>ROUND(#REF!,2)</f>
        <v>#REF!</v>
      </c>
      <c r="C23" s="11" t="e">
        <f>ROUND(#REF!,1)</f>
        <v>#REF!</v>
      </c>
      <c r="D23" s="195" t="e">
        <f t="shared" si="0"/>
        <v>#REF!</v>
      </c>
      <c r="E23" s="186" t="e">
        <f>ROUND(#REF!,2)</f>
        <v>#REF!</v>
      </c>
      <c r="F23" s="170" t="e">
        <f>ROUND(#REF!,1)</f>
        <v>#REF!</v>
      </c>
      <c r="G23" s="171" t="e">
        <f t="shared" si="1"/>
        <v>#REF!</v>
      </c>
      <c r="I23" s="180"/>
      <c r="J23" s="181"/>
      <c r="K23" s="182"/>
      <c r="L23" s="183"/>
      <c r="O23" s="184"/>
    </row>
    <row r="24" spans="1:15" ht="23.1" customHeight="1">
      <c r="A24" s="164" t="s">
        <v>573</v>
      </c>
      <c r="B24" s="186" t="e">
        <f>ROUND(#REF!,2)</f>
        <v>#REF!</v>
      </c>
      <c r="C24" s="11" t="e">
        <f>ROUND(#REF!,1)</f>
        <v>#REF!</v>
      </c>
      <c r="D24" s="195" t="e">
        <f t="shared" si="0"/>
        <v>#REF!</v>
      </c>
      <c r="E24" s="186" t="e">
        <f>ROUND(#REF!,2)</f>
        <v>#REF!</v>
      </c>
      <c r="F24" s="170" t="e">
        <f>ROUND(#REF!,1)</f>
        <v>#REF!</v>
      </c>
      <c r="G24" s="171" t="e">
        <f t="shared" si="1"/>
        <v>#REF!</v>
      </c>
      <c r="I24" s="180"/>
      <c r="J24" s="181"/>
      <c r="K24" s="182"/>
      <c r="L24" s="183"/>
      <c r="O24" s="184"/>
    </row>
    <row r="25" spans="1:15" ht="23.1" customHeight="1">
      <c r="A25" s="164" t="s">
        <v>574</v>
      </c>
      <c r="B25" s="186" t="e">
        <f>ROUND(#REF!,2)</f>
        <v>#REF!</v>
      </c>
      <c r="C25" s="11" t="e">
        <f>ROUND(#REF!,1)</f>
        <v>#REF!</v>
      </c>
      <c r="D25" s="195" t="e">
        <f t="shared" si="0"/>
        <v>#REF!</v>
      </c>
      <c r="E25" s="186" t="e">
        <f>ROUND(#REF!,2)</f>
        <v>#REF!</v>
      </c>
      <c r="F25" s="170" t="e">
        <f>ROUND(#REF!,1)</f>
        <v>#REF!</v>
      </c>
      <c r="G25" s="171" t="e">
        <f t="shared" si="1"/>
        <v>#REF!</v>
      </c>
      <c r="I25" s="180"/>
      <c r="J25" s="181"/>
      <c r="K25" s="182"/>
      <c r="L25" s="183"/>
      <c r="O25" s="184"/>
    </row>
    <row r="26" spans="1:15" ht="23.1" customHeight="1">
      <c r="A26" s="164" t="s">
        <v>575</v>
      </c>
      <c r="B26" s="186" t="e">
        <f>ROUND(#REF!,2)</f>
        <v>#REF!</v>
      </c>
      <c r="C26" s="11" t="e">
        <f>ROUND(#REF!,1)</f>
        <v>#REF!</v>
      </c>
      <c r="D26" s="195" t="e">
        <f t="shared" si="0"/>
        <v>#REF!</v>
      </c>
      <c r="E26" s="186" t="e">
        <f>ROUND(#REF!,2)</f>
        <v>#REF!</v>
      </c>
      <c r="F26" s="170" t="e">
        <f>ROUND(#REF!,1)</f>
        <v>#REF!</v>
      </c>
      <c r="G26" s="171" t="e">
        <f t="shared" si="1"/>
        <v>#REF!</v>
      </c>
      <c r="I26" s="180"/>
      <c r="J26" s="181"/>
      <c r="K26" s="182"/>
      <c r="L26" s="183"/>
      <c r="O26" s="184"/>
    </row>
    <row r="27" spans="1:15" s="166" customFormat="1" ht="23.1" customHeight="1">
      <c r="A27" s="189" t="s">
        <v>576</v>
      </c>
      <c r="B27" s="190" t="e">
        <f>ROUND(#REF!,2)</f>
        <v>#REF!</v>
      </c>
      <c r="C27" s="172" t="e">
        <f>ROUND(#REF!,1)</f>
        <v>#REF!</v>
      </c>
      <c r="D27" s="196" t="e">
        <f t="shared" si="0"/>
        <v>#REF!</v>
      </c>
      <c r="E27" s="190" t="e">
        <f>ROUND(#REF!,2)</f>
        <v>#REF!</v>
      </c>
      <c r="F27" s="173" t="e">
        <f>ROUND(#REF!,1)</f>
        <v>#REF!</v>
      </c>
      <c r="G27" s="174" t="e">
        <f t="shared" si="1"/>
        <v>#REF!</v>
      </c>
      <c r="H27" s="165"/>
      <c r="I27" s="180"/>
      <c r="J27" s="181"/>
      <c r="K27" s="182"/>
      <c r="L27" s="165"/>
      <c r="M27" s="165"/>
      <c r="N27" s="165"/>
      <c r="O27" s="179"/>
    </row>
  </sheetData>
  <mergeCells count="5">
    <mergeCell ref="A1:F1"/>
    <mergeCell ref="A2:G2"/>
    <mergeCell ref="B3:D3"/>
    <mergeCell ref="E3:G3"/>
    <mergeCell ref="A3:A4"/>
  </mergeCells>
  <phoneticPr fontId="10" type="noConversion"/>
  <pageMargins left="0.75" right="0.75" top="1" bottom="1" header="0.51" footer="0.51"/>
</worksheet>
</file>

<file path=xl/worksheets/sheet55.xml><?xml version="1.0" encoding="utf-8"?>
<worksheet xmlns="http://schemas.openxmlformats.org/spreadsheetml/2006/main" xmlns:r="http://schemas.openxmlformats.org/officeDocument/2006/relationships">
  <sheetPr enableFormatConditionsCalculation="0">
    <tabColor theme="5"/>
  </sheetPr>
  <dimension ref="A1:IV31"/>
  <sheetViews>
    <sheetView topLeftCell="A4" workbookViewId="0">
      <selection activeCell="G31" sqref="G31"/>
    </sheetView>
  </sheetViews>
  <sheetFormatPr defaultColWidth="9" defaultRowHeight="14.25"/>
  <cols>
    <col min="1" max="1" width="14.375" style="44" customWidth="1"/>
    <col min="2" max="2" width="26.875" customWidth="1"/>
    <col min="3" max="3" width="18.875" customWidth="1"/>
    <col min="4" max="4" width="0.5" hidden="1" customWidth="1"/>
    <col min="5" max="6" width="9" hidden="1" customWidth="1"/>
  </cols>
  <sheetData>
    <row r="1" spans="1:7" ht="33.75" customHeight="1">
      <c r="A1" s="727" t="s">
        <v>581</v>
      </c>
      <c r="B1" s="727"/>
      <c r="C1" s="727"/>
      <c r="D1" s="727"/>
      <c r="E1" s="727"/>
      <c r="F1" s="727"/>
      <c r="G1" s="45"/>
    </row>
    <row r="2" spans="1:7" ht="20.25" customHeight="1">
      <c r="A2" s="147"/>
      <c r="B2" s="147"/>
      <c r="C2" s="738" t="s">
        <v>582</v>
      </c>
      <c r="D2" s="738"/>
      <c r="E2" s="738"/>
      <c r="F2" s="738"/>
      <c r="G2" s="45"/>
    </row>
    <row r="3" spans="1:7" s="43" customFormat="1" ht="31.5" customHeight="1">
      <c r="A3" s="738" t="s">
        <v>583</v>
      </c>
      <c r="B3" s="738" t="s">
        <v>11</v>
      </c>
      <c r="C3" s="738"/>
      <c r="D3" s="148"/>
      <c r="E3" s="149"/>
      <c r="F3" s="150"/>
      <c r="G3" s="51"/>
    </row>
    <row r="4" spans="1:7" s="43" customFormat="1" ht="31.5" customHeight="1">
      <c r="A4" s="738"/>
      <c r="B4" s="7" t="s">
        <v>584</v>
      </c>
      <c r="C4" s="8" t="s">
        <v>585</v>
      </c>
      <c r="D4" s="151"/>
      <c r="E4" s="152"/>
      <c r="F4" s="153"/>
      <c r="G4" s="51"/>
    </row>
    <row r="5" spans="1:7" ht="18" customHeight="1">
      <c r="A5" s="154">
        <v>2016</v>
      </c>
      <c r="B5" s="155"/>
      <c r="C5" s="80"/>
      <c r="D5" s="156"/>
      <c r="E5" s="156"/>
      <c r="F5" s="156"/>
    </row>
    <row r="6" spans="1:7" ht="18" customHeight="1">
      <c r="A6" s="154">
        <v>6</v>
      </c>
      <c r="B6" s="155">
        <f>ROUND(3143799,0)</f>
        <v>3143799</v>
      </c>
      <c r="C6" s="157">
        <f>ROUND(10.5,1)</f>
        <v>10.5</v>
      </c>
      <c r="D6" s="156"/>
      <c r="E6" s="156"/>
      <c r="F6" s="156"/>
    </row>
    <row r="7" spans="1:7" ht="18" customHeight="1">
      <c r="A7" s="154">
        <v>7</v>
      </c>
      <c r="B7" s="155">
        <f>ROUND(3788981,0)</f>
        <v>3788981</v>
      </c>
      <c r="C7" s="158">
        <f>ROUND(10.6,1)</f>
        <v>10.6</v>
      </c>
      <c r="D7" s="156"/>
      <c r="E7" s="156"/>
      <c r="F7" s="156"/>
    </row>
    <row r="8" spans="1:7" ht="18" customHeight="1">
      <c r="A8" s="154">
        <v>8</v>
      </c>
      <c r="B8" s="155">
        <f>ROUND(4431853,0)</f>
        <v>4431853</v>
      </c>
      <c r="C8" s="158">
        <f>ROUND(10.6,1)</f>
        <v>10.6</v>
      </c>
      <c r="D8" s="156"/>
      <c r="E8" s="156"/>
      <c r="F8" s="156"/>
    </row>
    <row r="9" spans="1:7" ht="18" customHeight="1">
      <c r="A9" s="154">
        <v>9</v>
      </c>
      <c r="B9" s="155">
        <f>ROUND(5129609,0)</f>
        <v>5129609</v>
      </c>
      <c r="C9" s="158">
        <f>ROUND(11,1)</f>
        <v>11</v>
      </c>
      <c r="D9" s="156"/>
      <c r="E9" s="156"/>
      <c r="F9" s="156"/>
    </row>
    <row r="10" spans="1:7" ht="18" customHeight="1">
      <c r="A10" s="154">
        <v>10</v>
      </c>
      <c r="B10" s="155">
        <f>ROUND(5824115,0)</f>
        <v>5824115</v>
      </c>
      <c r="C10" s="158">
        <f>ROUND(11.5,1)</f>
        <v>11.5</v>
      </c>
      <c r="D10" s="156"/>
      <c r="E10" s="156"/>
      <c r="F10" s="156"/>
    </row>
    <row r="11" spans="1:7">
      <c r="A11" s="154">
        <v>11</v>
      </c>
      <c r="B11" s="155">
        <f>ROUND(6614788,0)</f>
        <v>6614788</v>
      </c>
      <c r="C11" s="158">
        <f>ROUND(11.7,1)</f>
        <v>11.7</v>
      </c>
    </row>
    <row r="12" spans="1:7">
      <c r="A12" s="159">
        <v>12</v>
      </c>
      <c r="B12" s="41">
        <f>ROUND(7665202,0)</f>
        <v>7665202</v>
      </c>
      <c r="C12" s="21">
        <f>ROUND(11.5,1)</f>
        <v>11.5</v>
      </c>
    </row>
    <row r="13" spans="1:7" ht="18" customHeight="1">
      <c r="A13" s="154">
        <v>2017</v>
      </c>
      <c r="B13" s="155"/>
      <c r="C13" s="157"/>
      <c r="D13" s="156"/>
      <c r="E13" s="156"/>
      <c r="F13" s="156"/>
    </row>
    <row r="14" spans="1:7">
      <c r="A14" s="154">
        <v>2</v>
      </c>
      <c r="B14" s="16">
        <f>ROUND(1142507,0)</f>
        <v>1142507</v>
      </c>
      <c r="C14" s="160">
        <f>ROUND(7.5,1)</f>
        <v>7.5</v>
      </c>
    </row>
    <row r="15" spans="1:7">
      <c r="A15" s="15">
        <v>3</v>
      </c>
      <c r="B15" s="16">
        <f>ROUND(1799926,0)</f>
        <v>1799926</v>
      </c>
      <c r="C15" s="21">
        <f>ROUND(7.7,1)</f>
        <v>7.7</v>
      </c>
    </row>
    <row r="16" spans="1:7">
      <c r="A16" s="15">
        <v>4</v>
      </c>
      <c r="B16" s="16">
        <f>ROUND(2404934,0)</f>
        <v>2404934</v>
      </c>
      <c r="C16" s="21">
        <f>ROUND(8.1,1)</f>
        <v>8.1</v>
      </c>
    </row>
    <row r="17" spans="1:256">
      <c r="A17" s="15">
        <v>5</v>
      </c>
      <c r="B17" s="16">
        <f>ROUND(3144236,0)</f>
        <v>3144236</v>
      </c>
      <c r="C17" s="21">
        <f>ROUND(7.5,1)</f>
        <v>7.5</v>
      </c>
    </row>
    <row r="18" spans="1:256">
      <c r="A18" s="15">
        <v>6</v>
      </c>
      <c r="B18" s="16">
        <f>ROUND(4030867,0)</f>
        <v>4030867</v>
      </c>
      <c r="C18" s="21">
        <f>ROUND(8.5,)</f>
        <v>9</v>
      </c>
    </row>
    <row r="19" spans="1:256">
      <c r="A19" s="15">
        <v>7</v>
      </c>
      <c r="B19" s="155">
        <f>ROUND(4819573,0)</f>
        <v>4819573</v>
      </c>
      <c r="C19" s="157">
        <f>ROUND(8.8,1)</f>
        <v>8.8000000000000007</v>
      </c>
    </row>
    <row r="20" spans="1:256">
      <c r="A20" s="161">
        <v>8</v>
      </c>
      <c r="B20" s="41">
        <f>ROUND(5627416,0)</f>
        <v>5627416</v>
      </c>
      <c r="C20" s="21">
        <f>ROUND(9.1,1)</f>
        <v>9.1</v>
      </c>
    </row>
    <row r="21" spans="1:256">
      <c r="A21" s="161">
        <v>9</v>
      </c>
      <c r="B21" s="41">
        <f>ROUND(6503597,0)</f>
        <v>6503597</v>
      </c>
      <c r="C21" s="157">
        <f>ROUND(9.6,1)</f>
        <v>9.6</v>
      </c>
    </row>
    <row r="22" spans="1:256">
      <c r="A22" s="161">
        <v>10</v>
      </c>
      <c r="B22" s="41">
        <f>ROUND(7316245,0)</f>
        <v>7316245</v>
      </c>
      <c r="C22" s="21">
        <f>ROUND(9.3,1)</f>
        <v>9.3000000000000007</v>
      </c>
    </row>
    <row r="23" spans="1:256">
      <c r="A23" s="162">
        <v>11</v>
      </c>
      <c r="B23" s="16">
        <f>ROUND(8208997,0)</f>
        <v>8208997</v>
      </c>
      <c r="C23" s="21">
        <f>ROUND(9.1,1)</f>
        <v>9.1</v>
      </c>
    </row>
    <row r="24" spans="1:256">
      <c r="A24" s="162">
        <v>12</v>
      </c>
      <c r="B24" s="16">
        <f>ROUND(8357945,0)</f>
        <v>8357945</v>
      </c>
      <c r="C24" s="21">
        <f>ROUND(8.5,1)</f>
        <v>8.5</v>
      </c>
    </row>
    <row r="25" spans="1:256">
      <c r="A25" s="15">
        <v>2018</v>
      </c>
      <c r="B25" s="16"/>
      <c r="C25" s="21"/>
    </row>
    <row r="26" spans="1:256">
      <c r="A26" s="15">
        <v>2</v>
      </c>
      <c r="B26" s="16">
        <f>ROUND(1129112,0)</f>
        <v>1129112</v>
      </c>
      <c r="C26" s="21">
        <f>ROUND(0.2,1)</f>
        <v>0.2</v>
      </c>
    </row>
    <row r="27" spans="1:256">
      <c r="A27" s="15">
        <v>3</v>
      </c>
      <c r="B27" s="16">
        <f>ROUND(1788963,0)</f>
        <v>1788963</v>
      </c>
      <c r="C27" s="21">
        <f>ROUND(2.9,1)</f>
        <v>2.9</v>
      </c>
    </row>
    <row r="28" spans="1:256">
      <c r="A28" s="15">
        <v>4</v>
      </c>
      <c r="B28" s="41">
        <f>ROUND(2439875,0)</f>
        <v>2439875</v>
      </c>
      <c r="C28" s="21">
        <f>ROUND(3.8,1)</f>
        <v>3.8</v>
      </c>
    </row>
    <row r="29" spans="1:256">
      <c r="A29" s="15">
        <v>5</v>
      </c>
      <c r="B29" s="41">
        <v>3086749</v>
      </c>
      <c r="C29" s="21">
        <v>4.0999999999999996</v>
      </c>
    </row>
    <row r="30" spans="1:256">
      <c r="A30" s="22">
        <v>6</v>
      </c>
      <c r="B30" s="42">
        <v>3845140</v>
      </c>
      <c r="C30" s="24">
        <v>4.7</v>
      </c>
    </row>
    <row r="31" spans="1:256">
      <c r="D31" s="161"/>
      <c r="E31" s="161"/>
      <c r="F31" s="161"/>
      <c r="G31" s="161"/>
      <c r="H31" s="161"/>
      <c r="I31" s="161"/>
      <c r="J31" s="161"/>
      <c r="K31" s="161"/>
      <c r="L31" s="161"/>
      <c r="M31" s="161"/>
      <c r="N31" s="161"/>
      <c r="O31" s="161"/>
      <c r="P31" s="161"/>
      <c r="Q31" s="161"/>
      <c r="R31" s="161"/>
      <c r="S31" s="161"/>
      <c r="T31" s="161"/>
      <c r="U31" s="161"/>
      <c r="V31" s="161"/>
      <c r="W31" s="161"/>
      <c r="X31" s="161"/>
      <c r="Y31" s="161"/>
      <c r="Z31" s="161"/>
      <c r="AA31" s="161"/>
      <c r="AB31" s="161"/>
      <c r="AC31" s="161"/>
      <c r="AD31" s="161"/>
      <c r="AE31" s="161"/>
      <c r="AF31" s="161"/>
      <c r="AG31" s="161"/>
      <c r="AH31" s="161"/>
      <c r="AI31" s="161"/>
      <c r="AJ31" s="161"/>
      <c r="AK31" s="161"/>
      <c r="AL31" s="161"/>
      <c r="AM31" s="161"/>
      <c r="AN31" s="161"/>
      <c r="AO31" s="161"/>
      <c r="AP31" s="161"/>
      <c r="AQ31" s="161"/>
      <c r="AR31" s="161"/>
      <c r="AS31" s="161"/>
      <c r="AT31" s="161"/>
      <c r="AU31" s="161"/>
      <c r="AV31" s="161"/>
      <c r="AW31" s="161"/>
      <c r="AX31" s="161"/>
      <c r="AY31" s="161"/>
      <c r="AZ31" s="161"/>
      <c r="BA31" s="161"/>
      <c r="BB31" s="161"/>
      <c r="BC31" s="161"/>
      <c r="BD31" s="161"/>
      <c r="BE31" s="161"/>
      <c r="BF31" s="161"/>
      <c r="BG31" s="161"/>
      <c r="BH31" s="161"/>
      <c r="BI31" s="161"/>
      <c r="BJ31" s="161"/>
      <c r="BK31" s="161"/>
      <c r="BL31" s="161"/>
      <c r="BM31" s="161"/>
      <c r="BN31" s="161"/>
      <c r="BO31" s="161"/>
      <c r="BP31" s="161"/>
      <c r="BQ31" s="161"/>
      <c r="BR31" s="161"/>
      <c r="BS31" s="161"/>
      <c r="BT31" s="161"/>
      <c r="BU31" s="161"/>
      <c r="BV31" s="161"/>
      <c r="BW31" s="161"/>
      <c r="BX31" s="161"/>
      <c r="BY31" s="161"/>
      <c r="BZ31" s="161"/>
      <c r="CA31" s="161"/>
      <c r="CB31" s="161"/>
      <c r="CC31" s="161"/>
      <c r="CD31" s="161"/>
      <c r="CE31" s="161"/>
      <c r="CF31" s="161"/>
      <c r="CG31" s="161"/>
      <c r="CH31" s="161"/>
      <c r="CI31" s="161"/>
      <c r="CJ31" s="161"/>
      <c r="CK31" s="161"/>
      <c r="CL31" s="161"/>
      <c r="CM31" s="161"/>
      <c r="CN31" s="161"/>
      <c r="CO31" s="161"/>
      <c r="CP31" s="161"/>
      <c r="CQ31" s="161"/>
      <c r="CR31" s="161"/>
      <c r="CS31" s="161"/>
      <c r="CT31" s="161"/>
      <c r="CU31" s="161"/>
      <c r="CV31" s="161"/>
      <c r="CW31" s="161"/>
      <c r="CX31" s="161"/>
      <c r="CY31" s="161"/>
      <c r="CZ31" s="161"/>
      <c r="DA31" s="161"/>
      <c r="DB31" s="161"/>
      <c r="DC31" s="161"/>
      <c r="DD31" s="161"/>
      <c r="DE31" s="161"/>
      <c r="DF31" s="161"/>
      <c r="DG31" s="161"/>
      <c r="DH31" s="161"/>
      <c r="DI31" s="161"/>
      <c r="DJ31" s="161"/>
      <c r="DK31" s="161"/>
      <c r="DL31" s="161"/>
      <c r="DM31" s="161"/>
      <c r="DN31" s="161"/>
      <c r="DO31" s="161"/>
      <c r="DP31" s="161"/>
      <c r="DQ31" s="161"/>
      <c r="DR31" s="161"/>
      <c r="DS31" s="161"/>
      <c r="DT31" s="161"/>
      <c r="DU31" s="161"/>
      <c r="DV31" s="161"/>
      <c r="DW31" s="161"/>
      <c r="DX31" s="161"/>
      <c r="DY31" s="161"/>
      <c r="DZ31" s="161"/>
      <c r="EA31" s="161"/>
      <c r="EB31" s="161"/>
      <c r="EC31" s="161"/>
      <c r="ED31" s="161"/>
      <c r="EE31" s="161"/>
      <c r="EF31" s="161"/>
      <c r="EG31" s="161"/>
      <c r="EH31" s="161"/>
      <c r="EI31" s="161"/>
      <c r="EJ31" s="161"/>
      <c r="EK31" s="161"/>
      <c r="EL31" s="161"/>
      <c r="EM31" s="161"/>
      <c r="EN31" s="161"/>
      <c r="EO31" s="161"/>
      <c r="EP31" s="161"/>
      <c r="EQ31" s="161"/>
      <c r="ER31" s="161"/>
      <c r="ES31" s="161"/>
      <c r="ET31" s="161"/>
      <c r="EU31" s="161"/>
      <c r="EV31" s="161"/>
      <c r="EW31" s="161"/>
      <c r="EX31" s="161"/>
      <c r="EY31" s="161"/>
      <c r="EZ31" s="161"/>
      <c r="FA31" s="161"/>
      <c r="FB31" s="161"/>
      <c r="FC31" s="161"/>
      <c r="FD31" s="161"/>
      <c r="FE31" s="161"/>
      <c r="FF31" s="161"/>
      <c r="FG31" s="161"/>
      <c r="FH31" s="161"/>
      <c r="FI31" s="161"/>
      <c r="FJ31" s="161"/>
      <c r="FK31" s="161"/>
      <c r="FL31" s="161"/>
      <c r="FM31" s="161"/>
      <c r="FN31" s="161"/>
      <c r="FO31" s="161"/>
      <c r="FP31" s="161"/>
      <c r="FQ31" s="161"/>
      <c r="FR31" s="161"/>
      <c r="FS31" s="161"/>
      <c r="FT31" s="161"/>
      <c r="FU31" s="161"/>
      <c r="FV31" s="161"/>
      <c r="FW31" s="161"/>
      <c r="FX31" s="161"/>
      <c r="FY31" s="161"/>
      <c r="FZ31" s="161"/>
      <c r="GA31" s="161"/>
      <c r="GB31" s="161"/>
      <c r="GC31" s="161"/>
      <c r="GD31" s="161"/>
      <c r="GE31" s="161"/>
      <c r="GF31" s="161"/>
      <c r="GG31" s="161"/>
      <c r="GH31" s="161"/>
      <c r="GI31" s="161"/>
      <c r="GJ31" s="161"/>
      <c r="GK31" s="161"/>
      <c r="GL31" s="161"/>
      <c r="GM31" s="161"/>
      <c r="GN31" s="161"/>
      <c r="GO31" s="161"/>
      <c r="GP31" s="161"/>
      <c r="GQ31" s="161"/>
      <c r="GR31" s="161"/>
      <c r="GS31" s="161"/>
      <c r="GT31" s="161"/>
      <c r="GU31" s="161"/>
      <c r="GV31" s="161"/>
      <c r="GW31" s="161"/>
      <c r="GX31" s="161"/>
      <c r="GY31" s="161"/>
      <c r="GZ31" s="161"/>
      <c r="HA31" s="161"/>
      <c r="HB31" s="161"/>
      <c r="HC31" s="161"/>
      <c r="HD31" s="161"/>
      <c r="HE31" s="161"/>
      <c r="HF31" s="161"/>
      <c r="HG31" s="161"/>
      <c r="HH31" s="161"/>
      <c r="HI31" s="161"/>
      <c r="HJ31" s="161"/>
      <c r="HK31" s="161"/>
      <c r="HL31" s="161"/>
      <c r="HM31" s="161"/>
      <c r="HN31" s="161"/>
      <c r="HO31" s="161"/>
      <c r="HP31" s="161"/>
      <c r="HQ31" s="161"/>
      <c r="HR31" s="161"/>
      <c r="HS31" s="161"/>
      <c r="HT31" s="161"/>
      <c r="HU31" s="161"/>
      <c r="HV31" s="161"/>
      <c r="HW31" s="161"/>
      <c r="HX31" s="161"/>
      <c r="HY31" s="161"/>
      <c r="HZ31" s="161"/>
      <c r="IA31" s="161"/>
      <c r="IB31" s="161"/>
      <c r="IC31" s="161"/>
      <c r="ID31" s="161"/>
      <c r="IE31" s="161"/>
      <c r="IF31" s="161"/>
      <c r="IG31" s="161"/>
      <c r="IH31" s="161"/>
      <c r="II31" s="161"/>
      <c r="IJ31" s="161"/>
      <c r="IK31" s="161"/>
      <c r="IL31" s="161"/>
      <c r="IM31" s="161"/>
      <c r="IN31" s="161"/>
      <c r="IO31" s="161"/>
      <c r="IP31" s="161"/>
      <c r="IQ31" s="161"/>
      <c r="IR31" s="161"/>
      <c r="IS31" s="161"/>
      <c r="IT31" s="161"/>
      <c r="IU31" s="161"/>
      <c r="IV31" s="161"/>
    </row>
  </sheetData>
  <mergeCells count="4">
    <mergeCell ref="A1:F1"/>
    <mergeCell ref="C2:F2"/>
    <mergeCell ref="B3:C3"/>
    <mergeCell ref="A3:A4"/>
  </mergeCells>
  <phoneticPr fontId="10" type="noConversion"/>
  <pageMargins left="0.75" right="0.75" top="1" bottom="1" header="0.5" footer="0.5"/>
  <pageSetup paperSize="9" orientation="portrait" verticalDpi="0"/>
  <headerFooter scaleWithDoc="0" alignWithMargins="0"/>
</worksheet>
</file>

<file path=xl/worksheets/sheet56.xml><?xml version="1.0" encoding="utf-8"?>
<worksheet xmlns="http://schemas.openxmlformats.org/spreadsheetml/2006/main" xmlns:r="http://schemas.openxmlformats.org/officeDocument/2006/relationships">
  <dimension ref="A1:E31"/>
  <sheetViews>
    <sheetView zoomScaleSheetLayoutView="100" workbookViewId="0">
      <selection activeCell="D28" sqref="D28:E28"/>
    </sheetView>
  </sheetViews>
  <sheetFormatPr defaultColWidth="9" defaultRowHeight="14.25"/>
  <cols>
    <col min="2" max="2" width="12.375" customWidth="1"/>
    <col min="3" max="3" width="10.375" customWidth="1"/>
    <col min="4" max="4" width="14.125" customWidth="1"/>
    <col min="5" max="5" width="10.125" customWidth="1"/>
  </cols>
  <sheetData>
    <row r="1" spans="1:5" ht="27" customHeight="1">
      <c r="A1" s="746" t="s">
        <v>11</v>
      </c>
      <c r="B1" s="746"/>
      <c r="C1" s="746"/>
      <c r="D1" s="746"/>
      <c r="E1" s="746"/>
    </row>
    <row r="2" spans="1:5">
      <c r="E2" t="s">
        <v>47</v>
      </c>
    </row>
    <row r="3" spans="1:5" ht="9" customHeight="1"/>
    <row r="4" spans="1:5" ht="18" customHeight="1">
      <c r="A4" s="753" t="s">
        <v>586</v>
      </c>
      <c r="B4" s="753" t="s">
        <v>587</v>
      </c>
      <c r="C4" s="753"/>
      <c r="D4" s="753" t="s">
        <v>588</v>
      </c>
      <c r="E4" s="753"/>
    </row>
    <row r="5" spans="1:5" ht="18" customHeight="1">
      <c r="A5" s="753"/>
      <c r="B5" s="84" t="s">
        <v>589</v>
      </c>
      <c r="C5" s="84" t="s">
        <v>590</v>
      </c>
      <c r="D5" s="84" t="s">
        <v>589</v>
      </c>
      <c r="E5" s="84" t="s">
        <v>590</v>
      </c>
    </row>
    <row r="6" spans="1:5">
      <c r="A6" s="85" t="s">
        <v>591</v>
      </c>
      <c r="B6" s="86"/>
      <c r="C6" s="87"/>
      <c r="D6" s="110"/>
      <c r="E6" s="110"/>
    </row>
    <row r="7" spans="1:5">
      <c r="A7" s="85" t="s">
        <v>592</v>
      </c>
      <c r="B7" s="99">
        <v>88.065600000000003</v>
      </c>
      <c r="C7" s="106">
        <v>5.8</v>
      </c>
      <c r="D7" s="111">
        <f>(ROUND(1142507,0))/10000</f>
        <v>114.25069999999999</v>
      </c>
      <c r="E7" s="112">
        <f>ROUND(7.5,1)</f>
        <v>7.5</v>
      </c>
    </row>
    <row r="8" spans="1:5">
      <c r="A8" s="85" t="s">
        <v>593</v>
      </c>
      <c r="B8" s="99">
        <v>139.58199999999999</v>
      </c>
      <c r="C8" s="106">
        <v>8.8000000000000007</v>
      </c>
      <c r="D8" s="111">
        <f>(ROUND(1799926,0))/10000</f>
        <v>179.99260000000001</v>
      </c>
      <c r="E8" s="112">
        <f>ROUND(7.7,1)</f>
        <v>7.7</v>
      </c>
    </row>
    <row r="9" spans="1:5">
      <c r="A9" s="85" t="s">
        <v>594</v>
      </c>
      <c r="B9" s="99">
        <v>185.22800000000001</v>
      </c>
      <c r="C9" s="106">
        <v>9.4</v>
      </c>
      <c r="D9" s="111">
        <f>(ROUND(2404934,0))/10000</f>
        <v>240.49340000000001</v>
      </c>
      <c r="E9" s="112">
        <f>ROUND(8.1,1)</f>
        <v>8.1</v>
      </c>
    </row>
    <row r="10" spans="1:5">
      <c r="A10" s="85" t="s">
        <v>595</v>
      </c>
      <c r="B10" s="99">
        <v>242.3485</v>
      </c>
      <c r="C10" s="106">
        <v>10.199999999999999</v>
      </c>
      <c r="D10" s="111">
        <f>(ROUND(3144236,0))/10000</f>
        <v>314.42360000000002</v>
      </c>
      <c r="E10" s="112">
        <f>ROUND(7.5,1)</f>
        <v>7.5</v>
      </c>
    </row>
    <row r="11" spans="1:5">
      <c r="A11" s="85" t="s">
        <v>596</v>
      </c>
      <c r="B11" s="99">
        <v>314.37990000000002</v>
      </c>
      <c r="C11" s="106">
        <v>10.5</v>
      </c>
      <c r="D11" s="111">
        <f>(ROUND(4030867,0))/10000</f>
        <v>403.08670000000001</v>
      </c>
      <c r="E11" s="112">
        <f>ROUND(8.5,)</f>
        <v>9</v>
      </c>
    </row>
    <row r="12" spans="1:5">
      <c r="A12" s="85" t="s">
        <v>597</v>
      </c>
      <c r="B12" s="99">
        <v>378.8981</v>
      </c>
      <c r="C12" s="106">
        <v>10.6</v>
      </c>
      <c r="D12" s="111">
        <f>(ROUND(4819573,0))/10000</f>
        <v>481.95729999999998</v>
      </c>
      <c r="E12" s="112">
        <f>ROUND(8.8,1)</f>
        <v>8.8000000000000007</v>
      </c>
    </row>
    <row r="13" spans="1:5">
      <c r="A13" s="85" t="s">
        <v>598</v>
      </c>
      <c r="B13" s="99">
        <v>443.18529999999998</v>
      </c>
      <c r="C13" s="106">
        <v>10.6</v>
      </c>
      <c r="D13" s="111">
        <f>(ROUND(5627416,0))/10000</f>
        <v>562.74159999999995</v>
      </c>
      <c r="E13" s="112">
        <f>ROUND(9.1,1)</f>
        <v>9.1</v>
      </c>
    </row>
    <row r="14" spans="1:5">
      <c r="A14" s="85" t="s">
        <v>90</v>
      </c>
      <c r="B14" s="99">
        <v>512.96090000000004</v>
      </c>
      <c r="C14" s="91">
        <v>11</v>
      </c>
      <c r="D14" s="111">
        <f>(ROUND(6503597,0))/10000</f>
        <v>650.35969999999998</v>
      </c>
      <c r="E14" s="112">
        <f>ROUND(9.6,1)</f>
        <v>9.6</v>
      </c>
    </row>
    <row r="15" spans="1:5">
      <c r="A15" s="85" t="s">
        <v>599</v>
      </c>
      <c r="B15" s="99">
        <v>582.41150000000005</v>
      </c>
      <c r="C15" s="106">
        <v>11.5</v>
      </c>
      <c r="D15" s="111">
        <f>(ROUND(7316245,0))/10000</f>
        <v>731.62450000000001</v>
      </c>
      <c r="E15" s="112">
        <f>ROUND(9.3,1)</f>
        <v>9.3000000000000007</v>
      </c>
    </row>
    <row r="16" spans="1:5">
      <c r="A16" s="85" t="s">
        <v>600</v>
      </c>
      <c r="B16" s="99">
        <v>661.47879999999998</v>
      </c>
      <c r="C16" s="106">
        <v>11.7</v>
      </c>
      <c r="D16" s="111">
        <f>(ROUND(8208997,0))/10000</f>
        <v>820.89970000000005</v>
      </c>
      <c r="E16" s="112">
        <f>ROUND(9.1,1)</f>
        <v>9.1</v>
      </c>
    </row>
    <row r="17" spans="1:5">
      <c r="A17" s="85" t="s">
        <v>601</v>
      </c>
      <c r="B17" s="99">
        <v>766.52020000000005</v>
      </c>
      <c r="C17" s="106">
        <v>11.5</v>
      </c>
      <c r="D17" s="111">
        <f>(ROUND(8357945,0))/10000</f>
        <v>835.79449999999997</v>
      </c>
      <c r="E17" s="112">
        <f>ROUND(8.5,1)</f>
        <v>8.5</v>
      </c>
    </row>
    <row r="18" spans="1:5" ht="18" customHeight="1">
      <c r="A18" s="753" t="s">
        <v>586</v>
      </c>
      <c r="B18" s="753" t="s">
        <v>45</v>
      </c>
      <c r="C18" s="753"/>
      <c r="D18" s="753" t="s">
        <v>602</v>
      </c>
      <c r="E18" s="753"/>
    </row>
    <row r="19" spans="1:5" ht="18" customHeight="1">
      <c r="A19" s="753"/>
      <c r="B19" s="84" t="s">
        <v>589</v>
      </c>
      <c r="C19" s="84" t="s">
        <v>590</v>
      </c>
      <c r="D19" s="84" t="s">
        <v>589</v>
      </c>
      <c r="E19" s="84" t="s">
        <v>590</v>
      </c>
    </row>
    <row r="20" spans="1:5">
      <c r="A20" s="113" t="s">
        <v>591</v>
      </c>
      <c r="B20" s="110"/>
      <c r="C20" s="134"/>
      <c r="D20" s="110"/>
      <c r="E20" s="134"/>
    </row>
    <row r="21" spans="1:5">
      <c r="A21" s="113" t="s">
        <v>592</v>
      </c>
      <c r="B21" s="111">
        <f>(ROUND(1129112,0))/10000</f>
        <v>112.91119999999999</v>
      </c>
      <c r="C21" s="145">
        <f>ROUND(0.2,1)</f>
        <v>0.2</v>
      </c>
      <c r="D21" s="111">
        <v>108.21</v>
      </c>
      <c r="E21" s="145">
        <v>3.7</v>
      </c>
    </row>
    <row r="22" spans="1:5">
      <c r="A22" s="113" t="s">
        <v>593</v>
      </c>
      <c r="B22" s="111">
        <f>(ROUND(1788963,0))/10000</f>
        <v>178.8963</v>
      </c>
      <c r="C22" s="145">
        <f>ROUND(2.9,1)</f>
        <v>2.9</v>
      </c>
      <c r="D22" s="111">
        <v>179.84</v>
      </c>
      <c r="E22" s="145">
        <v>7</v>
      </c>
    </row>
    <row r="23" spans="1:5">
      <c r="A23" s="113" t="s">
        <v>594</v>
      </c>
      <c r="B23" s="111">
        <f>(ROUND(2439875,0))/10000</f>
        <v>243.98750000000001</v>
      </c>
      <c r="C23" s="145">
        <f>ROUND(3.8,1)</f>
        <v>3.8</v>
      </c>
      <c r="D23" s="111">
        <v>236.48</v>
      </c>
      <c r="E23" s="145">
        <v>2.7</v>
      </c>
    </row>
    <row r="24" spans="1:5">
      <c r="A24" s="113" t="s">
        <v>595</v>
      </c>
      <c r="B24" s="111">
        <v>308.67489999999998</v>
      </c>
      <c r="C24" s="145">
        <v>4.0999999999999996</v>
      </c>
      <c r="D24" s="111">
        <v>295.38</v>
      </c>
      <c r="E24" s="145">
        <v>0.9</v>
      </c>
    </row>
    <row r="25" spans="1:5">
      <c r="A25" s="113" t="s">
        <v>596</v>
      </c>
      <c r="B25" s="111">
        <v>384.51400000000001</v>
      </c>
      <c r="C25" s="145">
        <v>4.7</v>
      </c>
      <c r="D25" s="111">
        <v>360.84</v>
      </c>
      <c r="E25" s="145">
        <v>0.2</v>
      </c>
    </row>
    <row r="26" spans="1:5">
      <c r="A26" s="113" t="s">
        <v>597</v>
      </c>
      <c r="B26" s="111">
        <v>452.67399999999998</v>
      </c>
      <c r="C26" s="145">
        <v>3.7</v>
      </c>
      <c r="D26" s="111">
        <v>414.54</v>
      </c>
      <c r="E26" s="145">
        <v>-2.5</v>
      </c>
    </row>
    <row r="27" spans="1:5">
      <c r="A27" s="113" t="s">
        <v>598</v>
      </c>
      <c r="B27" s="111">
        <v>518.21770000000004</v>
      </c>
      <c r="C27" s="145">
        <v>2.2000000000000002</v>
      </c>
      <c r="D27" s="111">
        <v>466.56</v>
      </c>
      <c r="E27" s="145">
        <v>-4.5</v>
      </c>
    </row>
    <row r="28" spans="1:5">
      <c r="A28" s="113" t="s">
        <v>90</v>
      </c>
      <c r="B28" s="111">
        <v>593.4615</v>
      </c>
      <c r="C28" s="114">
        <v>4.0999999999999996</v>
      </c>
      <c r="D28" s="928">
        <v>529.34</v>
      </c>
      <c r="E28" s="929">
        <v>-2.4</v>
      </c>
    </row>
    <row r="29" spans="1:5">
      <c r="A29" s="113" t="s">
        <v>599</v>
      </c>
      <c r="B29" s="111">
        <v>635.98119999999994</v>
      </c>
      <c r="C29" s="114">
        <v>4.3</v>
      </c>
      <c r="D29" s="111"/>
      <c r="E29" s="114"/>
    </row>
    <row r="30" spans="1:5">
      <c r="A30" s="113" t="s">
        <v>600</v>
      </c>
      <c r="B30" s="111">
        <v>705.74270000000001</v>
      </c>
      <c r="C30" s="116">
        <v>4.8</v>
      </c>
      <c r="D30" s="111"/>
      <c r="E30" s="116"/>
    </row>
    <row r="31" spans="1:5">
      <c r="A31" s="120" t="s">
        <v>601</v>
      </c>
      <c r="B31" s="129">
        <v>769.97</v>
      </c>
      <c r="C31" s="146">
        <v>5</v>
      </c>
      <c r="D31" s="129"/>
      <c r="E31" s="146"/>
    </row>
  </sheetData>
  <sheetProtection password="DC9E" sheet="1" objects="1" scenarios="1"/>
  <mergeCells count="7">
    <mergeCell ref="A1:E1"/>
    <mergeCell ref="B4:C4"/>
    <mergeCell ref="D4:E4"/>
    <mergeCell ref="B18:C18"/>
    <mergeCell ref="D18:E18"/>
    <mergeCell ref="A4:A5"/>
    <mergeCell ref="A18:A19"/>
  </mergeCells>
  <phoneticPr fontId="10" type="noConversion"/>
  <pageMargins left="0.75" right="0.75" top="1" bottom="1" header="0.51" footer="0.51"/>
</worksheet>
</file>

<file path=xl/worksheets/sheet57.xml><?xml version="1.0" encoding="utf-8"?>
<worksheet xmlns="http://schemas.openxmlformats.org/spreadsheetml/2006/main" xmlns:r="http://schemas.openxmlformats.org/officeDocument/2006/relationships">
  <dimension ref="A1:E31"/>
  <sheetViews>
    <sheetView zoomScaleSheetLayoutView="100" workbookViewId="0">
      <selection activeCell="D21" sqref="D21:D28"/>
    </sheetView>
  </sheetViews>
  <sheetFormatPr defaultColWidth="9" defaultRowHeight="14.25"/>
  <cols>
    <col min="2" max="2" width="12.375" customWidth="1"/>
    <col min="3" max="3" width="10.375" customWidth="1"/>
    <col min="4" max="4" width="14.125" customWidth="1"/>
    <col min="5" max="5" width="10.125" customWidth="1"/>
  </cols>
  <sheetData>
    <row r="1" spans="1:5" ht="27" customHeight="1">
      <c r="A1" s="746" t="s">
        <v>12</v>
      </c>
      <c r="B1" s="746"/>
      <c r="C1" s="746"/>
      <c r="D1" s="746"/>
      <c r="E1" s="746"/>
    </row>
    <row r="2" spans="1:5">
      <c r="E2" t="s">
        <v>47</v>
      </c>
    </row>
    <row r="3" spans="1:5" ht="9" customHeight="1"/>
    <row r="4" spans="1:5" ht="18" customHeight="1">
      <c r="A4" s="753" t="s">
        <v>586</v>
      </c>
      <c r="B4" s="753" t="s">
        <v>587</v>
      </c>
      <c r="C4" s="753"/>
      <c r="D4" s="753" t="s">
        <v>588</v>
      </c>
      <c r="E4" s="753"/>
    </row>
    <row r="5" spans="1:5" ht="18" customHeight="1">
      <c r="A5" s="753"/>
      <c r="B5" s="84" t="s">
        <v>589</v>
      </c>
      <c r="C5" s="84" t="s">
        <v>590</v>
      </c>
      <c r="D5" s="127" t="s">
        <v>589</v>
      </c>
      <c r="E5" s="127" t="s">
        <v>590</v>
      </c>
    </row>
    <row r="6" spans="1:5">
      <c r="A6" s="133" t="s">
        <v>591</v>
      </c>
      <c r="B6" s="110"/>
      <c r="C6" s="134"/>
      <c r="D6" s="128"/>
      <c r="E6" s="128"/>
    </row>
    <row r="7" spans="1:5">
      <c r="A7" s="133" t="s">
        <v>592</v>
      </c>
      <c r="B7" s="111">
        <v>75.640299999999996</v>
      </c>
      <c r="C7" s="135">
        <v>11.1</v>
      </c>
      <c r="D7" s="111">
        <f>(ROUND(796488,0))/10000</f>
        <v>79.648799999999994</v>
      </c>
      <c r="E7" s="136">
        <f>ROUND(5.3,1)</f>
        <v>5.3</v>
      </c>
    </row>
    <row r="8" spans="1:5">
      <c r="A8" s="133" t="s">
        <v>593</v>
      </c>
      <c r="B8" s="111">
        <v>146.0309</v>
      </c>
      <c r="C8" s="135">
        <v>6</v>
      </c>
      <c r="D8" s="111">
        <f>(ROUND(1575746,0))/10000</f>
        <v>157.5746</v>
      </c>
      <c r="E8" s="136">
        <f>ROUND(7.9,1)</f>
        <v>7.9</v>
      </c>
    </row>
    <row r="9" spans="1:5">
      <c r="A9" s="133" t="s">
        <v>594</v>
      </c>
      <c r="B9" s="111">
        <v>207.13409999999999</v>
      </c>
      <c r="C9" s="135">
        <v>5</v>
      </c>
      <c r="D9" s="111">
        <f>(ROUND(2056743,0))/10000</f>
        <v>205.67429999999999</v>
      </c>
      <c r="E9" s="136">
        <f>ROUND(-0.7,1)</f>
        <v>-0.7</v>
      </c>
    </row>
    <row r="10" spans="1:5">
      <c r="A10" s="133" t="s">
        <v>595</v>
      </c>
      <c r="B10" s="111">
        <v>307.92829999999998</v>
      </c>
      <c r="C10" s="135">
        <v>7.2</v>
      </c>
      <c r="D10" s="111">
        <f>(ROUND(2889968,0))/10000</f>
        <v>288.99680000000001</v>
      </c>
      <c r="E10" s="136">
        <f>ROUND(-6.1,1)</f>
        <v>-6.1</v>
      </c>
    </row>
    <row r="11" spans="1:5">
      <c r="A11" s="133" t="s">
        <v>596</v>
      </c>
      <c r="B11" s="111">
        <v>509.65629999999999</v>
      </c>
      <c r="C11" s="135">
        <v>15.1</v>
      </c>
      <c r="D11" s="111">
        <f>(ROUND(5604382,0))/10000</f>
        <v>560.43820000000005</v>
      </c>
      <c r="E11" s="136">
        <f>ROUND(10,1)</f>
        <v>10</v>
      </c>
    </row>
    <row r="12" spans="1:5">
      <c r="A12" s="133" t="s">
        <v>597</v>
      </c>
      <c r="B12" s="111">
        <v>626.35050000000001</v>
      </c>
      <c r="C12" s="137">
        <v>16.3</v>
      </c>
      <c r="D12" s="111">
        <f>(ROUND(6864511,0))/10000</f>
        <v>686.4511</v>
      </c>
      <c r="E12" s="136">
        <f>ROUND(9.6,1)</f>
        <v>9.6</v>
      </c>
    </row>
    <row r="13" spans="1:5">
      <c r="A13" s="133" t="s">
        <v>598</v>
      </c>
      <c r="B13" s="111">
        <v>737.22029999999995</v>
      </c>
      <c r="C13" s="135">
        <v>24.8</v>
      </c>
      <c r="D13" s="111">
        <f>(ROUND(8096944,0))/10000</f>
        <v>809.69439999999997</v>
      </c>
      <c r="E13" s="136">
        <f>ROUND(9.8,1)</f>
        <v>9.8000000000000007</v>
      </c>
    </row>
    <row r="14" spans="1:5">
      <c r="A14" s="133" t="s">
        <v>90</v>
      </c>
      <c r="B14" s="111">
        <v>871.74919999999997</v>
      </c>
      <c r="C14" s="135">
        <v>23.5</v>
      </c>
      <c r="D14" s="111">
        <f>(ROUND(9772404,0))/10000</f>
        <v>977.24040000000002</v>
      </c>
      <c r="E14" s="136">
        <f>ROUND(12.1010951314896,1)</f>
        <v>12.1</v>
      </c>
    </row>
    <row r="15" spans="1:5">
      <c r="A15" s="133" t="s">
        <v>599</v>
      </c>
      <c r="B15" s="111">
        <v>1021.5452</v>
      </c>
      <c r="C15" s="135">
        <v>22.6</v>
      </c>
      <c r="D15" s="111">
        <f>(ROUND(11367531,0))/10000</f>
        <v>1136.7530999999999</v>
      </c>
      <c r="E15" s="136">
        <f>ROUND(11.3,1)</f>
        <v>11.3</v>
      </c>
    </row>
    <row r="16" spans="1:5">
      <c r="A16" s="133" t="s">
        <v>600</v>
      </c>
      <c r="B16" s="111">
        <v>1200.0485000000001</v>
      </c>
      <c r="C16" s="135">
        <v>23.9</v>
      </c>
      <c r="D16" s="111">
        <f>(ROUND(13376063,0))/10000</f>
        <v>1337.6062999999999</v>
      </c>
      <c r="E16" s="136">
        <f>ROUND(11.5,1)</f>
        <v>11.5</v>
      </c>
    </row>
    <row r="17" spans="1:5">
      <c r="A17" s="133" t="s">
        <v>601</v>
      </c>
      <c r="B17" s="111">
        <v>1531.5995</v>
      </c>
      <c r="C17" s="135">
        <v>16.600000000000001</v>
      </c>
      <c r="D17" s="111">
        <f>(ROUND(16415341,0))/10000</f>
        <v>1641.5341000000001</v>
      </c>
      <c r="E17" s="136">
        <f>ROUND(7.2,1)</f>
        <v>7.2</v>
      </c>
    </row>
    <row r="18" spans="1:5" ht="18" customHeight="1">
      <c r="A18" s="753" t="s">
        <v>586</v>
      </c>
      <c r="B18" s="753" t="s">
        <v>45</v>
      </c>
      <c r="C18" s="754"/>
      <c r="D18" s="755" t="s">
        <v>602</v>
      </c>
      <c r="E18" s="756"/>
    </row>
    <row r="19" spans="1:5" ht="18" customHeight="1">
      <c r="A19" s="753"/>
      <c r="B19" s="84" t="s">
        <v>589</v>
      </c>
      <c r="C19" s="84" t="s">
        <v>590</v>
      </c>
      <c r="D19" s="84" t="s">
        <v>589</v>
      </c>
      <c r="E19" s="84" t="s">
        <v>590</v>
      </c>
    </row>
    <row r="20" spans="1:5">
      <c r="A20" s="85" t="s">
        <v>591</v>
      </c>
      <c r="B20" s="110"/>
      <c r="C20" s="133"/>
      <c r="D20" s="110"/>
      <c r="E20" s="110"/>
    </row>
    <row r="21" spans="1:5">
      <c r="A21" s="85" t="s">
        <v>592</v>
      </c>
      <c r="B21" s="111">
        <v>84.476100000000002</v>
      </c>
      <c r="C21" s="93">
        <v>8.8000000000000007</v>
      </c>
      <c r="D21" s="111"/>
      <c r="E21" s="112">
        <v>16.100000000000001</v>
      </c>
    </row>
    <row r="22" spans="1:5">
      <c r="A22" s="85" t="s">
        <v>593</v>
      </c>
      <c r="B22" s="111">
        <v>202.00219999999999</v>
      </c>
      <c r="C22" s="93">
        <v>31.6</v>
      </c>
      <c r="D22" s="111"/>
      <c r="E22" s="112">
        <v>17.600000000000001</v>
      </c>
    </row>
    <row r="23" spans="1:5">
      <c r="A23" s="85" t="s">
        <v>594</v>
      </c>
      <c r="B23" s="111">
        <v>263.92750000000001</v>
      </c>
      <c r="C23" s="93">
        <v>31</v>
      </c>
      <c r="D23" s="138"/>
      <c r="E23" s="139">
        <v>16.7</v>
      </c>
    </row>
    <row r="24" spans="1:5">
      <c r="A24" s="85" t="s">
        <v>595</v>
      </c>
      <c r="B24" s="111">
        <v>339.1968</v>
      </c>
      <c r="C24" s="93">
        <v>19.600000000000001</v>
      </c>
      <c r="D24" s="111"/>
      <c r="E24" s="112">
        <v>16</v>
      </c>
    </row>
    <row r="25" spans="1:5">
      <c r="A25" s="85" t="s">
        <v>596</v>
      </c>
      <c r="B25" s="111">
        <v>551.5829</v>
      </c>
      <c r="C25" s="93">
        <v>13.6</v>
      </c>
      <c r="D25" s="111"/>
      <c r="E25" s="112">
        <v>1.9</v>
      </c>
    </row>
    <row r="26" spans="1:5">
      <c r="A26" s="85" t="s">
        <v>597</v>
      </c>
      <c r="B26" s="111">
        <v>617.64359999999999</v>
      </c>
      <c r="C26" s="93">
        <v>8.1</v>
      </c>
      <c r="D26" s="111"/>
      <c r="E26" s="112">
        <v>4.0999999999999996</v>
      </c>
    </row>
    <row r="27" spans="1:5">
      <c r="A27" s="85" t="s">
        <v>598</v>
      </c>
      <c r="B27" s="111">
        <v>691.78949999999998</v>
      </c>
      <c r="C27" s="93">
        <v>6.8</v>
      </c>
      <c r="D27" s="111"/>
      <c r="E27" s="112">
        <v>3.1</v>
      </c>
    </row>
    <row r="28" spans="1:5">
      <c r="A28" s="85" t="s">
        <v>90</v>
      </c>
      <c r="B28" s="111">
        <v>822.59540000000004</v>
      </c>
      <c r="C28" s="140">
        <v>10.3</v>
      </c>
      <c r="D28" s="111"/>
      <c r="E28" s="119">
        <v>4.9000000000000004</v>
      </c>
    </row>
    <row r="29" spans="1:5">
      <c r="A29" s="85" t="s">
        <v>599</v>
      </c>
      <c r="B29" s="111">
        <v>934.24350000000004</v>
      </c>
      <c r="C29" s="140">
        <v>11.3</v>
      </c>
      <c r="D29" s="111"/>
      <c r="E29" s="119"/>
    </row>
    <row r="30" spans="1:5">
      <c r="A30" s="85" t="s">
        <v>600</v>
      </c>
      <c r="B30" s="111">
        <v>1085.1949</v>
      </c>
      <c r="C30" s="140">
        <v>13.7</v>
      </c>
      <c r="D30" s="111"/>
      <c r="E30" s="119"/>
    </row>
    <row r="31" spans="1:5">
      <c r="A31" s="100" t="s">
        <v>601</v>
      </c>
      <c r="B31" s="141">
        <v>1260.1176</v>
      </c>
      <c r="C31" s="142">
        <v>12.8</v>
      </c>
      <c r="D31" s="143"/>
      <c r="E31" s="144"/>
    </row>
  </sheetData>
  <sheetProtection password="DC9E" sheet="1" objects="1" scenarios="1"/>
  <mergeCells count="7">
    <mergeCell ref="A1:E1"/>
    <mergeCell ref="B4:C4"/>
    <mergeCell ref="D4:E4"/>
    <mergeCell ref="B18:C18"/>
    <mergeCell ref="D18:E18"/>
    <mergeCell ref="A4:A5"/>
    <mergeCell ref="A18:A19"/>
  </mergeCells>
  <phoneticPr fontId="10" type="noConversion"/>
  <pageMargins left="0.75" right="0.75" top="1" bottom="1" header="0.51" footer="0.51"/>
</worksheet>
</file>

<file path=xl/worksheets/sheet58.xml><?xml version="1.0" encoding="utf-8"?>
<worksheet xmlns="http://schemas.openxmlformats.org/spreadsheetml/2006/main" xmlns:r="http://schemas.openxmlformats.org/officeDocument/2006/relationships">
  <dimension ref="A1:E31"/>
  <sheetViews>
    <sheetView zoomScaleSheetLayoutView="100" workbookViewId="0">
      <selection activeCell="G10" sqref="G10"/>
    </sheetView>
  </sheetViews>
  <sheetFormatPr defaultColWidth="9" defaultRowHeight="14.25"/>
  <cols>
    <col min="2" max="2" width="12.375" customWidth="1"/>
    <col min="3" max="3" width="10.375" customWidth="1"/>
    <col min="4" max="4" width="14.125" customWidth="1"/>
    <col min="5" max="5" width="10.125" customWidth="1"/>
  </cols>
  <sheetData>
    <row r="1" spans="1:5" ht="27" customHeight="1">
      <c r="A1" s="746" t="s">
        <v>16</v>
      </c>
      <c r="B1" s="746"/>
      <c r="C1" s="746"/>
      <c r="D1" s="746"/>
      <c r="E1" s="746"/>
    </row>
    <row r="2" spans="1:5">
      <c r="E2" t="s">
        <v>47</v>
      </c>
    </row>
    <row r="3" spans="1:5" ht="9" customHeight="1"/>
    <row r="4" spans="1:5" ht="18" customHeight="1">
      <c r="A4" s="753" t="s">
        <v>586</v>
      </c>
      <c r="B4" s="753" t="s">
        <v>587</v>
      </c>
      <c r="C4" s="753"/>
      <c r="D4" s="753" t="s">
        <v>588</v>
      </c>
      <c r="E4" s="753"/>
    </row>
    <row r="5" spans="1:5" ht="18" customHeight="1">
      <c r="A5" s="753"/>
      <c r="B5" s="127" t="s">
        <v>589</v>
      </c>
      <c r="C5" s="127" t="s">
        <v>590</v>
      </c>
      <c r="D5" s="127" t="s">
        <v>589</v>
      </c>
      <c r="E5" s="127" t="s">
        <v>590</v>
      </c>
    </row>
    <row r="6" spans="1:5">
      <c r="A6" s="113" t="s">
        <v>591</v>
      </c>
      <c r="B6" s="128"/>
      <c r="C6" s="128"/>
      <c r="D6" s="128"/>
      <c r="E6" s="128"/>
    </row>
    <row r="7" spans="1:5">
      <c r="A7" s="113" t="s">
        <v>592</v>
      </c>
      <c r="B7" s="111">
        <v>223.3322</v>
      </c>
      <c r="C7" s="115">
        <v>9</v>
      </c>
      <c r="D7" s="111">
        <v>252.0522</v>
      </c>
      <c r="E7" s="112">
        <v>12</v>
      </c>
    </row>
    <row r="8" spans="1:5">
      <c r="A8" s="113" t="s">
        <v>593</v>
      </c>
      <c r="B8" s="111">
        <v>331.63600000000002</v>
      </c>
      <c r="C8" s="115">
        <v>9</v>
      </c>
      <c r="D8" s="111">
        <v>375.50659999999999</v>
      </c>
      <c r="E8" s="112">
        <v>12.1</v>
      </c>
    </row>
    <row r="9" spans="1:5">
      <c r="A9" s="113" t="s">
        <v>594</v>
      </c>
      <c r="B9" s="111">
        <v>440.19990000000001</v>
      </c>
      <c r="C9" s="115">
        <v>8.9</v>
      </c>
      <c r="D9" s="111">
        <v>496.84949999999998</v>
      </c>
      <c r="E9" s="112">
        <v>11.8</v>
      </c>
    </row>
    <row r="10" spans="1:5">
      <c r="A10" s="113" t="s">
        <v>595</v>
      </c>
      <c r="B10" s="111">
        <v>557.79859999999996</v>
      </c>
      <c r="C10" s="115">
        <v>8.9</v>
      </c>
      <c r="D10" s="111">
        <v>624.77110000000005</v>
      </c>
      <c r="E10" s="112">
        <v>11.5</v>
      </c>
    </row>
    <row r="11" spans="1:5">
      <c r="A11" s="113" t="s">
        <v>596</v>
      </c>
      <c r="B11" s="111">
        <v>676.02059999999994</v>
      </c>
      <c r="C11" s="115">
        <v>8.8000000000000007</v>
      </c>
      <c r="D11" s="111">
        <v>754.39840000000004</v>
      </c>
      <c r="E11" s="112">
        <v>11.1</v>
      </c>
    </row>
    <row r="12" spans="1:5">
      <c r="A12" s="113" t="s">
        <v>597</v>
      </c>
      <c r="B12" s="111">
        <v>797.58900000000006</v>
      </c>
      <c r="C12" s="115">
        <v>9</v>
      </c>
      <c r="D12" s="111">
        <v>886.51319999999998</v>
      </c>
      <c r="E12" s="112">
        <v>10.8</v>
      </c>
    </row>
    <row r="13" spans="1:5">
      <c r="A13" s="113" t="s">
        <v>598</v>
      </c>
      <c r="B13" s="111">
        <v>919.37030000000004</v>
      </c>
      <c r="C13" s="115">
        <v>8.9</v>
      </c>
      <c r="D13" s="111">
        <v>1016.5674</v>
      </c>
      <c r="E13" s="112">
        <v>10.199999999999999</v>
      </c>
    </row>
    <row r="14" spans="1:5">
      <c r="A14" s="113" t="s">
        <v>90</v>
      </c>
      <c r="B14" s="111">
        <v>1045.7008000000001</v>
      </c>
      <c r="C14" s="115">
        <v>9.3000000000000007</v>
      </c>
      <c r="D14" s="111">
        <v>1155.8877</v>
      </c>
      <c r="E14" s="112">
        <v>10.199999999999999</v>
      </c>
    </row>
    <row r="15" spans="1:5">
      <c r="A15" s="113" t="s">
        <v>599</v>
      </c>
      <c r="B15" s="111">
        <v>1178.2159999999999</v>
      </c>
      <c r="C15" s="115">
        <v>9.5</v>
      </c>
      <c r="D15" s="111">
        <v>1296.2203999999999</v>
      </c>
      <c r="E15" s="112">
        <v>10.199999999999999</v>
      </c>
    </row>
    <row r="16" spans="1:5">
      <c r="A16" s="113" t="s">
        <v>600</v>
      </c>
      <c r="B16" s="111">
        <v>1302.5842</v>
      </c>
      <c r="C16" s="115">
        <v>9.4</v>
      </c>
      <c r="D16" s="111">
        <v>1433.9245000000001</v>
      </c>
      <c r="E16" s="112">
        <v>10.199999999999999</v>
      </c>
    </row>
    <row r="17" spans="1:5">
      <c r="A17" s="113" t="s">
        <v>601</v>
      </c>
      <c r="B17" s="129">
        <v>1432.9570000000001</v>
      </c>
      <c r="C17" s="130">
        <v>9.5</v>
      </c>
      <c r="D17" s="129">
        <v>1578.0802000000001</v>
      </c>
      <c r="E17" s="131">
        <v>10.1</v>
      </c>
    </row>
    <row r="18" spans="1:5" ht="18" customHeight="1">
      <c r="A18" s="753" t="s">
        <v>586</v>
      </c>
      <c r="B18" s="757" t="s">
        <v>45</v>
      </c>
      <c r="C18" s="757"/>
      <c r="D18" s="757" t="s">
        <v>602</v>
      </c>
      <c r="E18" s="757"/>
    </row>
    <row r="19" spans="1:5" ht="18" customHeight="1">
      <c r="A19" s="753"/>
      <c r="B19" s="127" t="s">
        <v>589</v>
      </c>
      <c r="C19" s="127" t="s">
        <v>590</v>
      </c>
      <c r="D19" s="127" t="s">
        <v>589</v>
      </c>
      <c r="E19" s="127" t="s">
        <v>590</v>
      </c>
    </row>
    <row r="20" spans="1:5">
      <c r="A20" s="113" t="s">
        <v>591</v>
      </c>
      <c r="B20" s="128"/>
      <c r="C20" s="128"/>
      <c r="D20" s="128"/>
      <c r="E20" s="128"/>
    </row>
    <row r="21" spans="1:5">
      <c r="A21" s="113" t="s">
        <v>592</v>
      </c>
      <c r="B21" s="111">
        <v>276.1961</v>
      </c>
      <c r="C21" s="132">
        <v>10.1</v>
      </c>
      <c r="D21" s="111">
        <v>298.7</v>
      </c>
      <c r="E21" s="132">
        <v>8.1</v>
      </c>
    </row>
    <row r="22" spans="1:5">
      <c r="A22" s="113" t="s">
        <v>593</v>
      </c>
      <c r="B22" s="111">
        <v>412.05630000000002</v>
      </c>
      <c r="C22" s="132">
        <v>10.1</v>
      </c>
      <c r="D22" s="111">
        <v>445.46159999999998</v>
      </c>
      <c r="E22" s="132">
        <v>8.1</v>
      </c>
    </row>
    <row r="23" spans="1:5">
      <c r="A23" s="113" t="s">
        <v>594</v>
      </c>
      <c r="B23" s="111">
        <v>546.28399999999999</v>
      </c>
      <c r="C23" s="132">
        <v>10.1</v>
      </c>
      <c r="D23" s="111">
        <v>590.73</v>
      </c>
      <c r="E23" s="132">
        <v>8.1</v>
      </c>
    </row>
    <row r="24" spans="1:5">
      <c r="A24" s="113" t="s">
        <v>595</v>
      </c>
      <c r="B24" s="111">
        <v>682.91740000000004</v>
      </c>
      <c r="C24" s="132">
        <v>10</v>
      </c>
      <c r="D24" s="111">
        <v>739.76</v>
      </c>
      <c r="E24" s="132">
        <v>8.3000000000000007</v>
      </c>
    </row>
    <row r="25" spans="1:5">
      <c r="A25" s="113" t="s">
        <v>596</v>
      </c>
      <c r="B25" s="111">
        <v>821.44159999999999</v>
      </c>
      <c r="C25" s="132">
        <v>10</v>
      </c>
      <c r="D25" s="111">
        <v>892.25009999999997</v>
      </c>
      <c r="E25" s="132">
        <v>8.6</v>
      </c>
    </row>
    <row r="26" spans="1:5">
      <c r="A26" s="113" t="s">
        <v>597</v>
      </c>
      <c r="B26" s="111">
        <v>965.60069999999996</v>
      </c>
      <c r="C26" s="132">
        <v>10.199999999999999</v>
      </c>
      <c r="D26" s="111">
        <v>1047.7336</v>
      </c>
      <c r="E26" s="132">
        <v>8.5</v>
      </c>
    </row>
    <row r="27" spans="1:5">
      <c r="A27" s="113" t="s">
        <v>598</v>
      </c>
      <c r="B27" s="111">
        <v>1106.5085999999999</v>
      </c>
      <c r="C27" s="132">
        <v>10.3</v>
      </c>
      <c r="D27" s="111">
        <v>1199.99</v>
      </c>
      <c r="E27" s="132">
        <v>8.4</v>
      </c>
    </row>
    <row r="28" spans="1:5">
      <c r="A28" s="113" t="s">
        <v>90</v>
      </c>
      <c r="B28" s="111">
        <v>1255.6134</v>
      </c>
      <c r="C28" s="119">
        <v>10.4</v>
      </c>
      <c r="D28" s="928">
        <v>1362.96</v>
      </c>
      <c r="E28" s="115">
        <v>8.5</v>
      </c>
    </row>
    <row r="29" spans="1:5">
      <c r="A29" s="113" t="s">
        <v>599</v>
      </c>
      <c r="B29" s="111">
        <v>1404.1089999999999</v>
      </c>
      <c r="C29" s="119">
        <v>10.3</v>
      </c>
      <c r="D29" s="111"/>
      <c r="E29" s="119"/>
    </row>
    <row r="30" spans="1:5">
      <c r="A30" s="113" t="s">
        <v>600</v>
      </c>
      <c r="B30" s="111">
        <v>1549.0710999999999</v>
      </c>
      <c r="C30" s="119">
        <v>10.3</v>
      </c>
      <c r="D30" s="111"/>
      <c r="E30" s="119"/>
    </row>
    <row r="31" spans="1:5">
      <c r="A31" s="120" t="s">
        <v>601</v>
      </c>
      <c r="B31" s="121">
        <v>1697.3</v>
      </c>
      <c r="C31" s="123">
        <v>10.3</v>
      </c>
      <c r="D31" s="121"/>
      <c r="E31" s="123"/>
    </row>
  </sheetData>
  <sheetProtection password="DC9E" sheet="1" objects="1" scenarios="1"/>
  <mergeCells count="7">
    <mergeCell ref="A1:E1"/>
    <mergeCell ref="B4:C4"/>
    <mergeCell ref="D4:E4"/>
    <mergeCell ref="B18:C18"/>
    <mergeCell ref="D18:E18"/>
    <mergeCell ref="A4:A5"/>
    <mergeCell ref="A18:A19"/>
  </mergeCells>
  <phoneticPr fontId="10" type="noConversion"/>
  <pageMargins left="0.75" right="0.75" top="1" bottom="1" header="0.51" footer="0.51"/>
</worksheet>
</file>

<file path=xl/worksheets/sheet59.xml><?xml version="1.0" encoding="utf-8"?>
<worksheet xmlns="http://schemas.openxmlformats.org/spreadsheetml/2006/main" xmlns:r="http://schemas.openxmlformats.org/officeDocument/2006/relationships">
  <dimension ref="A1:E32"/>
  <sheetViews>
    <sheetView zoomScaleSheetLayoutView="100" workbookViewId="0">
      <selection activeCell="D27" sqref="D27"/>
    </sheetView>
  </sheetViews>
  <sheetFormatPr defaultColWidth="9" defaultRowHeight="14.25"/>
  <cols>
    <col min="2" max="2" width="12.375" customWidth="1"/>
    <col min="3" max="3" width="10.375" customWidth="1"/>
    <col min="4" max="4" width="14.125" customWidth="1"/>
    <col min="5" max="5" width="10.125" customWidth="1"/>
  </cols>
  <sheetData>
    <row r="1" spans="1:5" ht="27" customHeight="1">
      <c r="A1" s="746" t="s">
        <v>20</v>
      </c>
      <c r="B1" s="746"/>
      <c r="C1" s="746"/>
      <c r="D1" s="746"/>
      <c r="E1" s="746"/>
    </row>
    <row r="2" spans="1:5">
      <c r="E2" t="s">
        <v>603</v>
      </c>
    </row>
    <row r="3" spans="1:5" ht="9" customHeight="1"/>
    <row r="4" spans="1:5" ht="18" customHeight="1">
      <c r="A4" s="753" t="s">
        <v>586</v>
      </c>
      <c r="B4" s="753" t="s">
        <v>587</v>
      </c>
      <c r="C4" s="753"/>
      <c r="D4" s="753" t="s">
        <v>588</v>
      </c>
      <c r="E4" s="753"/>
    </row>
    <row r="5" spans="1:5" ht="18" customHeight="1">
      <c r="A5" s="753"/>
      <c r="B5" s="84" t="s">
        <v>589</v>
      </c>
      <c r="C5" s="84" t="s">
        <v>590</v>
      </c>
      <c r="D5" s="84" t="s">
        <v>589</v>
      </c>
      <c r="E5" s="84" t="s">
        <v>590</v>
      </c>
    </row>
    <row r="6" spans="1:5">
      <c r="A6" s="85" t="s">
        <v>591</v>
      </c>
      <c r="B6" s="89"/>
      <c r="C6" s="113"/>
      <c r="D6" s="110"/>
      <c r="E6" s="110"/>
    </row>
    <row r="7" spans="1:5">
      <c r="A7" s="85" t="s">
        <v>592</v>
      </c>
      <c r="B7" s="124">
        <v>38.273299999999999</v>
      </c>
      <c r="C7" s="21">
        <v>-12.3</v>
      </c>
      <c r="D7" s="111">
        <v>41.5396</v>
      </c>
      <c r="E7" s="112">
        <v>14</v>
      </c>
    </row>
    <row r="8" spans="1:5">
      <c r="A8" s="85" t="s">
        <v>593</v>
      </c>
      <c r="B8" s="124">
        <v>58.064900000000002</v>
      </c>
      <c r="C8" s="21">
        <v>-7.6</v>
      </c>
      <c r="D8" s="111">
        <v>72.846400000000003</v>
      </c>
      <c r="E8" s="112">
        <v>29.6</v>
      </c>
    </row>
    <row r="9" spans="1:5">
      <c r="A9" s="85" t="s">
        <v>594</v>
      </c>
      <c r="B9" s="124">
        <v>74.764899999999997</v>
      </c>
      <c r="C9" s="21">
        <v>-13.4</v>
      </c>
      <c r="D9" s="111">
        <v>100.1592</v>
      </c>
      <c r="E9" s="112">
        <v>37.299999999999997</v>
      </c>
    </row>
    <row r="10" spans="1:5">
      <c r="A10" s="85" t="s">
        <v>595</v>
      </c>
      <c r="B10" s="124">
        <v>97.343299999999999</v>
      </c>
      <c r="C10" s="21">
        <v>-16.3</v>
      </c>
      <c r="D10" s="111">
        <v>134.18539999999999</v>
      </c>
      <c r="E10" s="112">
        <v>40.5</v>
      </c>
    </row>
    <row r="11" spans="1:5">
      <c r="A11" s="85" t="s">
        <v>596</v>
      </c>
      <c r="B11" s="124">
        <v>120.4325</v>
      </c>
      <c r="C11" s="21">
        <v>-20.8</v>
      </c>
      <c r="D11" s="111">
        <v>163.98159999999999</v>
      </c>
      <c r="E11" s="112">
        <v>38.299999999999997</v>
      </c>
    </row>
    <row r="12" spans="1:5">
      <c r="A12" s="85" t="s">
        <v>597</v>
      </c>
      <c r="B12" s="124">
        <v>147.29349999999999</v>
      </c>
      <c r="C12" s="21">
        <v>-19.600000000000001</v>
      </c>
      <c r="D12" s="111">
        <v>196.4922</v>
      </c>
      <c r="E12" s="112">
        <v>35.1</v>
      </c>
    </row>
    <row r="13" spans="1:5">
      <c r="A13" s="85" t="s">
        <v>598</v>
      </c>
      <c r="B13" s="124">
        <v>177.3237</v>
      </c>
      <c r="C13" s="21">
        <v>-18.100000000000001</v>
      </c>
      <c r="D13" s="111">
        <v>225.07079999999999</v>
      </c>
      <c r="E13" s="112">
        <v>28.2</v>
      </c>
    </row>
    <row r="14" spans="1:5">
      <c r="A14" s="85" t="s">
        <v>90</v>
      </c>
      <c r="B14" s="124">
        <v>213.14490000000001</v>
      </c>
      <c r="C14" s="21">
        <v>-11.9</v>
      </c>
      <c r="D14" s="111">
        <v>249.32230000000001</v>
      </c>
      <c r="E14" s="112">
        <v>18</v>
      </c>
    </row>
    <row r="15" spans="1:5">
      <c r="A15" s="85" t="s">
        <v>599</v>
      </c>
      <c r="B15" s="124">
        <v>240.9083</v>
      </c>
      <c r="C15" s="21">
        <v>-8.6</v>
      </c>
      <c r="D15" s="111">
        <v>271.80349999999999</v>
      </c>
      <c r="E15" s="112">
        <v>13.7</v>
      </c>
    </row>
    <row r="16" spans="1:5">
      <c r="A16" s="85" t="s">
        <v>600</v>
      </c>
      <c r="B16" s="124">
        <v>271.38979999999998</v>
      </c>
      <c r="C16" s="21">
        <v>-5.2</v>
      </c>
      <c r="D16" s="111">
        <v>302.62740000000002</v>
      </c>
      <c r="E16" s="112">
        <v>11.5</v>
      </c>
    </row>
    <row r="17" spans="1:5">
      <c r="A17" s="85" t="s">
        <v>601</v>
      </c>
      <c r="B17" s="124">
        <v>304.4443</v>
      </c>
      <c r="C17" s="21">
        <v>-4.5999999999999996</v>
      </c>
      <c r="D17" s="111">
        <v>345.6404</v>
      </c>
      <c r="E17" s="112">
        <v>13.5</v>
      </c>
    </row>
    <row r="18" spans="1:5" ht="18" customHeight="1">
      <c r="A18" s="753" t="s">
        <v>586</v>
      </c>
      <c r="B18" s="753" t="s">
        <v>45</v>
      </c>
      <c r="C18" s="753"/>
      <c r="D18" s="753" t="s">
        <v>602</v>
      </c>
      <c r="E18" s="753"/>
    </row>
    <row r="19" spans="1:5" ht="18" customHeight="1">
      <c r="A19" s="753"/>
      <c r="B19" s="84" t="s">
        <v>589</v>
      </c>
      <c r="C19" s="84" t="s">
        <v>590</v>
      </c>
      <c r="D19" s="84" t="s">
        <v>589</v>
      </c>
      <c r="E19" s="84" t="s">
        <v>590</v>
      </c>
    </row>
    <row r="20" spans="1:5">
      <c r="A20" s="113" t="s">
        <v>591</v>
      </c>
      <c r="B20" s="110"/>
      <c r="C20" s="110"/>
      <c r="D20" s="111">
        <v>36.799999999999997</v>
      </c>
      <c r="E20" s="111">
        <v>44.4</v>
      </c>
    </row>
    <row r="21" spans="1:5">
      <c r="A21" s="113" t="s">
        <v>592</v>
      </c>
      <c r="B21" s="111">
        <v>44.646900000000002</v>
      </c>
      <c r="C21" s="112">
        <v>7.4166999999999996</v>
      </c>
      <c r="D21" s="111">
        <v>53.553600000000003</v>
      </c>
      <c r="E21" s="112">
        <v>14.7</v>
      </c>
    </row>
    <row r="22" spans="1:5">
      <c r="A22" s="113" t="s">
        <v>593</v>
      </c>
      <c r="B22" s="111">
        <v>69.342299999999994</v>
      </c>
      <c r="C22" s="112">
        <v>-4.9000000000000004</v>
      </c>
      <c r="D22" s="111">
        <v>77.67</v>
      </c>
      <c r="E22" s="112">
        <v>7.6</v>
      </c>
    </row>
    <row r="23" spans="1:5">
      <c r="A23" s="113" t="s">
        <v>594</v>
      </c>
      <c r="B23" s="111">
        <v>94.251300000000001</v>
      </c>
      <c r="C23" s="112">
        <v>-6</v>
      </c>
      <c r="D23" s="111">
        <v>115.13</v>
      </c>
      <c r="E23" s="112">
        <v>18.399999999999999</v>
      </c>
    </row>
    <row r="24" spans="1:5">
      <c r="A24" s="113" t="s">
        <v>595</v>
      </c>
      <c r="B24" s="111">
        <v>128.91319999999999</v>
      </c>
      <c r="C24" s="112">
        <v>-4</v>
      </c>
      <c r="D24" s="111">
        <v>151.5147</v>
      </c>
      <c r="E24" s="112">
        <v>17.399999999999999</v>
      </c>
    </row>
    <row r="25" spans="1:5">
      <c r="A25" s="113" t="s">
        <v>596</v>
      </c>
      <c r="B25" s="111">
        <v>165.23060000000001</v>
      </c>
      <c r="C25" s="112">
        <v>0.7</v>
      </c>
      <c r="D25" s="111">
        <v>184.71510000000001</v>
      </c>
      <c r="E25" s="112">
        <v>12.7</v>
      </c>
    </row>
    <row r="26" spans="1:5">
      <c r="A26" s="113" t="s">
        <v>597</v>
      </c>
      <c r="B26" s="111">
        <v>202.01259999999999</v>
      </c>
      <c r="C26" s="112">
        <v>2.8</v>
      </c>
      <c r="D26" s="111">
        <v>221.73</v>
      </c>
      <c r="E26" s="112">
        <v>10.199999999999999</v>
      </c>
    </row>
    <row r="27" spans="1:5">
      <c r="A27" s="113" t="s">
        <v>598</v>
      </c>
      <c r="B27" s="111">
        <v>238.41309999999999</v>
      </c>
      <c r="C27" s="119">
        <v>5.9</v>
      </c>
      <c r="D27" s="111">
        <v>250.48</v>
      </c>
      <c r="E27" s="115">
        <v>5.4</v>
      </c>
    </row>
    <row r="28" spans="1:5">
      <c r="A28" s="113" t="s">
        <v>90</v>
      </c>
      <c r="B28" s="111">
        <v>270.61200000000002</v>
      </c>
      <c r="C28" s="119">
        <v>8.5</v>
      </c>
      <c r="D28" s="111"/>
      <c r="E28" s="119"/>
    </row>
    <row r="29" spans="1:5">
      <c r="A29" s="113" t="s">
        <v>599</v>
      </c>
      <c r="B29" s="111">
        <v>304.28559999999999</v>
      </c>
      <c r="C29" s="119">
        <v>11.9</v>
      </c>
      <c r="D29" s="111"/>
      <c r="E29" s="119"/>
    </row>
    <row r="30" spans="1:5">
      <c r="A30" s="113" t="s">
        <v>600</v>
      </c>
      <c r="B30" s="125">
        <v>341.42</v>
      </c>
      <c r="C30" s="119">
        <v>12.8</v>
      </c>
      <c r="D30" s="125"/>
      <c r="E30" s="119"/>
    </row>
    <row r="31" spans="1:5">
      <c r="A31" s="120" t="s">
        <v>601</v>
      </c>
      <c r="B31" s="121">
        <v>377.03</v>
      </c>
      <c r="C31" s="126">
        <v>9</v>
      </c>
      <c r="D31" s="121"/>
      <c r="E31" s="126"/>
    </row>
    <row r="32" spans="1:5">
      <c r="A32" t="s">
        <v>604</v>
      </c>
    </row>
  </sheetData>
  <sheetProtection password="DC9E" sheet="1" objects="1" scenarios="1"/>
  <mergeCells count="7">
    <mergeCell ref="A1:E1"/>
    <mergeCell ref="B4:C4"/>
    <mergeCell ref="D4:E4"/>
    <mergeCell ref="B18:C18"/>
    <mergeCell ref="D18:E18"/>
    <mergeCell ref="A4:A5"/>
    <mergeCell ref="A18:A19"/>
  </mergeCells>
  <phoneticPr fontId="10" type="noConversion"/>
  <pageMargins left="0.75" right="0.75" top="1" bottom="1" header="0.51" footer="0.51"/>
</worksheet>
</file>

<file path=xl/worksheets/sheet6.xml><?xml version="1.0" encoding="utf-8"?>
<worksheet xmlns="http://schemas.openxmlformats.org/spreadsheetml/2006/main" xmlns:r="http://schemas.openxmlformats.org/officeDocument/2006/relationships">
  <dimension ref="A1:F25"/>
  <sheetViews>
    <sheetView zoomScaleSheetLayoutView="70" workbookViewId="0">
      <selection activeCell="E7" sqref="E7:E8"/>
    </sheetView>
  </sheetViews>
  <sheetFormatPr defaultColWidth="9" defaultRowHeight="14.25"/>
  <cols>
    <col min="1" max="1" width="28" customWidth="1"/>
    <col min="2" max="2" width="9.125" customWidth="1"/>
  </cols>
  <sheetData>
    <row r="1" spans="1:6" ht="32.1" customHeight="1">
      <c r="A1" s="716" t="s">
        <v>44</v>
      </c>
      <c r="B1" s="716"/>
      <c r="C1" s="716"/>
      <c r="D1" s="716"/>
    </row>
    <row r="2" spans="1:6" ht="18" customHeight="1">
      <c r="A2" s="721" t="s">
        <v>1</v>
      </c>
      <c r="B2" s="722" t="s">
        <v>2</v>
      </c>
      <c r="C2" s="724">
        <v>43466</v>
      </c>
      <c r="D2" s="725"/>
      <c r="E2" s="724" t="s">
        <v>45</v>
      </c>
      <c r="F2" s="725"/>
    </row>
    <row r="3" spans="1:6" ht="18" customHeight="1">
      <c r="A3" s="721"/>
      <c r="B3" s="723"/>
      <c r="C3" s="657" t="s">
        <v>5</v>
      </c>
      <c r="D3" s="657" t="s">
        <v>6</v>
      </c>
      <c r="E3" s="657" t="s">
        <v>5</v>
      </c>
      <c r="F3" s="657" t="s">
        <v>6</v>
      </c>
    </row>
    <row r="4" spans="1:6" ht="25.9" customHeight="1">
      <c r="A4" s="658" t="s">
        <v>7</v>
      </c>
      <c r="B4" s="507" t="s">
        <v>8</v>
      </c>
      <c r="C4" s="659" t="s">
        <v>9</v>
      </c>
      <c r="D4" s="660" t="s">
        <v>9</v>
      </c>
      <c r="E4" s="659">
        <v>3008.39</v>
      </c>
      <c r="F4" s="660">
        <v>6</v>
      </c>
    </row>
    <row r="5" spans="1:6" ht="25.9" customHeight="1">
      <c r="A5" s="658" t="s">
        <v>10</v>
      </c>
      <c r="B5" s="507" t="s">
        <v>8</v>
      </c>
      <c r="C5" s="659" t="s">
        <v>9</v>
      </c>
      <c r="D5" s="660" t="s">
        <v>9</v>
      </c>
      <c r="E5" s="659">
        <v>2372.85</v>
      </c>
      <c r="F5" s="660">
        <v>5.0999999999999996</v>
      </c>
    </row>
    <row r="6" spans="1:6" ht="25.9" customHeight="1">
      <c r="A6" s="658" t="s">
        <v>11</v>
      </c>
      <c r="B6" s="507" t="s">
        <v>8</v>
      </c>
      <c r="C6" s="659" t="s">
        <v>9</v>
      </c>
      <c r="D6" s="660" t="s">
        <v>9</v>
      </c>
      <c r="E6" s="659">
        <v>769.97</v>
      </c>
      <c r="F6" s="660">
        <v>5</v>
      </c>
    </row>
    <row r="7" spans="1:6" ht="25.9" customHeight="1">
      <c r="A7" s="658" t="s">
        <v>12</v>
      </c>
      <c r="B7" s="507" t="s">
        <v>8</v>
      </c>
      <c r="C7" s="659" t="s">
        <v>9</v>
      </c>
      <c r="D7" s="659" t="s">
        <v>9</v>
      </c>
      <c r="E7" s="659"/>
      <c r="F7" s="659">
        <v>12.8</v>
      </c>
    </row>
    <row r="8" spans="1:6" ht="25.9" customHeight="1">
      <c r="A8" s="658" t="s">
        <v>13</v>
      </c>
      <c r="B8" s="507" t="s">
        <v>8</v>
      </c>
      <c r="C8" s="659" t="s">
        <v>9</v>
      </c>
      <c r="D8" s="659" t="s">
        <v>9</v>
      </c>
      <c r="E8" s="659"/>
      <c r="F8" s="659">
        <v>56.3</v>
      </c>
    </row>
    <row r="9" spans="1:6" ht="25.9" customHeight="1">
      <c r="A9" s="658" t="s">
        <v>14</v>
      </c>
      <c r="B9" s="507" t="s">
        <v>15</v>
      </c>
      <c r="C9" s="659" t="s">
        <v>9</v>
      </c>
      <c r="D9" s="659" t="s">
        <v>9</v>
      </c>
      <c r="E9" s="659">
        <v>547.35</v>
      </c>
      <c r="F9" s="659">
        <v>-7.1</v>
      </c>
    </row>
    <row r="10" spans="1:6" ht="25.9" customHeight="1">
      <c r="A10" s="658" t="s">
        <v>16</v>
      </c>
      <c r="B10" s="507" t="s">
        <v>8</v>
      </c>
      <c r="C10" s="659" t="s">
        <v>9</v>
      </c>
      <c r="D10" s="659" t="s">
        <v>9</v>
      </c>
      <c r="E10" s="659">
        <v>1697.3</v>
      </c>
      <c r="F10" s="659">
        <v>10.3</v>
      </c>
    </row>
    <row r="11" spans="1:6" ht="25.9" customHeight="1">
      <c r="A11" s="661" t="s">
        <v>17</v>
      </c>
      <c r="B11" s="507" t="s">
        <v>8</v>
      </c>
      <c r="C11" s="659">
        <v>17.38</v>
      </c>
      <c r="D11" s="660">
        <v>32.200000000000003</v>
      </c>
      <c r="E11" s="659">
        <v>121.83</v>
      </c>
      <c r="F11" s="660">
        <v>15.4</v>
      </c>
    </row>
    <row r="12" spans="1:6" ht="25.9" customHeight="1">
      <c r="A12" s="661" t="s">
        <v>18</v>
      </c>
      <c r="B12" s="507" t="s">
        <v>8</v>
      </c>
      <c r="C12" s="659">
        <v>35.69</v>
      </c>
      <c r="D12" s="660">
        <v>68.8</v>
      </c>
      <c r="E12" s="659">
        <v>477.17</v>
      </c>
      <c r="F12" s="660">
        <v>11.9</v>
      </c>
    </row>
    <row r="13" spans="1:6" ht="25.9" customHeight="1">
      <c r="A13" s="658" t="s">
        <v>19</v>
      </c>
      <c r="B13" s="507" t="s">
        <v>8</v>
      </c>
      <c r="C13" s="659">
        <v>68.61</v>
      </c>
      <c r="D13" s="660">
        <v>28.2</v>
      </c>
      <c r="E13" s="659">
        <v>509.85</v>
      </c>
      <c r="F13" s="660">
        <v>8.1999999999999993</v>
      </c>
    </row>
    <row r="14" spans="1:6" ht="25.9" customHeight="1">
      <c r="A14" s="658" t="s">
        <v>20</v>
      </c>
      <c r="B14" s="507" t="s">
        <v>8</v>
      </c>
      <c r="C14" s="662">
        <v>36.799999999999997</v>
      </c>
      <c r="D14" s="663">
        <v>44.4</v>
      </c>
      <c r="E14" s="662">
        <v>377.03</v>
      </c>
      <c r="F14" s="663">
        <v>9</v>
      </c>
    </row>
    <row r="15" spans="1:6" ht="25.9" customHeight="1">
      <c r="A15" s="658" t="s">
        <v>21</v>
      </c>
      <c r="B15" s="507" t="s">
        <v>8</v>
      </c>
      <c r="C15" s="662">
        <v>20.59</v>
      </c>
      <c r="D15" s="663">
        <v>29.8</v>
      </c>
      <c r="E15" s="662">
        <v>205.03</v>
      </c>
      <c r="F15" s="663">
        <v>-5.5</v>
      </c>
    </row>
    <row r="16" spans="1:6" ht="25.9" customHeight="1">
      <c r="A16" s="658" t="s">
        <v>22</v>
      </c>
      <c r="B16" s="507" t="s">
        <v>8</v>
      </c>
      <c r="C16" s="664">
        <v>16.22</v>
      </c>
      <c r="D16" s="663">
        <v>68.5</v>
      </c>
      <c r="E16" s="664">
        <v>172</v>
      </c>
      <c r="F16" s="663">
        <v>33.5</v>
      </c>
    </row>
    <row r="17" spans="1:6" ht="25.9" customHeight="1">
      <c r="A17" s="658" t="s">
        <v>23</v>
      </c>
      <c r="B17" s="507" t="s">
        <v>24</v>
      </c>
      <c r="C17" s="659">
        <v>723</v>
      </c>
      <c r="D17" s="659">
        <v>0.1</v>
      </c>
      <c r="E17" s="659">
        <v>8529</v>
      </c>
      <c r="F17" s="659">
        <v>5.4</v>
      </c>
    </row>
    <row r="18" spans="1:6" ht="25.9" customHeight="1">
      <c r="A18" s="658" t="s">
        <v>25</v>
      </c>
      <c r="B18" s="507" t="s">
        <v>8</v>
      </c>
      <c r="C18" s="659">
        <v>3333.67</v>
      </c>
      <c r="D18" s="660">
        <v>7.6</v>
      </c>
      <c r="E18" s="659">
        <v>3343.59</v>
      </c>
      <c r="F18" s="660">
        <v>9.1999999999999993</v>
      </c>
    </row>
    <row r="19" spans="1:6" ht="25.9" customHeight="1">
      <c r="A19" s="661" t="s">
        <v>26</v>
      </c>
      <c r="B19" s="507" t="s">
        <v>8</v>
      </c>
      <c r="C19" s="659">
        <v>2191.2199999999998</v>
      </c>
      <c r="D19" s="660">
        <v>12</v>
      </c>
      <c r="E19" s="659">
        <v>2127.66</v>
      </c>
      <c r="F19" s="660">
        <v>8.4</v>
      </c>
    </row>
    <row r="20" spans="1:6" ht="25.9" customHeight="1">
      <c r="A20" s="658" t="s">
        <v>27</v>
      </c>
      <c r="B20" s="507" t="s">
        <v>8</v>
      </c>
      <c r="C20" s="659">
        <v>2269.7800000000002</v>
      </c>
      <c r="D20" s="660">
        <v>19.600000000000001</v>
      </c>
      <c r="E20" s="659">
        <v>2164.16</v>
      </c>
      <c r="F20" s="660">
        <v>15.8</v>
      </c>
    </row>
    <row r="21" spans="1:6" ht="25.9" customHeight="1">
      <c r="A21" s="658" t="s">
        <v>28</v>
      </c>
      <c r="B21" s="507" t="s">
        <v>29</v>
      </c>
      <c r="C21" s="659">
        <v>101.9</v>
      </c>
      <c r="D21" s="660">
        <v>1.9</v>
      </c>
      <c r="E21" s="659">
        <v>101.6</v>
      </c>
      <c r="F21" s="660">
        <v>1.6</v>
      </c>
    </row>
    <row r="22" spans="1:6" ht="25.9" customHeight="1">
      <c r="A22" s="658" t="s">
        <v>30</v>
      </c>
      <c r="B22" s="507" t="s">
        <v>29</v>
      </c>
      <c r="C22" s="659">
        <v>100.1</v>
      </c>
      <c r="D22" s="660">
        <v>0.1</v>
      </c>
      <c r="E22" s="659">
        <v>103.4</v>
      </c>
      <c r="F22" s="660">
        <v>3.4</v>
      </c>
    </row>
    <row r="23" spans="1:6" ht="25.9" customHeight="1">
      <c r="A23" s="658" t="s">
        <v>31</v>
      </c>
      <c r="B23" s="507" t="s">
        <v>32</v>
      </c>
      <c r="C23" s="665">
        <v>15.6251</v>
      </c>
      <c r="D23" s="660">
        <v>9.0299999999999994</v>
      </c>
      <c r="E23" s="665">
        <v>196.43</v>
      </c>
      <c r="F23" s="660">
        <v>8.3000000000000007</v>
      </c>
    </row>
    <row r="24" spans="1:6" ht="25.9" customHeight="1">
      <c r="A24" s="666" t="s">
        <v>33</v>
      </c>
      <c r="B24" s="667" t="s">
        <v>32</v>
      </c>
      <c r="C24" s="668">
        <v>9.5556000000000001</v>
      </c>
      <c r="D24" s="669">
        <v>4.79</v>
      </c>
      <c r="E24" s="668">
        <v>119.75</v>
      </c>
      <c r="F24" s="669">
        <v>6</v>
      </c>
    </row>
    <row r="25" spans="1:6">
      <c r="A25" s="670" t="s">
        <v>34</v>
      </c>
      <c r="B25" s="670"/>
    </row>
  </sheetData>
  <sheetProtection password="DC9E" sheet="1" objects="1" scenarios="1"/>
  <mergeCells count="5">
    <mergeCell ref="A1:D1"/>
    <mergeCell ref="C2:D2"/>
    <mergeCell ref="E2:F2"/>
    <mergeCell ref="A2:A3"/>
    <mergeCell ref="B2:B3"/>
  </mergeCells>
  <phoneticPr fontId="10" type="noConversion"/>
  <pageMargins left="0.75" right="0.75" top="1" bottom="1" header="0.5" footer="0.5"/>
  <pageSetup paperSize="9" orientation="portrait" r:id="rId1"/>
</worksheet>
</file>

<file path=xl/worksheets/sheet60.xml><?xml version="1.0" encoding="utf-8"?>
<worksheet xmlns="http://schemas.openxmlformats.org/spreadsheetml/2006/main" xmlns:r="http://schemas.openxmlformats.org/officeDocument/2006/relationships">
  <dimension ref="A1:E32"/>
  <sheetViews>
    <sheetView topLeftCell="A4" zoomScaleSheetLayoutView="100" workbookViewId="0">
      <selection activeCell="E28" sqref="E28"/>
    </sheetView>
  </sheetViews>
  <sheetFormatPr defaultColWidth="9" defaultRowHeight="14.25"/>
  <cols>
    <col min="2" max="2" width="12.375" customWidth="1"/>
    <col min="3" max="3" width="10.375" customWidth="1"/>
    <col min="4" max="4" width="14.125" customWidth="1"/>
    <col min="5" max="5" width="10.125" customWidth="1"/>
    <col min="10" max="10" width="12.625" bestFit="1" customWidth="1"/>
  </cols>
  <sheetData>
    <row r="1" spans="1:5" ht="27" customHeight="1">
      <c r="A1" s="746" t="s">
        <v>605</v>
      </c>
      <c r="B1" s="746"/>
      <c r="C1" s="746"/>
      <c r="D1" s="746"/>
      <c r="E1" s="746"/>
    </row>
    <row r="2" spans="1:5">
      <c r="D2" s="109"/>
      <c r="E2" s="109" t="s">
        <v>47</v>
      </c>
    </row>
    <row r="3" spans="1:5" ht="9" customHeight="1"/>
    <row r="4" spans="1:5" ht="18" customHeight="1">
      <c r="A4" s="753" t="s">
        <v>586</v>
      </c>
      <c r="B4" s="753" t="s">
        <v>587</v>
      </c>
      <c r="C4" s="753"/>
      <c r="D4" s="753" t="s">
        <v>588</v>
      </c>
      <c r="E4" s="753"/>
    </row>
    <row r="5" spans="1:5" ht="18" customHeight="1">
      <c r="A5" s="753"/>
      <c r="B5" s="84" t="s">
        <v>589</v>
      </c>
      <c r="C5" s="84" t="s">
        <v>590</v>
      </c>
      <c r="D5" s="84" t="s">
        <v>589</v>
      </c>
      <c r="E5" s="84" t="s">
        <v>590</v>
      </c>
    </row>
    <row r="6" spans="1:5">
      <c r="A6" s="85" t="s">
        <v>591</v>
      </c>
      <c r="B6" s="86"/>
      <c r="C6" s="87"/>
      <c r="D6" s="110"/>
      <c r="E6" s="110"/>
    </row>
    <row r="7" spans="1:5">
      <c r="A7" s="85" t="s">
        <v>592</v>
      </c>
      <c r="B7" s="99">
        <v>14.361800000000001</v>
      </c>
      <c r="C7" s="91">
        <v>13.1</v>
      </c>
      <c r="D7" s="111">
        <v>16.886500000000002</v>
      </c>
      <c r="E7" s="112">
        <v>21.3</v>
      </c>
    </row>
    <row r="8" spans="1:5">
      <c r="A8" s="85" t="s">
        <v>593</v>
      </c>
      <c r="B8" s="99">
        <v>22.281199999999998</v>
      </c>
      <c r="C8" s="91">
        <v>9.6</v>
      </c>
      <c r="D8" s="111">
        <v>24.8142</v>
      </c>
      <c r="E8" s="112">
        <v>15.8</v>
      </c>
    </row>
    <row r="9" spans="1:5">
      <c r="A9" s="85" t="s">
        <v>594</v>
      </c>
      <c r="B9" s="99">
        <v>31.7363</v>
      </c>
      <c r="C9" s="91">
        <v>14</v>
      </c>
      <c r="D9" s="111">
        <v>32.581499999999998</v>
      </c>
      <c r="E9" s="112">
        <v>7.3833355854890854</v>
      </c>
    </row>
    <row r="10" spans="1:5">
      <c r="A10" s="85" t="s">
        <v>595</v>
      </c>
      <c r="B10" s="99">
        <v>41.3127</v>
      </c>
      <c r="C10" s="91">
        <v>8.6999999999999993</v>
      </c>
      <c r="D10" s="111">
        <v>40.163499999999999</v>
      </c>
      <c r="E10" s="112">
        <v>2.1</v>
      </c>
    </row>
    <row r="11" spans="1:5">
      <c r="A11" s="85" t="s">
        <v>596</v>
      </c>
      <c r="B11" s="99">
        <v>56.6175</v>
      </c>
      <c r="C11" s="91">
        <v>5</v>
      </c>
      <c r="D11" s="111">
        <v>58.381900000000002</v>
      </c>
      <c r="E11" s="112">
        <v>6.8</v>
      </c>
    </row>
    <row r="12" spans="1:5">
      <c r="A12" s="85" t="s">
        <v>597</v>
      </c>
      <c r="B12" s="99">
        <v>66.3904</v>
      </c>
      <c r="C12" s="91">
        <v>7.7</v>
      </c>
      <c r="D12" s="111">
        <v>67.249200000000002</v>
      </c>
      <c r="E12" s="112">
        <v>4.4000000000000004</v>
      </c>
    </row>
    <row r="13" spans="1:5">
      <c r="A13" s="85" t="s">
        <v>598</v>
      </c>
      <c r="B13" s="99">
        <v>73.539000000000001</v>
      </c>
      <c r="C13" s="91">
        <v>7.7</v>
      </c>
      <c r="D13" s="111">
        <v>74.591099999999997</v>
      </c>
      <c r="E13" s="112">
        <v>4.2</v>
      </c>
    </row>
    <row r="14" spans="1:5">
      <c r="A14" s="85" t="s">
        <v>90</v>
      </c>
      <c r="B14" s="99">
        <v>81.573599999999999</v>
      </c>
      <c r="C14" s="91">
        <v>7.2</v>
      </c>
      <c r="D14" s="111">
        <v>86.942099999999996</v>
      </c>
      <c r="E14" s="112">
        <v>9.1999999999999993</v>
      </c>
    </row>
    <row r="15" spans="1:5">
      <c r="A15" s="85" t="s">
        <v>599</v>
      </c>
      <c r="B15" s="99">
        <v>89.441400000000002</v>
      </c>
      <c r="C15" s="91">
        <v>7.4</v>
      </c>
      <c r="D15" s="111">
        <v>119.6191</v>
      </c>
      <c r="E15" s="112">
        <v>36.799999999999997</v>
      </c>
    </row>
    <row r="16" spans="1:5">
      <c r="A16" s="85" t="s">
        <v>600</v>
      </c>
      <c r="B16" s="99">
        <v>96.633700000000005</v>
      </c>
      <c r="C16" s="91">
        <v>3.8</v>
      </c>
      <c r="D16" s="111">
        <v>126.08499999999999</v>
      </c>
      <c r="E16" s="112">
        <v>32.4</v>
      </c>
    </row>
    <row r="17" spans="1:5">
      <c r="A17" s="85" t="s">
        <v>601</v>
      </c>
      <c r="B17" s="99">
        <v>112.9713</v>
      </c>
      <c r="C17" s="91">
        <v>-4.8</v>
      </c>
      <c r="D17" s="111">
        <v>134.9958</v>
      </c>
      <c r="E17" s="112">
        <v>21</v>
      </c>
    </row>
    <row r="18" spans="1:5" ht="18" customHeight="1">
      <c r="A18" s="753" t="s">
        <v>586</v>
      </c>
      <c r="B18" s="753" t="s">
        <v>45</v>
      </c>
      <c r="C18" s="753"/>
      <c r="D18" s="753" t="s">
        <v>602</v>
      </c>
      <c r="E18" s="753"/>
    </row>
    <row r="19" spans="1:5" ht="18" customHeight="1">
      <c r="A19" s="753"/>
      <c r="B19" s="84" t="s">
        <v>589</v>
      </c>
      <c r="C19" s="84" t="s">
        <v>590</v>
      </c>
      <c r="D19" s="84" t="s">
        <v>589</v>
      </c>
      <c r="E19" s="84" t="s">
        <v>590</v>
      </c>
    </row>
    <row r="20" spans="1:5">
      <c r="A20" s="113" t="s">
        <v>591</v>
      </c>
      <c r="B20" s="111">
        <v>13.1471</v>
      </c>
      <c r="C20" s="114">
        <v>33.5</v>
      </c>
      <c r="D20" s="111">
        <v>17.38</v>
      </c>
      <c r="E20" s="115">
        <v>32.200000000000003</v>
      </c>
    </row>
    <row r="21" spans="1:5">
      <c r="A21" s="113" t="s">
        <v>592</v>
      </c>
      <c r="B21" s="111">
        <v>22.247900000000001</v>
      </c>
      <c r="C21" s="116">
        <v>31.7</v>
      </c>
      <c r="D21" s="111">
        <v>24.869700000000002</v>
      </c>
      <c r="E21" s="117">
        <v>11.8</v>
      </c>
    </row>
    <row r="22" spans="1:5">
      <c r="A22" s="113" t="s">
        <v>593</v>
      </c>
      <c r="B22" s="111">
        <v>30.257200000000001</v>
      </c>
      <c r="C22" s="116">
        <v>21.9</v>
      </c>
      <c r="D22" s="111">
        <v>34.008499999999998</v>
      </c>
      <c r="E22" s="117">
        <v>12.39</v>
      </c>
    </row>
    <row r="23" spans="1:5">
      <c r="A23" s="113" t="s">
        <v>594</v>
      </c>
      <c r="B23" s="111">
        <v>40.363399999999999</v>
      </c>
      <c r="C23" s="116">
        <v>23.9</v>
      </c>
      <c r="D23" s="111">
        <v>44.97</v>
      </c>
      <c r="E23" s="117">
        <v>11.4</v>
      </c>
    </row>
    <row r="24" spans="1:5">
      <c r="A24" s="113" t="s">
        <v>595</v>
      </c>
      <c r="B24" s="111">
        <v>49.9011</v>
      </c>
      <c r="C24" s="116">
        <v>24.244898975437899</v>
      </c>
      <c r="D24" s="111">
        <v>53.08</v>
      </c>
      <c r="E24" s="117">
        <v>6.38</v>
      </c>
    </row>
    <row r="25" spans="1:5">
      <c r="A25" s="113" t="s">
        <v>596</v>
      </c>
      <c r="B25" s="111">
        <v>64.792299999999997</v>
      </c>
      <c r="C25" s="116">
        <v>11</v>
      </c>
      <c r="D25" s="111">
        <v>66.185900000000004</v>
      </c>
      <c r="E25" s="117">
        <v>2.2000000000000002</v>
      </c>
    </row>
    <row r="26" spans="1:5">
      <c r="A26" s="113" t="s">
        <v>597</v>
      </c>
      <c r="B26" s="111">
        <v>75.1173</v>
      </c>
      <c r="C26" s="116">
        <v>11.7</v>
      </c>
      <c r="D26" s="111">
        <v>77.880899999999997</v>
      </c>
      <c r="E26" s="117">
        <v>3.7</v>
      </c>
    </row>
    <row r="27" spans="1:5">
      <c r="A27" s="113" t="s">
        <v>598</v>
      </c>
      <c r="B27" s="111">
        <v>83.683400000000006</v>
      </c>
      <c r="C27" s="116">
        <v>12.2</v>
      </c>
      <c r="D27" s="111">
        <v>87.1</v>
      </c>
      <c r="E27" s="117">
        <v>4.0999999999999996</v>
      </c>
    </row>
    <row r="28" spans="1:5">
      <c r="A28" s="113" t="s">
        <v>90</v>
      </c>
      <c r="B28" s="111">
        <v>92.194999999999993</v>
      </c>
      <c r="C28" s="118">
        <v>12.7</v>
      </c>
      <c r="D28" s="111">
        <v>97.96</v>
      </c>
      <c r="E28" s="115">
        <v>6.3</v>
      </c>
    </row>
    <row r="29" spans="1:5">
      <c r="A29" s="113" t="s">
        <v>599</v>
      </c>
      <c r="B29" s="111">
        <v>100.4627</v>
      </c>
      <c r="C29" s="118">
        <v>11.4</v>
      </c>
      <c r="D29" s="111"/>
      <c r="E29" s="119"/>
    </row>
    <row r="30" spans="1:5">
      <c r="A30" s="113" t="s">
        <v>600</v>
      </c>
      <c r="B30" s="111">
        <v>107.827</v>
      </c>
      <c r="C30" s="118">
        <v>11.6</v>
      </c>
      <c r="D30" s="111"/>
      <c r="E30" s="119"/>
    </row>
    <row r="31" spans="1:5">
      <c r="A31" s="120" t="s">
        <v>601</v>
      </c>
      <c r="B31" s="121">
        <v>121.83</v>
      </c>
      <c r="C31" s="122">
        <v>15.4</v>
      </c>
      <c r="D31" s="121"/>
      <c r="E31" s="123"/>
    </row>
    <row r="32" spans="1:5">
      <c r="A32" t="s">
        <v>606</v>
      </c>
    </row>
  </sheetData>
  <sheetProtection password="DC9E" sheet="1" objects="1" scenarios="1"/>
  <mergeCells count="7">
    <mergeCell ref="A1:E1"/>
    <mergeCell ref="B4:C4"/>
    <mergeCell ref="D4:E4"/>
    <mergeCell ref="B18:C18"/>
    <mergeCell ref="D18:E18"/>
    <mergeCell ref="A4:A5"/>
    <mergeCell ref="A18:A19"/>
  </mergeCells>
  <phoneticPr fontId="10" type="noConversion"/>
  <pageMargins left="0.75" right="0.75" top="1" bottom="1" header="0.51" footer="0.51"/>
</worksheet>
</file>

<file path=xl/worksheets/sheet61.xml><?xml version="1.0" encoding="utf-8"?>
<worksheet xmlns="http://schemas.openxmlformats.org/spreadsheetml/2006/main" xmlns:r="http://schemas.openxmlformats.org/officeDocument/2006/relationships">
  <dimension ref="A1:E31"/>
  <sheetViews>
    <sheetView zoomScaleSheetLayoutView="100" workbookViewId="0">
      <selection activeCell="E28" sqref="E28"/>
    </sheetView>
  </sheetViews>
  <sheetFormatPr defaultColWidth="9" defaultRowHeight="14.25"/>
  <cols>
    <col min="2" max="2" width="12.375" customWidth="1"/>
    <col min="3" max="3" width="10.375" customWidth="1"/>
    <col min="4" max="4" width="14.125" customWidth="1"/>
    <col min="5" max="5" width="10.125" customWidth="1"/>
  </cols>
  <sheetData>
    <row r="1" spans="1:5" ht="27" customHeight="1">
      <c r="A1" s="746" t="s">
        <v>28</v>
      </c>
      <c r="B1" s="746"/>
      <c r="C1" s="746"/>
      <c r="D1" s="746"/>
      <c r="E1" s="746"/>
    </row>
    <row r="2" spans="1:5">
      <c r="D2" s="738" t="s">
        <v>443</v>
      </c>
      <c r="E2" s="738"/>
    </row>
    <row r="3" spans="1:5" ht="9" customHeight="1"/>
    <row r="4" spans="1:5" ht="18" customHeight="1">
      <c r="A4" s="753" t="s">
        <v>586</v>
      </c>
      <c r="B4" s="753" t="s">
        <v>587</v>
      </c>
      <c r="C4" s="753"/>
      <c r="D4" s="753" t="s">
        <v>588</v>
      </c>
      <c r="E4" s="753"/>
    </row>
    <row r="5" spans="1:5" ht="23.1" customHeight="1">
      <c r="A5" s="753"/>
      <c r="B5" s="84" t="s">
        <v>589</v>
      </c>
      <c r="C5" s="105" t="s">
        <v>607</v>
      </c>
      <c r="D5" s="84" t="s">
        <v>608</v>
      </c>
      <c r="E5" s="105" t="s">
        <v>607</v>
      </c>
    </row>
    <row r="6" spans="1:5">
      <c r="A6" s="85" t="s">
        <v>591</v>
      </c>
      <c r="B6" s="86"/>
      <c r="C6" s="98"/>
      <c r="D6" s="86"/>
      <c r="E6" s="86"/>
    </row>
    <row r="7" spans="1:5">
      <c r="A7" s="85" t="s">
        <v>592</v>
      </c>
      <c r="B7" s="14">
        <v>103</v>
      </c>
      <c r="C7" s="90">
        <v>3</v>
      </c>
      <c r="D7" s="20">
        <v>101.1</v>
      </c>
      <c r="E7" s="90">
        <v>1.1000000000000001</v>
      </c>
    </row>
    <row r="8" spans="1:5">
      <c r="A8" s="85" t="s">
        <v>593</v>
      </c>
      <c r="B8" s="14">
        <v>102.8</v>
      </c>
      <c r="C8" s="90">
        <v>2.7999999999999972</v>
      </c>
      <c r="D8" s="20">
        <v>101</v>
      </c>
      <c r="E8" s="90">
        <v>1</v>
      </c>
    </row>
    <row r="9" spans="1:5">
      <c r="A9" s="85" t="s">
        <v>594</v>
      </c>
      <c r="B9" s="14">
        <v>102.9</v>
      </c>
      <c r="C9" s="90">
        <v>2.9</v>
      </c>
      <c r="D9" s="20">
        <v>101</v>
      </c>
      <c r="E9" s="90">
        <v>1</v>
      </c>
    </row>
    <row r="10" spans="1:5">
      <c r="A10" s="85" t="s">
        <v>595</v>
      </c>
      <c r="B10" s="14">
        <v>102.8</v>
      </c>
      <c r="C10" s="90">
        <v>2.7999999999999972</v>
      </c>
      <c r="D10" s="20">
        <v>101.1</v>
      </c>
      <c r="E10" s="90">
        <v>1.1000000000000001</v>
      </c>
    </row>
    <row r="11" spans="1:5">
      <c r="A11" s="85" t="s">
        <v>596</v>
      </c>
      <c r="B11" s="14">
        <v>102.7</v>
      </c>
      <c r="C11" s="90">
        <v>2.7000000000000028</v>
      </c>
      <c r="D11" s="20">
        <v>101.1</v>
      </c>
      <c r="E11" s="90">
        <v>1.1000000000000001</v>
      </c>
    </row>
    <row r="12" spans="1:5">
      <c r="A12" s="85" t="s">
        <v>597</v>
      </c>
      <c r="B12" s="14">
        <v>102.6</v>
      </c>
      <c r="C12" s="90">
        <v>2.6</v>
      </c>
      <c r="D12" s="20">
        <v>101.2</v>
      </c>
      <c r="E12" s="90">
        <v>1.2000000000000028</v>
      </c>
    </row>
    <row r="13" spans="1:5">
      <c r="A13" s="85" t="s">
        <v>598</v>
      </c>
      <c r="B13" s="14">
        <v>102.5</v>
      </c>
      <c r="C13" s="90">
        <v>2.5</v>
      </c>
      <c r="D13" s="20">
        <v>101.3</v>
      </c>
      <c r="E13" s="90">
        <v>1.2999999999999972</v>
      </c>
    </row>
    <row r="14" spans="1:5">
      <c r="A14" s="85" t="s">
        <v>90</v>
      </c>
      <c r="B14" s="14">
        <v>102.4</v>
      </c>
      <c r="C14" s="90">
        <v>2.4000000000000057</v>
      </c>
      <c r="D14" s="20">
        <v>101.2</v>
      </c>
      <c r="E14" s="90">
        <v>1.2000000000000028</v>
      </c>
    </row>
    <row r="15" spans="1:5">
      <c r="A15" s="85" t="s">
        <v>599</v>
      </c>
      <c r="B15" s="14">
        <v>102.3</v>
      </c>
      <c r="C15" s="90">
        <v>2.2999999999999972</v>
      </c>
      <c r="D15" s="20">
        <v>101.3</v>
      </c>
      <c r="E15" s="90">
        <v>1.2999999999999972</v>
      </c>
    </row>
    <row r="16" spans="1:5">
      <c r="A16" s="85" t="s">
        <v>600</v>
      </c>
      <c r="B16" s="14">
        <v>102.3</v>
      </c>
      <c r="C16" s="90">
        <v>2.2999999999999972</v>
      </c>
      <c r="D16" s="20">
        <v>101.3</v>
      </c>
      <c r="E16" s="90">
        <v>1.2999999999999972</v>
      </c>
    </row>
    <row r="17" spans="1:5">
      <c r="A17" s="85" t="s">
        <v>601</v>
      </c>
      <c r="B17" s="14">
        <v>102.2</v>
      </c>
      <c r="C17" s="90">
        <v>2.2000000000000028</v>
      </c>
      <c r="D17" s="20">
        <v>101.3</v>
      </c>
      <c r="E17" s="90">
        <v>1.2999999999999972</v>
      </c>
    </row>
    <row r="18" spans="1:5" ht="18" customHeight="1">
      <c r="A18" s="753" t="s">
        <v>586</v>
      </c>
      <c r="B18" s="753" t="s">
        <v>45</v>
      </c>
      <c r="C18" s="753"/>
      <c r="D18" s="753" t="s">
        <v>602</v>
      </c>
      <c r="E18" s="753"/>
    </row>
    <row r="19" spans="1:5" ht="24" customHeight="1">
      <c r="A19" s="753"/>
      <c r="B19" s="84" t="s">
        <v>608</v>
      </c>
      <c r="C19" s="105" t="s">
        <v>607</v>
      </c>
      <c r="D19" s="84" t="s">
        <v>608</v>
      </c>
      <c r="E19" s="105" t="s">
        <v>607</v>
      </c>
    </row>
    <row r="20" spans="1:5">
      <c r="A20" s="85" t="s">
        <v>591</v>
      </c>
      <c r="B20" s="20"/>
      <c r="C20" s="106"/>
      <c r="D20" s="20">
        <v>101.9</v>
      </c>
      <c r="E20" s="98">
        <v>1.9</v>
      </c>
    </row>
    <row r="21" spans="1:5">
      <c r="A21" s="85" t="s">
        <v>592</v>
      </c>
      <c r="B21" s="20">
        <v>101.5</v>
      </c>
      <c r="C21" s="106">
        <v>1.5</v>
      </c>
      <c r="D21" s="20">
        <v>101.6</v>
      </c>
      <c r="E21" s="98">
        <v>1.6</v>
      </c>
    </row>
    <row r="22" spans="1:5">
      <c r="A22" s="85" t="s">
        <v>593</v>
      </c>
      <c r="B22" s="20">
        <v>101.6</v>
      </c>
      <c r="C22" s="106">
        <v>1.5999999999999943</v>
      </c>
      <c r="D22" s="20">
        <v>101.6</v>
      </c>
      <c r="E22" s="98">
        <v>1.6</v>
      </c>
    </row>
    <row r="23" spans="1:5">
      <c r="A23" s="85" t="s">
        <v>594</v>
      </c>
      <c r="B23" s="20">
        <v>101.5</v>
      </c>
      <c r="C23" s="106">
        <v>1.5</v>
      </c>
      <c r="D23" s="20">
        <v>101.7</v>
      </c>
      <c r="E23" s="98">
        <v>1.7</v>
      </c>
    </row>
    <row r="24" spans="1:5">
      <c r="A24" s="85" t="s">
        <v>595</v>
      </c>
      <c r="B24" s="20">
        <v>101.3</v>
      </c>
      <c r="C24" s="106">
        <v>1.2999999999999972</v>
      </c>
      <c r="D24" s="20">
        <v>101.9</v>
      </c>
      <c r="E24" s="98">
        <v>1.9</v>
      </c>
    </row>
    <row r="25" spans="1:5">
      <c r="A25" s="85" t="s">
        <v>596</v>
      </c>
      <c r="B25" s="90">
        <v>101.3</v>
      </c>
      <c r="C25" s="106">
        <v>1.2999999999999972</v>
      </c>
      <c r="D25" s="90">
        <v>102.1</v>
      </c>
      <c r="E25" s="98">
        <v>2.1</v>
      </c>
    </row>
    <row r="26" spans="1:5">
      <c r="A26" s="85" t="s">
        <v>597</v>
      </c>
      <c r="B26" s="90">
        <v>101.2</v>
      </c>
      <c r="C26" s="106">
        <v>1.2000000000000028</v>
      </c>
      <c r="D26" s="90">
        <v>102.3</v>
      </c>
      <c r="E26" s="98">
        <v>2.2999999999999998</v>
      </c>
    </row>
    <row r="27" spans="1:5">
      <c r="A27" s="85" t="s">
        <v>598</v>
      </c>
      <c r="B27" s="90">
        <v>101.3</v>
      </c>
      <c r="C27" s="106">
        <v>1.3</v>
      </c>
      <c r="D27" s="90">
        <v>102.6</v>
      </c>
      <c r="E27" s="98">
        <v>2.6</v>
      </c>
    </row>
    <row r="28" spans="1:5">
      <c r="A28" s="85" t="s">
        <v>90</v>
      </c>
      <c r="B28" s="90">
        <v>101.4</v>
      </c>
      <c r="C28" s="106">
        <v>1.4</v>
      </c>
      <c r="D28" s="90">
        <v>102.8</v>
      </c>
      <c r="E28" s="98">
        <v>2.8</v>
      </c>
    </row>
    <row r="29" spans="1:5">
      <c r="A29" s="85" t="s">
        <v>599</v>
      </c>
      <c r="B29" s="90">
        <v>101.5</v>
      </c>
      <c r="C29" s="106">
        <v>1.5</v>
      </c>
      <c r="D29" s="98"/>
      <c r="E29" s="98"/>
    </row>
    <row r="30" spans="1:5">
      <c r="A30" s="85" t="s">
        <v>600</v>
      </c>
      <c r="B30" s="90">
        <v>101.5</v>
      </c>
      <c r="C30" s="106">
        <v>1.5</v>
      </c>
      <c r="D30" s="98"/>
      <c r="E30" s="98"/>
    </row>
    <row r="31" spans="1:5">
      <c r="A31" s="100" t="s">
        <v>601</v>
      </c>
      <c r="B31" s="107">
        <v>101.6</v>
      </c>
      <c r="C31" s="108">
        <v>1.6</v>
      </c>
      <c r="D31" s="101"/>
      <c r="E31" s="101"/>
    </row>
  </sheetData>
  <sheetProtection password="DC9E" sheet="1" objects="1" scenarios="1"/>
  <mergeCells count="8">
    <mergeCell ref="A1:E1"/>
    <mergeCell ref="D2:E2"/>
    <mergeCell ref="B4:C4"/>
    <mergeCell ref="D4:E4"/>
    <mergeCell ref="B18:C18"/>
    <mergeCell ref="D18:E18"/>
    <mergeCell ref="A4:A5"/>
    <mergeCell ref="A18:A19"/>
  </mergeCells>
  <phoneticPr fontId="10" type="noConversion"/>
  <pageMargins left="0.75" right="0.75" top="1" bottom="1" header="0.51" footer="0.51"/>
</worksheet>
</file>

<file path=xl/worksheets/sheet62.xml><?xml version="1.0" encoding="utf-8"?>
<worksheet xmlns="http://schemas.openxmlformats.org/spreadsheetml/2006/main" xmlns:r="http://schemas.openxmlformats.org/officeDocument/2006/relationships">
  <dimension ref="A1:G31"/>
  <sheetViews>
    <sheetView zoomScaleSheetLayoutView="100" workbookViewId="0">
      <selection activeCell="J13" sqref="J13"/>
    </sheetView>
  </sheetViews>
  <sheetFormatPr defaultColWidth="9" defaultRowHeight="14.25"/>
  <cols>
    <col min="2" max="2" width="12.375" customWidth="1"/>
    <col min="3" max="3" width="10.375" customWidth="1"/>
    <col min="4" max="4" width="14.125" customWidth="1"/>
    <col min="5" max="5" width="10.125" customWidth="1"/>
    <col min="7" max="7" width="11.5" bestFit="1" customWidth="1"/>
  </cols>
  <sheetData>
    <row r="1" spans="1:5" ht="27" customHeight="1">
      <c r="A1" s="746" t="s">
        <v>609</v>
      </c>
      <c r="B1" s="746"/>
      <c r="C1" s="746"/>
      <c r="D1" s="746"/>
      <c r="E1" s="746"/>
    </row>
    <row r="2" spans="1:5">
      <c r="D2" s="738" t="s">
        <v>610</v>
      </c>
      <c r="E2" s="738"/>
    </row>
    <row r="3" spans="1:5" ht="9" customHeight="1"/>
    <row r="4" spans="1:5" ht="18" customHeight="1">
      <c r="A4" s="753" t="s">
        <v>586</v>
      </c>
      <c r="B4" s="753" t="s">
        <v>587</v>
      </c>
      <c r="C4" s="753"/>
      <c r="D4" s="753" t="s">
        <v>588</v>
      </c>
      <c r="E4" s="753"/>
    </row>
    <row r="5" spans="1:5" ht="18" customHeight="1">
      <c r="A5" s="753"/>
      <c r="B5" s="84" t="s">
        <v>589</v>
      </c>
      <c r="C5" s="84" t="s">
        <v>590</v>
      </c>
      <c r="D5" s="84" t="s">
        <v>589</v>
      </c>
      <c r="E5" s="84" t="s">
        <v>590</v>
      </c>
    </row>
    <row r="6" spans="1:5">
      <c r="A6" s="85" t="s">
        <v>591</v>
      </c>
      <c r="B6" s="86"/>
      <c r="C6" s="87"/>
      <c r="D6" s="88"/>
      <c r="E6" s="89"/>
    </row>
    <row r="7" spans="1:5">
      <c r="A7" s="85" t="s">
        <v>592</v>
      </c>
      <c r="B7" s="90">
        <v>10.66</v>
      </c>
      <c r="C7" s="91">
        <v>9.4</v>
      </c>
      <c r="D7" s="92">
        <v>19.95</v>
      </c>
      <c r="E7" s="93">
        <v>49.7</v>
      </c>
    </row>
    <row r="8" spans="1:5">
      <c r="A8" s="85" t="s">
        <v>593</v>
      </c>
      <c r="B8" s="90">
        <v>15.01</v>
      </c>
      <c r="C8" s="91">
        <v>7.1</v>
      </c>
      <c r="D8" s="92">
        <v>25.02</v>
      </c>
      <c r="E8" s="93">
        <v>66.7</v>
      </c>
    </row>
    <row r="9" spans="1:5">
      <c r="A9" s="85" t="s">
        <v>594</v>
      </c>
      <c r="B9" s="90">
        <v>20.3</v>
      </c>
      <c r="C9" s="91">
        <v>7.2</v>
      </c>
      <c r="D9" s="92">
        <v>34.86</v>
      </c>
      <c r="E9" s="93">
        <v>55.8</v>
      </c>
    </row>
    <row r="10" spans="1:5">
      <c r="A10" s="85" t="s">
        <v>595</v>
      </c>
      <c r="B10" s="90">
        <v>30.03</v>
      </c>
      <c r="C10" s="91">
        <v>22.4</v>
      </c>
      <c r="D10" s="92">
        <v>44.18</v>
      </c>
      <c r="E10" s="93">
        <v>47.1</v>
      </c>
    </row>
    <row r="11" spans="1:5">
      <c r="A11" s="85" t="s">
        <v>596</v>
      </c>
      <c r="B11" s="90">
        <v>38.78</v>
      </c>
      <c r="C11" s="91">
        <v>31.4</v>
      </c>
      <c r="D11" s="92">
        <v>54.94</v>
      </c>
      <c r="E11" s="93">
        <v>41.7</v>
      </c>
    </row>
    <row r="12" spans="1:5">
      <c r="A12" s="85" t="s">
        <v>597</v>
      </c>
      <c r="B12" s="90">
        <v>49.38</v>
      </c>
      <c r="C12" s="91">
        <v>44.3</v>
      </c>
      <c r="D12" s="94">
        <v>64.67</v>
      </c>
      <c r="E12" s="95">
        <v>35.799999999999997</v>
      </c>
    </row>
    <row r="13" spans="1:5">
      <c r="A13" s="85" t="s">
        <v>598</v>
      </c>
      <c r="B13" s="90">
        <v>56</v>
      </c>
      <c r="C13" s="91">
        <v>41.9</v>
      </c>
      <c r="D13" s="92">
        <v>75.459999999999994</v>
      </c>
      <c r="E13" s="93">
        <v>34.799999999999997</v>
      </c>
    </row>
    <row r="14" spans="1:5">
      <c r="A14" s="85" t="s">
        <v>90</v>
      </c>
      <c r="B14" s="90">
        <v>64.099999999999994</v>
      </c>
      <c r="C14" s="91">
        <v>44.1</v>
      </c>
      <c r="D14" s="92">
        <v>85.67</v>
      </c>
      <c r="E14" s="95">
        <v>33.700000000000003</v>
      </c>
    </row>
    <row r="15" spans="1:5">
      <c r="A15" s="85" t="s">
        <v>599</v>
      </c>
      <c r="B15" s="90">
        <v>72.319999999999993</v>
      </c>
      <c r="C15" s="91">
        <v>47.3</v>
      </c>
      <c r="D15" s="92">
        <v>93.88</v>
      </c>
      <c r="E15" s="93">
        <v>29.8</v>
      </c>
    </row>
    <row r="16" spans="1:5">
      <c r="A16" s="85" t="s">
        <v>600</v>
      </c>
      <c r="B16" s="90">
        <v>80.75</v>
      </c>
      <c r="C16" s="91">
        <v>52</v>
      </c>
      <c r="D16" s="92">
        <v>102.83</v>
      </c>
      <c r="E16" s="93">
        <v>27.4</v>
      </c>
    </row>
    <row r="17" spans="1:7">
      <c r="A17" s="85" t="s">
        <v>601</v>
      </c>
      <c r="B17" s="90">
        <v>89.4</v>
      </c>
      <c r="C17" s="91">
        <v>52.9</v>
      </c>
      <c r="D17" s="92">
        <v>112.45</v>
      </c>
      <c r="E17" s="93">
        <v>25.8</v>
      </c>
    </row>
    <row r="18" spans="1:7" ht="18" customHeight="1">
      <c r="A18" s="753" t="s">
        <v>586</v>
      </c>
      <c r="B18" s="753" t="s">
        <v>45</v>
      </c>
      <c r="C18" s="753"/>
      <c r="D18" s="753" t="s">
        <v>602</v>
      </c>
      <c r="E18" s="753"/>
    </row>
    <row r="19" spans="1:7" ht="18" customHeight="1">
      <c r="A19" s="753"/>
      <c r="B19" s="84" t="s">
        <v>589</v>
      </c>
      <c r="C19" s="84" t="s">
        <v>590</v>
      </c>
      <c r="D19" s="84" t="s">
        <v>589</v>
      </c>
      <c r="E19" s="84" t="s">
        <v>590</v>
      </c>
    </row>
    <row r="20" spans="1:7">
      <c r="A20" s="85" t="s">
        <v>591</v>
      </c>
      <c r="B20" s="86"/>
      <c r="C20" s="87"/>
      <c r="D20" s="96">
        <v>9.5556000000000001</v>
      </c>
      <c r="E20" s="90">
        <v>4.79</v>
      </c>
    </row>
    <row r="21" spans="1:7">
      <c r="A21" s="85" t="s">
        <v>592</v>
      </c>
      <c r="B21" s="41">
        <v>17.27</v>
      </c>
      <c r="C21" s="21">
        <v>6.3</v>
      </c>
      <c r="D21" s="97">
        <v>17.8917</v>
      </c>
      <c r="E21" s="20">
        <v>6</v>
      </c>
    </row>
    <row r="22" spans="1:7">
      <c r="A22" s="85" t="s">
        <v>593</v>
      </c>
      <c r="B22" s="41">
        <v>26.96</v>
      </c>
      <c r="C22" s="21">
        <v>6.1</v>
      </c>
      <c r="D22" s="97">
        <v>28.280999999999999</v>
      </c>
      <c r="E22" s="20">
        <v>5.59</v>
      </c>
    </row>
    <row r="23" spans="1:7">
      <c r="A23" s="85" t="s">
        <v>594</v>
      </c>
      <c r="B23" s="41">
        <v>37.450000000000003</v>
      </c>
      <c r="C23" s="21">
        <v>5.9</v>
      </c>
      <c r="D23" s="97">
        <v>38.704500000000003</v>
      </c>
      <c r="E23" s="20">
        <v>4.8600000000000003</v>
      </c>
    </row>
    <row r="24" spans="1:7">
      <c r="A24" s="85" t="s">
        <v>595</v>
      </c>
      <c r="B24" s="41">
        <v>48.08</v>
      </c>
      <c r="C24" s="21">
        <v>9.1</v>
      </c>
      <c r="D24" s="97">
        <v>49.265799999999999</v>
      </c>
      <c r="E24" s="20">
        <v>2.06</v>
      </c>
    </row>
    <row r="25" spans="1:7">
      <c r="A25" s="85" t="s">
        <v>596</v>
      </c>
      <c r="B25" s="41">
        <v>58.99</v>
      </c>
      <c r="C25" s="21">
        <v>8.9</v>
      </c>
      <c r="D25" s="97">
        <v>60.130800000000001</v>
      </c>
      <c r="E25" s="20">
        <v>2.6</v>
      </c>
    </row>
    <row r="26" spans="1:7">
      <c r="A26" s="85" t="s">
        <v>597</v>
      </c>
      <c r="B26" s="98">
        <v>69.33</v>
      </c>
      <c r="C26" s="21">
        <v>8</v>
      </c>
      <c r="D26" s="96">
        <v>71.120599999999996</v>
      </c>
      <c r="E26" s="20">
        <v>3.23</v>
      </c>
    </row>
    <row r="27" spans="1:7">
      <c r="A27" s="85" t="s">
        <v>598</v>
      </c>
      <c r="B27" s="98">
        <v>79.650000000000006</v>
      </c>
      <c r="C27" s="21">
        <v>6.9</v>
      </c>
      <c r="D27" s="96">
        <v>81.900000000000006</v>
      </c>
      <c r="E27" s="20">
        <v>3</v>
      </c>
    </row>
    <row r="28" spans="1:7">
      <c r="A28" s="85" t="s">
        <v>90</v>
      </c>
      <c r="B28" s="98">
        <v>89.42</v>
      </c>
      <c r="C28" s="91">
        <v>5.6</v>
      </c>
      <c r="D28" s="96">
        <v>92.865399999999994</v>
      </c>
      <c r="E28" s="90">
        <v>3.88</v>
      </c>
    </row>
    <row r="29" spans="1:7">
      <c r="A29" s="85" t="s">
        <v>599</v>
      </c>
      <c r="B29" s="98">
        <v>99.61</v>
      </c>
      <c r="C29" s="91">
        <v>5.9</v>
      </c>
      <c r="D29" s="96"/>
      <c r="E29" s="90"/>
    </row>
    <row r="30" spans="1:7">
      <c r="A30" s="85" t="s">
        <v>600</v>
      </c>
      <c r="B30" s="98">
        <v>109.32</v>
      </c>
      <c r="C30" s="91">
        <v>5.76</v>
      </c>
      <c r="D30" s="96"/>
      <c r="E30" s="90"/>
      <c r="G30" s="99"/>
    </row>
    <row r="31" spans="1:7">
      <c r="A31" s="100" t="s">
        <v>601</v>
      </c>
      <c r="B31" s="101">
        <v>119.75</v>
      </c>
      <c r="C31" s="102">
        <v>6</v>
      </c>
      <c r="D31" s="103"/>
      <c r="E31" s="104"/>
    </row>
  </sheetData>
  <sheetProtection password="DC9E" sheet="1" objects="1" scenarios="1"/>
  <mergeCells count="8">
    <mergeCell ref="A1:E1"/>
    <mergeCell ref="D2:E2"/>
    <mergeCell ref="B4:C4"/>
    <mergeCell ref="D4:E4"/>
    <mergeCell ref="B18:C18"/>
    <mergeCell ref="D18:E18"/>
    <mergeCell ref="A4:A5"/>
    <mergeCell ref="A18:A19"/>
  </mergeCells>
  <phoneticPr fontId="10" type="noConversion"/>
  <pageMargins left="0.75" right="0.75" top="1" bottom="1" header="0.51" footer="0.51"/>
</worksheet>
</file>

<file path=xl/worksheets/sheet63.xml><?xml version="1.0" encoding="utf-8"?>
<worksheet xmlns="http://schemas.openxmlformats.org/spreadsheetml/2006/main" xmlns:r="http://schemas.openxmlformats.org/officeDocument/2006/relationships">
  <sheetPr enableFormatConditionsCalculation="0">
    <tabColor theme="5"/>
  </sheetPr>
  <dimension ref="A1:G31"/>
  <sheetViews>
    <sheetView topLeftCell="A7" workbookViewId="0">
      <selection activeCell="B27" sqref="B27:C31"/>
    </sheetView>
  </sheetViews>
  <sheetFormatPr defaultColWidth="9" defaultRowHeight="14.25"/>
  <cols>
    <col min="1" max="1" width="14.375" style="44" customWidth="1"/>
    <col min="2" max="2" width="26.875" customWidth="1"/>
    <col min="3" max="3" width="18.875" customWidth="1"/>
    <col min="4" max="4" width="0.5" hidden="1" customWidth="1"/>
    <col min="5" max="6" width="9" hidden="1" customWidth="1"/>
  </cols>
  <sheetData>
    <row r="1" spans="1:7" ht="33.75" customHeight="1">
      <c r="A1" s="727" t="s">
        <v>611</v>
      </c>
      <c r="B1" s="727"/>
      <c r="C1" s="727"/>
      <c r="D1" s="727"/>
      <c r="E1" s="727"/>
      <c r="F1" s="727"/>
      <c r="G1" s="45"/>
    </row>
    <row r="2" spans="1:7" ht="20.25" customHeight="1">
      <c r="A2" s="46"/>
      <c r="B2" s="46"/>
      <c r="C2" s="738" t="s">
        <v>612</v>
      </c>
      <c r="D2" s="738"/>
      <c r="E2" s="738"/>
      <c r="F2" s="738"/>
      <c r="G2" s="45"/>
    </row>
    <row r="3" spans="1:7" s="43" customFormat="1" ht="31.5" customHeight="1">
      <c r="A3" s="738" t="s">
        <v>583</v>
      </c>
      <c r="B3" s="738" t="s">
        <v>12</v>
      </c>
      <c r="C3" s="738"/>
      <c r="D3" s="48"/>
      <c r="E3" s="49"/>
      <c r="F3" s="50"/>
      <c r="G3" s="51"/>
    </row>
    <row r="4" spans="1:7" s="43" customFormat="1" ht="31.5" customHeight="1">
      <c r="A4" s="738"/>
      <c r="B4" s="7" t="s">
        <v>584</v>
      </c>
      <c r="C4" s="8" t="s">
        <v>585</v>
      </c>
      <c r="D4" s="52"/>
      <c r="E4" s="53"/>
      <c r="F4" s="54"/>
      <c r="G4" s="51"/>
    </row>
    <row r="5" spans="1:7" ht="18" customHeight="1">
      <c r="A5" s="9">
        <v>2016</v>
      </c>
      <c r="B5" s="77"/>
      <c r="C5" s="11"/>
      <c r="D5" s="55"/>
      <c r="E5" s="55"/>
      <c r="F5" s="55"/>
    </row>
    <row r="6" spans="1:7" ht="18" customHeight="1">
      <c r="A6" s="9">
        <v>5</v>
      </c>
      <c r="B6" s="77">
        <f>ROUND(3079283,0)</f>
        <v>3079283</v>
      </c>
      <c r="C6" s="11">
        <f>ROUND(7.2,1)</f>
        <v>7.2</v>
      </c>
      <c r="D6" s="55"/>
      <c r="E6" s="55"/>
      <c r="F6" s="55"/>
    </row>
    <row r="7" spans="1:7" ht="18" customHeight="1">
      <c r="A7" s="9">
        <v>6</v>
      </c>
      <c r="B7" s="77">
        <f>ROUND(5096563,0)</f>
        <v>5096563</v>
      </c>
      <c r="C7" s="11">
        <f>ROUND(15.1,1)</f>
        <v>15.1</v>
      </c>
      <c r="D7" s="55"/>
      <c r="E7" s="55"/>
      <c r="F7" s="55"/>
    </row>
    <row r="8" spans="1:7" ht="18" customHeight="1">
      <c r="A8" s="9">
        <v>7</v>
      </c>
      <c r="B8" s="77">
        <f>ROUND(6263505,0)</f>
        <v>6263505</v>
      </c>
      <c r="C8" s="78">
        <f>ROUND(16.3,1)</f>
        <v>16.3</v>
      </c>
      <c r="D8" s="55"/>
      <c r="E8" s="55"/>
      <c r="F8" s="55"/>
    </row>
    <row r="9" spans="1:7" ht="18" customHeight="1">
      <c r="A9" s="9">
        <v>8</v>
      </c>
      <c r="B9" s="77">
        <f>ROUND(7372203,0)</f>
        <v>7372203</v>
      </c>
      <c r="C9" s="11">
        <f>ROUND(24.8,1)</f>
        <v>24.8</v>
      </c>
      <c r="D9" s="55"/>
      <c r="E9" s="55"/>
      <c r="F9" s="55"/>
    </row>
    <row r="10" spans="1:7" ht="18" customHeight="1">
      <c r="A10" s="9">
        <v>9</v>
      </c>
      <c r="B10" s="77">
        <f>ROUND(8717492,0)</f>
        <v>8717492</v>
      </c>
      <c r="C10" s="11">
        <f>ROUND(23.5,1)</f>
        <v>23.5</v>
      </c>
      <c r="D10" s="55"/>
      <c r="E10" s="55"/>
      <c r="F10" s="55"/>
    </row>
    <row r="11" spans="1:7" ht="18" customHeight="1">
      <c r="A11" s="9">
        <v>10</v>
      </c>
      <c r="B11" s="77">
        <f>ROUND(10215452,0)</f>
        <v>10215452</v>
      </c>
      <c r="C11" s="11">
        <f>ROUND(22.6,1)</f>
        <v>22.6</v>
      </c>
      <c r="D11" s="55"/>
      <c r="E11" s="55"/>
      <c r="F11" s="55"/>
    </row>
    <row r="12" spans="1:7">
      <c r="A12" s="9">
        <v>11</v>
      </c>
      <c r="B12" s="77">
        <f>ROUND(12000485,0)</f>
        <v>12000485</v>
      </c>
      <c r="C12" s="11">
        <f>ROUND(23.9,1)</f>
        <v>23.9</v>
      </c>
    </row>
    <row r="13" spans="1:7">
      <c r="A13" s="9">
        <v>12</v>
      </c>
      <c r="B13" s="77">
        <f>ROUND(15315995,0)</f>
        <v>15315995</v>
      </c>
      <c r="C13" s="11">
        <f>ROUND(16.6,1)</f>
        <v>16.600000000000001</v>
      </c>
    </row>
    <row r="14" spans="1:7">
      <c r="A14" s="9">
        <v>2017</v>
      </c>
      <c r="B14" s="79"/>
      <c r="C14" s="80"/>
    </row>
    <row r="15" spans="1:7">
      <c r="A15" s="9">
        <v>2</v>
      </c>
      <c r="B15" s="77">
        <f>ROUND(796488,0)</f>
        <v>796488</v>
      </c>
      <c r="C15" s="11">
        <f>ROUND(5.3,1)</f>
        <v>5.3</v>
      </c>
    </row>
    <row r="16" spans="1:7">
      <c r="A16" s="9">
        <v>3</v>
      </c>
      <c r="B16" s="79">
        <f>ROUND(1575746,0)</f>
        <v>1575746</v>
      </c>
      <c r="C16" s="11">
        <f>ROUND(7.9,1)</f>
        <v>7.9</v>
      </c>
    </row>
    <row r="17" spans="1:3">
      <c r="A17" s="66">
        <v>4</v>
      </c>
      <c r="B17" s="41">
        <f>ROUND(2056743,0)</f>
        <v>2056743</v>
      </c>
      <c r="C17" s="11">
        <f>ROUND(-0.7,1)</f>
        <v>-0.7</v>
      </c>
    </row>
    <row r="18" spans="1:3">
      <c r="A18" s="66">
        <v>5</v>
      </c>
      <c r="B18" s="16">
        <f>ROUND(2889968,0)</f>
        <v>2889968</v>
      </c>
      <c r="C18" s="11">
        <f>ROUND(-6.1,1)</f>
        <v>-6.1</v>
      </c>
    </row>
    <row r="19" spans="1:3">
      <c r="A19" s="66">
        <v>6</v>
      </c>
      <c r="B19" s="16">
        <f>ROUND(5604382,0)</f>
        <v>5604382</v>
      </c>
      <c r="C19" s="11">
        <f>ROUND(10,1)</f>
        <v>10</v>
      </c>
    </row>
    <row r="20" spans="1:3">
      <c r="A20" s="66">
        <v>7</v>
      </c>
      <c r="B20" s="79">
        <f>ROUND(6864511,0)</f>
        <v>6864511</v>
      </c>
      <c r="C20" s="11">
        <f>ROUND(9.6,1)</f>
        <v>9.6</v>
      </c>
    </row>
    <row r="21" spans="1:3">
      <c r="A21" s="81">
        <v>8</v>
      </c>
      <c r="B21" s="41">
        <f>ROUND(8096944,0)</f>
        <v>8096944</v>
      </c>
      <c r="C21" s="11">
        <f>ROUND(9.8,1)</f>
        <v>9.8000000000000007</v>
      </c>
    </row>
    <row r="22" spans="1:3">
      <c r="A22" s="81">
        <v>9</v>
      </c>
      <c r="B22" s="41">
        <f>ROUND(9772404,0)</f>
        <v>9772404</v>
      </c>
      <c r="C22" s="11">
        <f>ROUND(12.1010951314896,1)</f>
        <v>12.1</v>
      </c>
    </row>
    <row r="23" spans="1:3">
      <c r="A23" s="81">
        <v>10</v>
      </c>
      <c r="B23" s="41">
        <f>ROUND(11367531,0)</f>
        <v>11367531</v>
      </c>
      <c r="C23" s="11">
        <f>ROUND(11.3,1)</f>
        <v>11.3</v>
      </c>
    </row>
    <row r="24" spans="1:3">
      <c r="A24" s="81">
        <v>11</v>
      </c>
      <c r="B24" s="41">
        <f>ROUND(13376063,0)</f>
        <v>13376063</v>
      </c>
      <c r="C24" s="11">
        <f>ROUND(11.5,1)</f>
        <v>11.5</v>
      </c>
    </row>
    <row r="25" spans="1:3">
      <c r="A25" s="81">
        <v>12</v>
      </c>
      <c r="B25" s="41">
        <f>ROUND(16415341,0)</f>
        <v>16415341</v>
      </c>
      <c r="C25" s="11">
        <f>ROUND(7.2,1)</f>
        <v>7.2</v>
      </c>
    </row>
    <row r="26" spans="1:3">
      <c r="A26" s="15">
        <v>2018</v>
      </c>
      <c r="B26" s="16"/>
      <c r="C26" s="17"/>
    </row>
    <row r="27" spans="1:3">
      <c r="A27" s="15">
        <v>2</v>
      </c>
      <c r="B27" s="16">
        <f>ROUND(844761,0)</f>
        <v>844761</v>
      </c>
      <c r="C27" s="21">
        <f>ROUND(8.8,1)</f>
        <v>8.8000000000000007</v>
      </c>
    </row>
    <row r="28" spans="1:3">
      <c r="A28" s="15">
        <v>3</v>
      </c>
      <c r="B28" s="16">
        <f>ROUND(2020022,0)</f>
        <v>2020022</v>
      </c>
      <c r="C28" s="21">
        <f>ROUND(31.6,1)</f>
        <v>31.6</v>
      </c>
    </row>
    <row r="29" spans="1:3">
      <c r="A29" s="15">
        <v>4</v>
      </c>
      <c r="B29" s="41">
        <f>ROUND(2639275,0)</f>
        <v>2639275</v>
      </c>
      <c r="C29" s="21">
        <f>ROUND(31,1)</f>
        <v>31</v>
      </c>
    </row>
    <row r="30" spans="1:3">
      <c r="A30" s="15">
        <v>5</v>
      </c>
      <c r="B30" s="41">
        <v>3391968</v>
      </c>
      <c r="C30" s="21">
        <v>19.600000000000001</v>
      </c>
    </row>
    <row r="31" spans="1:3">
      <c r="A31" s="22">
        <v>6</v>
      </c>
      <c r="B31" s="82">
        <v>5515829</v>
      </c>
      <c r="C31" s="83">
        <v>13.6</v>
      </c>
    </row>
  </sheetData>
  <mergeCells count="4">
    <mergeCell ref="A1:F1"/>
    <mergeCell ref="C2:F2"/>
    <mergeCell ref="B3:C3"/>
    <mergeCell ref="A3:A4"/>
  </mergeCells>
  <phoneticPr fontId="10" type="noConversion"/>
  <pageMargins left="0.75" right="0.75" top="1" bottom="1" header="0.5" footer="0.5"/>
  <pageSetup paperSize="9" orientation="portrait" verticalDpi="0"/>
  <headerFooter scaleWithDoc="0" alignWithMargins="0"/>
</worksheet>
</file>

<file path=xl/worksheets/sheet64.xml><?xml version="1.0" encoding="utf-8"?>
<worksheet xmlns="http://schemas.openxmlformats.org/spreadsheetml/2006/main" xmlns:r="http://schemas.openxmlformats.org/officeDocument/2006/relationships">
  <sheetPr enableFormatConditionsCalculation="0">
    <tabColor theme="5"/>
  </sheetPr>
  <dimension ref="A1:G30"/>
  <sheetViews>
    <sheetView topLeftCell="A7" workbookViewId="0">
      <selection activeCell="B26" sqref="B26:C30"/>
    </sheetView>
  </sheetViews>
  <sheetFormatPr defaultColWidth="9" defaultRowHeight="14.25"/>
  <cols>
    <col min="1" max="1" width="14.375" style="44" customWidth="1"/>
    <col min="2" max="2" width="26.875" customWidth="1"/>
    <col min="3" max="3" width="18.875" customWidth="1"/>
    <col min="4" max="4" width="0.5" hidden="1" customWidth="1"/>
    <col min="5" max="6" width="9" hidden="1" customWidth="1"/>
  </cols>
  <sheetData>
    <row r="1" spans="1:7" ht="33.75" customHeight="1">
      <c r="A1" s="727" t="s">
        <v>613</v>
      </c>
      <c r="B1" s="727"/>
      <c r="C1" s="727"/>
      <c r="D1" s="727"/>
      <c r="E1" s="727"/>
      <c r="F1" s="727"/>
      <c r="G1" s="45"/>
    </row>
    <row r="2" spans="1:7" ht="20.25" customHeight="1">
      <c r="A2" s="46"/>
      <c r="B2" s="46"/>
      <c r="C2" s="738" t="s">
        <v>612</v>
      </c>
      <c r="D2" s="738"/>
      <c r="E2" s="738"/>
      <c r="F2" s="738"/>
      <c r="G2" s="45"/>
    </row>
    <row r="3" spans="1:7" s="43" customFormat="1" ht="31.5" customHeight="1">
      <c r="A3" s="738" t="s">
        <v>583</v>
      </c>
      <c r="B3" s="738" t="s">
        <v>16</v>
      </c>
      <c r="C3" s="738"/>
      <c r="D3" s="48"/>
      <c r="E3" s="49"/>
      <c r="F3" s="50"/>
      <c r="G3" s="51"/>
    </row>
    <row r="4" spans="1:7" s="43" customFormat="1" ht="31.5" customHeight="1">
      <c r="A4" s="738"/>
      <c r="B4" s="7" t="s">
        <v>584</v>
      </c>
      <c r="C4" s="8" t="s">
        <v>585</v>
      </c>
      <c r="D4" s="52"/>
      <c r="E4" s="53"/>
      <c r="F4" s="54"/>
      <c r="G4" s="51"/>
    </row>
    <row r="5" spans="1:7" ht="18" customHeight="1">
      <c r="A5" s="9">
        <v>2016</v>
      </c>
      <c r="B5" s="61"/>
      <c r="C5" s="11"/>
      <c r="D5" s="55"/>
      <c r="E5" s="55"/>
      <c r="F5" s="55"/>
    </row>
    <row r="6" spans="1:7" ht="18" customHeight="1">
      <c r="A6" s="9">
        <v>6</v>
      </c>
      <c r="B6" s="62">
        <f>ROUND(6760206,0)</f>
        <v>6760206</v>
      </c>
      <c r="C6" s="63">
        <f>ROUND(8.8,1)</f>
        <v>8.8000000000000007</v>
      </c>
      <c r="D6" s="55"/>
      <c r="E6" s="55"/>
      <c r="F6" s="55"/>
    </row>
    <row r="7" spans="1:7" ht="18" customHeight="1">
      <c r="A7" s="9">
        <v>7</v>
      </c>
      <c r="B7" s="62">
        <f>ROUND(7975890,0)</f>
        <v>7975890</v>
      </c>
      <c r="C7" s="63">
        <f>ROUND(9,1)</f>
        <v>9</v>
      </c>
      <c r="D7" s="55"/>
      <c r="E7" s="55"/>
      <c r="F7" s="55"/>
    </row>
    <row r="8" spans="1:7" ht="18" customHeight="1">
      <c r="A8" s="9">
        <v>8</v>
      </c>
      <c r="B8" s="62">
        <f>ROUND(9193702.5,0)</f>
        <v>9193703</v>
      </c>
      <c r="C8" s="63">
        <f>ROUND(8.9,1)</f>
        <v>8.9</v>
      </c>
      <c r="D8" s="55"/>
      <c r="E8" s="55"/>
      <c r="F8" s="55"/>
    </row>
    <row r="9" spans="1:7">
      <c r="A9" s="9">
        <v>9</v>
      </c>
      <c r="B9" s="64">
        <f>ROUND(10457008.3,0)</f>
        <v>10457008</v>
      </c>
      <c r="C9" s="63">
        <f>ROUND(9.3,1)</f>
        <v>9.3000000000000007</v>
      </c>
    </row>
    <row r="10" spans="1:7">
      <c r="A10" s="9">
        <v>10</v>
      </c>
      <c r="B10" s="64">
        <f>ROUND(11782159.5,0)</f>
        <v>11782160</v>
      </c>
      <c r="C10" s="63">
        <f>ROUND(9.5,1)</f>
        <v>9.5</v>
      </c>
    </row>
    <row r="11" spans="1:7">
      <c r="A11" s="9">
        <v>11</v>
      </c>
      <c r="B11" s="65">
        <f>ROUND(13025842,0)</f>
        <v>13025842</v>
      </c>
      <c r="C11" s="63">
        <f>ROUND(9.4,1)</f>
        <v>9.4</v>
      </c>
    </row>
    <row r="12" spans="1:7" ht="15.95" customHeight="1">
      <c r="A12" s="66">
        <v>12</v>
      </c>
      <c r="B12" s="67">
        <f>ROUND(14329570,0)</f>
        <v>14329570</v>
      </c>
      <c r="C12" s="68">
        <f>ROUND(9.5,1)</f>
        <v>9.5</v>
      </c>
    </row>
    <row r="13" spans="1:7" ht="15.95" customHeight="1">
      <c r="A13" s="66">
        <v>2017</v>
      </c>
      <c r="B13" s="67"/>
      <c r="C13" s="68"/>
    </row>
    <row r="14" spans="1:7" ht="15.95" customHeight="1">
      <c r="A14" s="66">
        <v>2</v>
      </c>
      <c r="B14" s="67">
        <f>ROUND(2520522,0)</f>
        <v>2520522</v>
      </c>
      <c r="C14" s="69">
        <f>ROUND(12,1)</f>
        <v>12</v>
      </c>
    </row>
    <row r="15" spans="1:7" ht="15.95" customHeight="1">
      <c r="A15" s="66">
        <v>3</v>
      </c>
      <c r="B15" s="67">
        <f>ROUND(3755066,0)</f>
        <v>3755066</v>
      </c>
      <c r="C15" s="68">
        <f>ROUND(12.1,1)</f>
        <v>12.1</v>
      </c>
    </row>
    <row r="16" spans="1:7" ht="15.95" customHeight="1">
      <c r="A16" s="66">
        <v>4</v>
      </c>
      <c r="B16" s="67">
        <f>ROUND(4968495,0)</f>
        <v>4968495</v>
      </c>
      <c r="C16" s="68">
        <f>ROUND(11.8,1)</f>
        <v>11.8</v>
      </c>
    </row>
    <row r="17" spans="1:3" ht="15.95" customHeight="1">
      <c r="A17" s="66">
        <v>5</v>
      </c>
      <c r="B17" s="67">
        <f>ROUND(6247711,0)</f>
        <v>6247711</v>
      </c>
      <c r="C17" s="68">
        <f>ROUND(11.5,1)</f>
        <v>11.5</v>
      </c>
    </row>
    <row r="18" spans="1:3" ht="15.95" customHeight="1">
      <c r="A18" s="66">
        <v>6</v>
      </c>
      <c r="B18" s="67">
        <f>ROUND(7543984,0)</f>
        <v>7543984</v>
      </c>
      <c r="C18" s="68">
        <f>ROUND(11.1,1)</f>
        <v>11.1</v>
      </c>
    </row>
    <row r="19" spans="1:3" ht="15.95" customHeight="1">
      <c r="A19" s="66">
        <v>7</v>
      </c>
      <c r="B19" s="67">
        <f>ROUND(8865132,0)</f>
        <v>8865132</v>
      </c>
      <c r="C19" s="68">
        <f>ROUND(10.8,1)</f>
        <v>10.8</v>
      </c>
    </row>
    <row r="20" spans="1:3" ht="15.95" customHeight="1">
      <c r="A20" s="70">
        <v>8</v>
      </c>
      <c r="B20" s="71">
        <f>ROUND(10165674.4,0)</f>
        <v>10165674</v>
      </c>
      <c r="C20" s="72">
        <f>ROUND(10.2,1)</f>
        <v>10.199999999999999</v>
      </c>
    </row>
    <row r="21" spans="1:3">
      <c r="A21" s="66">
        <v>9</v>
      </c>
      <c r="B21" s="71">
        <f>ROUND(11558876.6,0)</f>
        <v>11558877</v>
      </c>
      <c r="C21" s="72">
        <f>ROUND(10.2,1)</f>
        <v>10.199999999999999</v>
      </c>
    </row>
    <row r="22" spans="1:3">
      <c r="A22" s="66">
        <v>10</v>
      </c>
      <c r="B22" s="71">
        <f>ROUND(12962204,0)</f>
        <v>12962204</v>
      </c>
      <c r="C22" s="72">
        <f>ROUND(10.2,1)</f>
        <v>10.199999999999999</v>
      </c>
    </row>
    <row r="23" spans="1:3">
      <c r="A23" s="66">
        <v>11</v>
      </c>
      <c r="B23" s="71">
        <f>ROUND(14339244.7,0)</f>
        <v>14339245</v>
      </c>
      <c r="C23" s="73">
        <f>ROUND(10.1873510322444,1)</f>
        <v>10.199999999999999</v>
      </c>
    </row>
    <row r="24" spans="1:3">
      <c r="A24" s="66">
        <v>12</v>
      </c>
      <c r="B24" s="71">
        <f>ROUND(15780801.9,0)</f>
        <v>15780802</v>
      </c>
      <c r="C24" s="73">
        <f>ROUND(10.1275297129633,1)</f>
        <v>10.1</v>
      </c>
    </row>
    <row r="25" spans="1:3">
      <c r="A25" s="15">
        <v>2018</v>
      </c>
      <c r="B25" s="16"/>
      <c r="C25" s="17"/>
    </row>
    <row r="26" spans="1:3">
      <c r="A26" s="15">
        <v>2</v>
      </c>
      <c r="B26" s="74">
        <f>ROUND(2761961.2,0)</f>
        <v>2761961</v>
      </c>
      <c r="C26" s="17">
        <f>ROUND(10.1,1)</f>
        <v>10.1</v>
      </c>
    </row>
    <row r="27" spans="1:3">
      <c r="A27" s="15">
        <v>3</v>
      </c>
      <c r="B27" s="74">
        <f>ROUND(4120562.9,0)</f>
        <v>4120563</v>
      </c>
      <c r="C27" s="17">
        <f>ROUND(10.1,1)</f>
        <v>10.1</v>
      </c>
    </row>
    <row r="28" spans="1:3">
      <c r="A28" s="15">
        <v>4</v>
      </c>
      <c r="B28" s="74">
        <f>ROUND(5462840,0)</f>
        <v>5462840</v>
      </c>
      <c r="C28" s="17">
        <f>ROUND(10.1,1)</f>
        <v>10.1</v>
      </c>
    </row>
    <row r="29" spans="1:3">
      <c r="A29" s="15">
        <v>5</v>
      </c>
      <c r="B29" s="74">
        <v>6829174</v>
      </c>
      <c r="C29" s="21">
        <v>10</v>
      </c>
    </row>
    <row r="30" spans="1:3">
      <c r="A30" s="22">
        <v>6</v>
      </c>
      <c r="B30" s="75">
        <v>8214416</v>
      </c>
      <c r="C30" s="76">
        <v>10</v>
      </c>
    </row>
  </sheetData>
  <mergeCells count="4">
    <mergeCell ref="A1:F1"/>
    <mergeCell ref="C2:F2"/>
    <mergeCell ref="B3:C3"/>
    <mergeCell ref="A3:A4"/>
  </mergeCells>
  <phoneticPr fontId="10" type="noConversion"/>
  <pageMargins left="0.75" right="0.75" top="1" bottom="1" header="0.5" footer="0.5"/>
  <pageSetup paperSize="9" orientation="portrait" verticalDpi="0"/>
  <headerFooter scaleWithDoc="0" alignWithMargins="0"/>
</worksheet>
</file>

<file path=xl/worksheets/sheet65.xml><?xml version="1.0" encoding="utf-8"?>
<worksheet xmlns="http://schemas.openxmlformats.org/spreadsheetml/2006/main" xmlns:r="http://schemas.openxmlformats.org/officeDocument/2006/relationships">
  <sheetPr enableFormatConditionsCalculation="0">
    <tabColor theme="5"/>
  </sheetPr>
  <dimension ref="A1:H32"/>
  <sheetViews>
    <sheetView workbookViewId="0">
      <selection activeCell="J35" sqref="J35"/>
    </sheetView>
  </sheetViews>
  <sheetFormatPr defaultColWidth="9" defaultRowHeight="14.25"/>
  <cols>
    <col min="1" max="1" width="14.375" style="44" customWidth="1"/>
    <col min="2" max="2" width="26.875" customWidth="1"/>
    <col min="3" max="3" width="18.875" customWidth="1"/>
    <col min="4" max="4" width="0.5" hidden="1" customWidth="1"/>
    <col min="5" max="6" width="9" hidden="1" customWidth="1"/>
  </cols>
  <sheetData>
    <row r="1" spans="1:8" ht="33.75" customHeight="1">
      <c r="A1" s="727" t="s">
        <v>614</v>
      </c>
      <c r="B1" s="727"/>
      <c r="C1" s="727"/>
      <c r="D1" s="727"/>
      <c r="E1" s="727"/>
      <c r="F1" s="727"/>
      <c r="G1" s="45"/>
    </row>
    <row r="2" spans="1:8" ht="20.25" customHeight="1">
      <c r="A2" s="46"/>
      <c r="C2" s="47" t="s">
        <v>615</v>
      </c>
      <c r="D2" s="47"/>
      <c r="E2" s="47"/>
      <c r="F2" s="47"/>
      <c r="G2" s="47"/>
      <c r="H2" s="47"/>
    </row>
    <row r="3" spans="1:8" s="43" customFormat="1" ht="31.5" customHeight="1">
      <c r="A3" s="738" t="s">
        <v>583</v>
      </c>
      <c r="B3" s="738" t="s">
        <v>616</v>
      </c>
      <c r="C3" s="738"/>
      <c r="D3" s="48"/>
      <c r="E3" s="49"/>
      <c r="F3" s="50"/>
      <c r="G3" s="51"/>
    </row>
    <row r="4" spans="1:8" s="43" customFormat="1" ht="31.5" customHeight="1">
      <c r="A4" s="738"/>
      <c r="B4" s="7" t="s">
        <v>584</v>
      </c>
      <c r="C4" s="8" t="s">
        <v>585</v>
      </c>
      <c r="D4" s="52"/>
      <c r="E4" s="53"/>
      <c r="F4" s="54"/>
      <c r="G4" s="51"/>
    </row>
    <row r="5" spans="1:8" ht="18" customHeight="1">
      <c r="A5" s="9">
        <v>2016</v>
      </c>
      <c r="B5" s="27"/>
      <c r="C5" s="11"/>
      <c r="D5" s="55"/>
      <c r="E5" s="55"/>
      <c r="F5" s="55"/>
      <c r="H5" t="s">
        <v>63</v>
      </c>
    </row>
    <row r="6" spans="1:8" ht="18" customHeight="1">
      <c r="A6" s="9">
        <v>5</v>
      </c>
      <c r="B6" s="27">
        <f>ROUND(651964,0)</f>
        <v>651964</v>
      </c>
      <c r="C6" s="56">
        <f>ROUND(4.3,1)</f>
        <v>4.3</v>
      </c>
      <c r="D6" s="55"/>
      <c r="E6" s="55"/>
      <c r="F6" s="55"/>
    </row>
    <row r="7" spans="1:8" ht="18" customHeight="1">
      <c r="A7" s="9">
        <v>6</v>
      </c>
      <c r="B7" s="27">
        <f>ROUND(780476,0)</f>
        <v>780476</v>
      </c>
      <c r="C7" s="11">
        <f>ROUND(-3.8,1)</f>
        <v>-3.8</v>
      </c>
      <c r="D7" s="55"/>
      <c r="E7" s="55"/>
      <c r="F7" s="55"/>
    </row>
    <row r="8" spans="1:8" ht="18" customHeight="1">
      <c r="A8" s="9">
        <v>7</v>
      </c>
      <c r="B8" s="27">
        <f>ROUND(922333.1019,0)</f>
        <v>922333</v>
      </c>
      <c r="C8" s="11">
        <f>ROUND(-3.98796758100968,1)</f>
        <v>-4</v>
      </c>
      <c r="D8" s="55"/>
      <c r="E8" s="55"/>
      <c r="F8" s="55"/>
    </row>
    <row r="9" spans="1:8">
      <c r="A9" s="9">
        <v>8</v>
      </c>
      <c r="B9" s="27">
        <f>ROUND(1118014,0)</f>
        <v>1118014</v>
      </c>
      <c r="C9" s="11">
        <f>ROUND(2.07,1)</f>
        <v>2.1</v>
      </c>
    </row>
    <row r="10" spans="1:8">
      <c r="A10" s="9">
        <v>9</v>
      </c>
      <c r="B10" s="27">
        <f>ROUND(1355582.6735,0)</f>
        <v>1355583</v>
      </c>
      <c r="C10" s="11">
        <f>ROUND(10.8909650955423,1)</f>
        <v>10.9</v>
      </c>
    </row>
    <row r="11" spans="1:8">
      <c r="A11" s="9">
        <v>10</v>
      </c>
      <c r="B11" s="27">
        <f>ROUND(1530438,0)</f>
        <v>1530438</v>
      </c>
      <c r="C11" s="11">
        <f>ROUND(12,1)</f>
        <v>12</v>
      </c>
    </row>
    <row r="12" spans="1:8">
      <c r="A12" s="57">
        <v>11</v>
      </c>
      <c r="B12" s="27">
        <f>ROUND(1711506,0)</f>
        <v>1711506</v>
      </c>
      <c r="C12" s="11">
        <f>ROUND(14,1)</f>
        <v>14</v>
      </c>
    </row>
    <row r="13" spans="1:8">
      <c r="A13" s="57">
        <v>12</v>
      </c>
      <c r="B13" s="27">
        <f>ROUND(1947922,0)</f>
        <v>1947922</v>
      </c>
      <c r="C13" s="11">
        <f>ROUND(11.8,1)</f>
        <v>11.8</v>
      </c>
    </row>
    <row r="14" spans="1:8">
      <c r="A14" s="57">
        <v>2017</v>
      </c>
      <c r="B14" s="27"/>
      <c r="C14" s="11"/>
    </row>
    <row r="15" spans="1:8">
      <c r="A15" s="57">
        <v>1</v>
      </c>
      <c r="B15" s="27">
        <f>ROUND(181359,0)</f>
        <v>181359</v>
      </c>
      <c r="C15" s="11">
        <f>ROUND(-7.6,1)</f>
        <v>-7.6</v>
      </c>
    </row>
    <row r="16" spans="1:8">
      <c r="A16" s="57">
        <v>2</v>
      </c>
      <c r="B16" s="27">
        <f>ROUND(241658,0)</f>
        <v>241658</v>
      </c>
      <c r="C16" s="11">
        <f>ROUND(-11.38,1)</f>
        <v>-11.4</v>
      </c>
    </row>
    <row r="17" spans="1:3">
      <c r="A17" s="57">
        <v>3</v>
      </c>
      <c r="B17" s="27">
        <f>ROUND(415528,0)</f>
        <v>415528</v>
      </c>
      <c r="C17" s="11">
        <f>ROUND(13.9,1)</f>
        <v>13.9</v>
      </c>
    </row>
    <row r="18" spans="1:3">
      <c r="A18" s="57">
        <v>4</v>
      </c>
      <c r="B18" s="27">
        <f>ROUND(594563,0)</f>
        <v>594563</v>
      </c>
      <c r="C18" s="11">
        <f>ROUND(22.2,1)</f>
        <v>22.2</v>
      </c>
    </row>
    <row r="19" spans="1:3">
      <c r="A19" s="57">
        <v>5</v>
      </c>
      <c r="B19" s="27">
        <f>ROUND(815811,0)</f>
        <v>815811</v>
      </c>
      <c r="C19" s="11">
        <f>ROUND(28.7,1)</f>
        <v>28.7</v>
      </c>
    </row>
    <row r="20" spans="1:3">
      <c r="A20" s="57">
        <v>6</v>
      </c>
      <c r="B20" s="27">
        <f>ROUND(1006074,0)</f>
        <v>1006074</v>
      </c>
      <c r="C20" s="11">
        <f>ROUND(32,1)</f>
        <v>32</v>
      </c>
    </row>
    <row r="21" spans="1:3">
      <c r="A21" s="57">
        <v>7</v>
      </c>
      <c r="B21" s="40">
        <f>ROUND(1228741,0)</f>
        <v>1228741</v>
      </c>
      <c r="C21" s="14">
        <f>ROUND(35.9,1)</f>
        <v>35.9</v>
      </c>
    </row>
    <row r="22" spans="1:3">
      <c r="A22" s="57">
        <v>8</v>
      </c>
      <c r="B22" s="40">
        <v>1411285</v>
      </c>
      <c r="C22" s="14">
        <v>28.3</v>
      </c>
    </row>
    <row r="23" spans="1:3">
      <c r="A23" s="57">
        <v>9</v>
      </c>
      <c r="B23" s="40">
        <f>ROUND(1593063,0)</f>
        <v>1593063</v>
      </c>
      <c r="C23" s="14">
        <f>ROUND(19.1,1)</f>
        <v>19.100000000000001</v>
      </c>
    </row>
    <row r="24" spans="1:3">
      <c r="A24" s="57">
        <v>10</v>
      </c>
      <c r="B24" s="40">
        <f>ROUND(1750486,0)</f>
        <v>1750486</v>
      </c>
      <c r="C24" s="14">
        <f>ROUND(15.7303,1)</f>
        <v>15.7</v>
      </c>
    </row>
    <row r="25" spans="1:3">
      <c r="A25" s="57">
        <v>11</v>
      </c>
      <c r="B25" s="40">
        <f>ROUND(1923410,0)</f>
        <v>1923410</v>
      </c>
      <c r="C25" s="14">
        <f>ROUND(12.4106,1)</f>
        <v>12.4</v>
      </c>
    </row>
    <row r="26" spans="1:3">
      <c r="A26" s="57">
        <v>12</v>
      </c>
      <c r="B26" s="40">
        <f>ROUND(2170709.6623,0)</f>
        <v>2170710</v>
      </c>
      <c r="C26" s="14">
        <f>ROUND(11.4496,1)</f>
        <v>11.4</v>
      </c>
    </row>
    <row r="27" spans="1:3">
      <c r="A27" s="15">
        <v>2018</v>
      </c>
      <c r="B27" s="16"/>
      <c r="C27" s="17"/>
    </row>
    <row r="28" spans="1:3">
      <c r="A28" s="15">
        <v>1</v>
      </c>
      <c r="B28" s="40">
        <f>ROUND(245060.5487,0)</f>
        <v>245061</v>
      </c>
      <c r="C28" s="14">
        <f>ROUND(-9.2749,1)</f>
        <v>-9.3000000000000007</v>
      </c>
    </row>
    <row r="29" spans="1:3">
      <c r="A29" s="15">
        <v>2</v>
      </c>
      <c r="B29" s="40">
        <f>ROUND(254273.584,0)</f>
        <v>254274</v>
      </c>
      <c r="C29" s="14">
        <f>ROUND(5.1148,1)</f>
        <v>5.0999999999999996</v>
      </c>
    </row>
    <row r="30" spans="1:3">
      <c r="A30" s="15">
        <v>3</v>
      </c>
      <c r="B30" s="40">
        <f>ROUND(368490,0)</f>
        <v>368490</v>
      </c>
      <c r="C30" s="58">
        <f>ROUND(-11.4,1)</f>
        <v>-11.4</v>
      </c>
    </row>
    <row r="31" spans="1:3">
      <c r="A31" s="15">
        <v>4</v>
      </c>
      <c r="B31" s="40">
        <v>498314.23139999999</v>
      </c>
      <c r="C31" s="58">
        <v>-16.243200000000002</v>
      </c>
    </row>
    <row r="32" spans="1:3">
      <c r="A32" s="22">
        <v>5</v>
      </c>
      <c r="B32" s="59">
        <v>696319</v>
      </c>
      <c r="C32" s="60">
        <v>-14.7</v>
      </c>
    </row>
  </sheetData>
  <mergeCells count="3">
    <mergeCell ref="A1:F1"/>
    <mergeCell ref="B3:C3"/>
    <mergeCell ref="A3:A4"/>
  </mergeCells>
  <phoneticPr fontId="10" type="noConversion"/>
  <pageMargins left="0.75" right="0.75" top="1" bottom="1" header="0.5" footer="0.5"/>
  <pageSetup paperSize="9" orientation="portrait" verticalDpi="0"/>
  <headerFooter scaleWithDoc="0" alignWithMargins="0"/>
</worksheet>
</file>

<file path=xl/worksheets/sheet66.xml><?xml version="1.0" encoding="utf-8"?>
<worksheet xmlns="http://schemas.openxmlformats.org/spreadsheetml/2006/main" xmlns:r="http://schemas.openxmlformats.org/officeDocument/2006/relationships">
  <sheetPr enableFormatConditionsCalculation="0">
    <tabColor theme="5"/>
  </sheetPr>
  <dimension ref="A1:C31"/>
  <sheetViews>
    <sheetView topLeftCell="A7" workbookViewId="0">
      <selection activeCell="H36" sqref="H36"/>
    </sheetView>
  </sheetViews>
  <sheetFormatPr defaultColWidth="9" defaultRowHeight="14.25"/>
  <cols>
    <col min="1" max="1" width="14.375" customWidth="1"/>
    <col min="2" max="2" width="26.875" customWidth="1"/>
    <col min="3" max="3" width="18.875" customWidth="1"/>
  </cols>
  <sheetData>
    <row r="1" spans="1:3" ht="22.5">
      <c r="A1" s="732" t="s">
        <v>617</v>
      </c>
      <c r="B1" s="732"/>
      <c r="C1" s="732"/>
    </row>
    <row r="2" spans="1:3" ht="22.5">
      <c r="A2" s="25"/>
      <c r="B2" s="25"/>
      <c r="C2" s="26" t="s">
        <v>612</v>
      </c>
    </row>
    <row r="3" spans="1:3" ht="32.1" customHeight="1">
      <c r="A3" s="738" t="s">
        <v>583</v>
      </c>
      <c r="B3" s="738" t="s">
        <v>17</v>
      </c>
      <c r="C3" s="738"/>
    </row>
    <row r="4" spans="1:3" ht="32.1" customHeight="1">
      <c r="A4" s="738"/>
      <c r="B4" s="7" t="s">
        <v>584</v>
      </c>
      <c r="C4" s="8" t="s">
        <v>585</v>
      </c>
    </row>
    <row r="5" spans="1:3" ht="18" customHeight="1">
      <c r="A5" s="9">
        <v>2016</v>
      </c>
      <c r="B5" s="27"/>
      <c r="C5" s="11"/>
    </row>
    <row r="6" spans="1:3" ht="18" customHeight="1">
      <c r="A6" s="9">
        <v>6</v>
      </c>
      <c r="B6" s="27">
        <f>ROUND(566175,0)</f>
        <v>566175</v>
      </c>
      <c r="C6" s="11">
        <f>ROUND(5,1)</f>
        <v>5</v>
      </c>
    </row>
    <row r="7" spans="1:3">
      <c r="A7" s="9">
        <v>7</v>
      </c>
      <c r="B7" s="27">
        <f>ROUND(663904,0)</f>
        <v>663904</v>
      </c>
      <c r="C7" s="11">
        <f>ROUND(7.7,1)</f>
        <v>7.7</v>
      </c>
    </row>
    <row r="8" spans="1:3">
      <c r="A8" s="9">
        <v>8</v>
      </c>
      <c r="B8" s="27">
        <f>ROUND(735390,0)</f>
        <v>735390</v>
      </c>
      <c r="C8" s="11">
        <f>ROUND(7.7,1)</f>
        <v>7.7</v>
      </c>
    </row>
    <row r="9" spans="1:3">
      <c r="A9" s="9">
        <v>9</v>
      </c>
      <c r="B9" s="27">
        <f>ROUND(815736,0)</f>
        <v>815736</v>
      </c>
      <c r="C9" s="29">
        <f>ROUND(7.2,1)</f>
        <v>7.2</v>
      </c>
    </row>
    <row r="10" spans="1:3">
      <c r="A10" s="9">
        <v>10</v>
      </c>
      <c r="B10" s="27">
        <f>ROUND(894414,0)</f>
        <v>894414</v>
      </c>
      <c r="C10" s="29">
        <f>ROUND(7.36088408731323,1)</f>
        <v>7.4</v>
      </c>
    </row>
    <row r="11" spans="1:3">
      <c r="A11" s="9">
        <v>11</v>
      </c>
      <c r="B11" s="27">
        <f>ROUND(966337,0)</f>
        <v>966337</v>
      </c>
      <c r="C11" s="30">
        <f>ROUND(3.8,1)</f>
        <v>3.8</v>
      </c>
    </row>
    <row r="12" spans="1:3">
      <c r="A12" s="9">
        <v>12</v>
      </c>
      <c r="B12" s="27">
        <f>ROUND(1129375,0)</f>
        <v>1129375</v>
      </c>
      <c r="C12" s="30">
        <f>ROUND(-4.8,1)</f>
        <v>-4.8</v>
      </c>
    </row>
    <row r="13" spans="1:3">
      <c r="A13" s="9">
        <v>2017</v>
      </c>
      <c r="B13" s="27"/>
      <c r="C13" s="30"/>
    </row>
    <row r="14" spans="1:3">
      <c r="A14" s="9">
        <v>2</v>
      </c>
      <c r="B14" s="27">
        <f>ROUND(168865,0)</f>
        <v>168865</v>
      </c>
      <c r="C14" s="30">
        <f>ROUND(21.3,1)</f>
        <v>21.3</v>
      </c>
    </row>
    <row r="15" spans="1:3">
      <c r="A15" s="9">
        <v>3</v>
      </c>
      <c r="B15" s="27">
        <f>ROUND(248142,0)</f>
        <v>248142</v>
      </c>
      <c r="C15" s="30">
        <f>ROUND(15.8466028595928,1)</f>
        <v>15.8</v>
      </c>
    </row>
    <row r="16" spans="1:3">
      <c r="A16" s="9">
        <v>4</v>
      </c>
      <c r="B16" s="27">
        <f>ROUND(325815,0)</f>
        <v>325815</v>
      </c>
      <c r="C16" s="30">
        <v>7.3833355854890854</v>
      </c>
    </row>
    <row r="17" spans="1:3">
      <c r="A17" s="9">
        <v>5</v>
      </c>
      <c r="B17" s="27">
        <f>ROUND(401635,0)</f>
        <v>401635</v>
      </c>
      <c r="C17" s="30">
        <f>ROUND(2.1,1)</f>
        <v>2.1</v>
      </c>
    </row>
    <row r="18" spans="1:3">
      <c r="A18" s="9">
        <v>6</v>
      </c>
      <c r="B18" s="27">
        <f>ROUND(583819,0)</f>
        <v>583819</v>
      </c>
      <c r="C18" s="30">
        <f>ROUND(6.8,1)</f>
        <v>6.8</v>
      </c>
    </row>
    <row r="19" spans="1:3">
      <c r="A19" s="9">
        <v>7</v>
      </c>
      <c r="B19" s="27">
        <f>ROUND(672492,0)</f>
        <v>672492</v>
      </c>
      <c r="C19" s="30">
        <f>ROUND(4.4,1)</f>
        <v>4.4000000000000004</v>
      </c>
    </row>
    <row r="20" spans="1:3">
      <c r="A20" s="31">
        <v>8</v>
      </c>
      <c r="B20" s="27">
        <f>ROUND(745911,0)</f>
        <v>745911</v>
      </c>
      <c r="C20" s="32">
        <f>ROUND(4.2,1)</f>
        <v>4.2</v>
      </c>
    </row>
    <row r="21" spans="1:3">
      <c r="A21" s="31">
        <v>9</v>
      </c>
      <c r="B21" s="27">
        <f>ROUND(869421,0)</f>
        <v>869421</v>
      </c>
      <c r="C21" s="32">
        <f>ROUND(9.22031343236707,1)</f>
        <v>9.1999999999999993</v>
      </c>
    </row>
    <row r="22" spans="1:3">
      <c r="A22" s="15">
        <v>10</v>
      </c>
      <c r="B22" s="40">
        <f>ROUND(1196191,0)</f>
        <v>1196191</v>
      </c>
      <c r="C22" s="17">
        <f>ROUND(36.8,1)</f>
        <v>36.799999999999997</v>
      </c>
    </row>
    <row r="23" spans="1:3">
      <c r="A23" s="15">
        <v>11</v>
      </c>
      <c r="B23" s="40">
        <f>ROUND(1260850,0)</f>
        <v>1260850</v>
      </c>
      <c r="C23" s="34">
        <f>ROUND(32.3884093336007,1)</f>
        <v>32.4</v>
      </c>
    </row>
    <row r="24" spans="1:3">
      <c r="A24" s="15">
        <v>12</v>
      </c>
      <c r="B24" s="40">
        <f>ROUND(1349958,0)</f>
        <v>1349958</v>
      </c>
      <c r="C24" s="34">
        <f>ROUND(21.0263352533788,1)</f>
        <v>21</v>
      </c>
    </row>
    <row r="25" spans="1:3">
      <c r="A25" s="15">
        <v>2018</v>
      </c>
      <c r="B25" s="16"/>
      <c r="C25" s="17"/>
    </row>
    <row r="26" spans="1:3">
      <c r="A26" s="15">
        <v>1</v>
      </c>
      <c r="B26" s="16">
        <f>ROUND(131471,0)</f>
        <v>131471</v>
      </c>
      <c r="C26" s="34">
        <f>ROUND(33.4500644558807,1)</f>
        <v>33.5</v>
      </c>
    </row>
    <row r="27" spans="1:3">
      <c r="A27" s="15">
        <v>2</v>
      </c>
      <c r="B27" s="16">
        <f>ROUND(222479,0)</f>
        <v>222479</v>
      </c>
      <c r="C27" s="34">
        <f>ROUND(31.7496224794955,1)</f>
        <v>31.7</v>
      </c>
    </row>
    <row r="28" spans="1:3">
      <c r="A28" s="15">
        <v>3</v>
      </c>
      <c r="B28" s="16">
        <f>ROUND(302572,0)</f>
        <v>302572</v>
      </c>
      <c r="C28" s="34">
        <f>ROUND(21.9350210766416,1)</f>
        <v>21.9</v>
      </c>
    </row>
    <row r="29" spans="1:3">
      <c r="A29" s="15">
        <v>4</v>
      </c>
      <c r="B29" s="41">
        <f>ROUND(403634,0)</f>
        <v>403634</v>
      </c>
      <c r="C29" s="21">
        <f>ROUND(23.9,1)</f>
        <v>23.9</v>
      </c>
    </row>
    <row r="30" spans="1:3">
      <c r="A30" s="15">
        <v>5</v>
      </c>
      <c r="B30" s="41">
        <v>499011</v>
      </c>
      <c r="C30" s="21">
        <v>24.244898975437899</v>
      </c>
    </row>
    <row r="31" spans="1:3">
      <c r="A31" s="22">
        <v>6</v>
      </c>
      <c r="B31" s="42">
        <v>647923</v>
      </c>
      <c r="C31" s="24">
        <v>11</v>
      </c>
    </row>
  </sheetData>
  <mergeCells count="3">
    <mergeCell ref="A1:C1"/>
    <mergeCell ref="B3:C3"/>
    <mergeCell ref="A3:A4"/>
  </mergeCells>
  <phoneticPr fontId="10" type="noConversion"/>
  <printOptions horizontalCentered="1"/>
  <pageMargins left="0.75" right="0.75" top="0.98" bottom="0.98" header="0.51" footer="0.51"/>
  <pageSetup paperSize="9" orientation="portrait" verticalDpi="0"/>
  <headerFooter scaleWithDoc="0" alignWithMargins="0"/>
</worksheet>
</file>

<file path=xl/worksheets/sheet67.xml><?xml version="1.0" encoding="utf-8"?>
<worksheet xmlns="http://schemas.openxmlformats.org/spreadsheetml/2006/main" xmlns:r="http://schemas.openxmlformats.org/officeDocument/2006/relationships">
  <sheetPr enableFormatConditionsCalculation="0">
    <tabColor theme="5"/>
  </sheetPr>
  <dimension ref="A1:C30"/>
  <sheetViews>
    <sheetView workbookViewId="0">
      <selection activeCell="F12" sqref="F12"/>
    </sheetView>
  </sheetViews>
  <sheetFormatPr defaultColWidth="9" defaultRowHeight="14.25"/>
  <cols>
    <col min="1" max="1" width="14.375" customWidth="1"/>
    <col min="2" max="2" width="26.875" customWidth="1"/>
    <col min="3" max="3" width="18.875" customWidth="1"/>
  </cols>
  <sheetData>
    <row r="1" spans="1:3">
      <c r="A1" s="738" t="s">
        <v>618</v>
      </c>
      <c r="B1" s="738"/>
      <c r="C1" s="738"/>
    </row>
    <row r="2" spans="1:3" ht="22.5">
      <c r="A2" s="25"/>
      <c r="B2" s="25"/>
      <c r="C2" s="26" t="s">
        <v>619</v>
      </c>
    </row>
    <row r="3" spans="1:3" ht="32.1" customHeight="1">
      <c r="A3" s="738" t="s">
        <v>583</v>
      </c>
      <c r="B3" s="738" t="s">
        <v>609</v>
      </c>
      <c r="C3" s="738"/>
    </row>
    <row r="4" spans="1:3" ht="32.1" customHeight="1">
      <c r="A4" s="738"/>
      <c r="B4" s="7" t="s">
        <v>584</v>
      </c>
      <c r="C4" s="8" t="s">
        <v>585</v>
      </c>
    </row>
    <row r="5" spans="1:3" ht="18" customHeight="1">
      <c r="A5" s="9">
        <v>2016</v>
      </c>
      <c r="B5" s="27"/>
      <c r="C5" s="11"/>
    </row>
    <row r="6" spans="1:3" ht="18" customHeight="1">
      <c r="A6" s="9">
        <v>6</v>
      </c>
      <c r="B6" s="28">
        <f>ROUND(38.78,2)</f>
        <v>38.78</v>
      </c>
      <c r="C6" s="11">
        <f>ROUND(31.4,1)</f>
        <v>31.4</v>
      </c>
    </row>
    <row r="7" spans="1:3">
      <c r="A7" s="9">
        <v>7</v>
      </c>
      <c r="B7" s="28">
        <f>ROUND(49.38,2)</f>
        <v>49.38</v>
      </c>
      <c r="C7" s="11">
        <f>ROUND(44.3,1)</f>
        <v>44.3</v>
      </c>
    </row>
    <row r="8" spans="1:3">
      <c r="A8" s="9">
        <v>8</v>
      </c>
      <c r="B8" s="28">
        <f>ROUND(56,2)</f>
        <v>56</v>
      </c>
      <c r="C8" s="11">
        <f>ROUND(41.9,1)</f>
        <v>41.9</v>
      </c>
    </row>
    <row r="9" spans="1:3">
      <c r="A9" s="9">
        <v>9</v>
      </c>
      <c r="B9" s="28">
        <f>ROUND(64.1,2)</f>
        <v>64.099999999999994</v>
      </c>
      <c r="C9" s="29">
        <f>ROUND(44.1,1)</f>
        <v>44.1</v>
      </c>
    </row>
    <row r="10" spans="1:3">
      <c r="A10" s="9">
        <v>10</v>
      </c>
      <c r="B10" s="28">
        <f>ROUND(72.32,2)</f>
        <v>72.319999999999993</v>
      </c>
      <c r="C10" s="29">
        <f>ROUND(47.3,1)</f>
        <v>47.3</v>
      </c>
    </row>
    <row r="11" spans="1:3">
      <c r="A11" s="9">
        <v>11</v>
      </c>
      <c r="B11" s="28">
        <f>ROUND(80.75,2)</f>
        <v>80.75</v>
      </c>
      <c r="C11" s="30">
        <f>ROUND(52,1)</f>
        <v>52</v>
      </c>
    </row>
    <row r="12" spans="1:3">
      <c r="A12" s="9">
        <v>12</v>
      </c>
      <c r="B12" s="28">
        <f>ROUND(89.4,2)</f>
        <v>89.4</v>
      </c>
      <c r="C12" s="30">
        <f>ROUND(52.9,1)</f>
        <v>52.9</v>
      </c>
    </row>
    <row r="13" spans="1:3">
      <c r="A13" s="9">
        <v>2017</v>
      </c>
      <c r="B13" s="28"/>
      <c r="C13" s="30"/>
    </row>
    <row r="14" spans="1:3">
      <c r="A14" s="9">
        <v>2</v>
      </c>
      <c r="B14" s="28">
        <f>ROUND(19.95,2)</f>
        <v>19.95</v>
      </c>
      <c r="C14" s="30">
        <f>ROUND(49.7,1)</f>
        <v>49.7</v>
      </c>
    </row>
    <row r="15" spans="1:3">
      <c r="A15" s="9">
        <v>3</v>
      </c>
      <c r="B15" s="28">
        <f>ROUND(25.02,2)</f>
        <v>25.02</v>
      </c>
      <c r="C15" s="30">
        <f>ROUND(66.7,1)</f>
        <v>66.7</v>
      </c>
    </row>
    <row r="16" spans="1:3">
      <c r="A16" s="9">
        <v>4</v>
      </c>
      <c r="B16" s="28">
        <f>ROUND(34.86,2)</f>
        <v>34.86</v>
      </c>
      <c r="C16" s="30">
        <f>ROUND(55.8,1)</f>
        <v>55.8</v>
      </c>
    </row>
    <row r="17" spans="1:3">
      <c r="A17" s="9">
        <v>5</v>
      </c>
      <c r="B17" s="28">
        <f>ROUND(44.18,2)</f>
        <v>44.18</v>
      </c>
      <c r="C17" s="30">
        <f>ROUND(47.1,1)</f>
        <v>47.1</v>
      </c>
    </row>
    <row r="18" spans="1:3">
      <c r="A18" s="9">
        <v>6</v>
      </c>
      <c r="B18" s="28">
        <f>ROUND(54.94,2)</f>
        <v>54.94</v>
      </c>
      <c r="C18" s="30">
        <f>ROUND(41.7,1)</f>
        <v>41.7</v>
      </c>
    </row>
    <row r="19" spans="1:3">
      <c r="A19" s="9">
        <v>7</v>
      </c>
      <c r="B19" s="28">
        <f>ROUND(64.67,2)</f>
        <v>64.67</v>
      </c>
      <c r="C19" s="30">
        <f>ROUND(35.8,1)</f>
        <v>35.799999999999997</v>
      </c>
    </row>
    <row r="20" spans="1:3">
      <c r="A20" s="31">
        <v>8</v>
      </c>
      <c r="B20" s="28">
        <f>ROUND(75.46,2)</f>
        <v>75.459999999999994</v>
      </c>
      <c r="C20" s="32">
        <f>ROUND(34.8,1)</f>
        <v>34.799999999999997</v>
      </c>
    </row>
    <row r="21" spans="1:3">
      <c r="A21" s="31">
        <v>9</v>
      </c>
      <c r="B21" s="28">
        <f>ROUND(85.67,2)</f>
        <v>85.67</v>
      </c>
      <c r="C21" s="32">
        <f>ROUND(33.7,1)</f>
        <v>33.700000000000003</v>
      </c>
    </row>
    <row r="22" spans="1:3">
      <c r="A22" s="15">
        <v>10</v>
      </c>
      <c r="B22" s="33">
        <f>ROUND(93.88,2)</f>
        <v>93.88</v>
      </c>
      <c r="C22" s="17">
        <f>ROUND(29.8,1)</f>
        <v>29.8</v>
      </c>
    </row>
    <row r="23" spans="1:3">
      <c r="A23" s="15">
        <v>11</v>
      </c>
      <c r="B23" s="33">
        <f>ROUND(102.83,2)</f>
        <v>102.83</v>
      </c>
      <c r="C23" s="34">
        <f>ROUND(27.4,1)</f>
        <v>27.4</v>
      </c>
    </row>
    <row r="24" spans="1:3">
      <c r="A24" s="15">
        <v>12</v>
      </c>
      <c r="B24" s="33">
        <f>ROUND(112.45,2)</f>
        <v>112.45</v>
      </c>
      <c r="C24" s="34">
        <f>ROUND(25.8,1)</f>
        <v>25.8</v>
      </c>
    </row>
    <row r="25" spans="1:3">
      <c r="A25" s="15">
        <v>2018</v>
      </c>
      <c r="B25" s="35"/>
      <c r="C25" s="17"/>
    </row>
    <row r="26" spans="1:3">
      <c r="A26" s="15">
        <v>2</v>
      </c>
      <c r="B26" s="35">
        <f>ROUND(17.26707351,2)</f>
        <v>17.27</v>
      </c>
      <c r="C26" s="34">
        <f>ROUND(6.31,1)</f>
        <v>6.3</v>
      </c>
    </row>
    <row r="27" spans="1:3">
      <c r="A27" s="15">
        <v>3</v>
      </c>
      <c r="B27" s="35">
        <f>ROUND(26.96,2)</f>
        <v>26.96</v>
      </c>
      <c r="C27" s="34">
        <f>ROUND(6.1,1)</f>
        <v>6.1</v>
      </c>
    </row>
    <row r="28" spans="1:3">
      <c r="A28" s="15">
        <v>4</v>
      </c>
      <c r="B28" s="28">
        <f>ROUND(374489.7976/10000,2)</f>
        <v>37.450000000000003</v>
      </c>
      <c r="C28" s="36">
        <f>ROUND(5.86,1)</f>
        <v>5.9</v>
      </c>
    </row>
    <row r="29" spans="1:3">
      <c r="A29" s="15">
        <v>5</v>
      </c>
      <c r="B29" s="28">
        <v>48.08</v>
      </c>
      <c r="C29" s="36">
        <v>9.1</v>
      </c>
    </row>
    <row r="30" spans="1:3">
      <c r="A30" s="22">
        <v>6</v>
      </c>
      <c r="B30" s="37">
        <v>58.99</v>
      </c>
      <c r="C30" s="38">
        <v>8.9</v>
      </c>
    </row>
  </sheetData>
  <mergeCells count="3">
    <mergeCell ref="A1:C1"/>
    <mergeCell ref="B3:C3"/>
    <mergeCell ref="A3:A4"/>
  </mergeCells>
  <phoneticPr fontId="10" type="noConversion"/>
  <printOptions horizontalCentered="1"/>
  <pageMargins left="0.75" right="0.75" top="0.98" bottom="0.98" header="0.51" footer="0.51"/>
  <pageSetup paperSize="9" orientation="portrait" verticalDpi="0" r:id="rId1"/>
  <headerFooter scaleWithDoc="0" alignWithMargins="0"/>
</worksheet>
</file>

<file path=xl/worksheets/sheet68.xml><?xml version="1.0" encoding="utf-8"?>
<worksheet xmlns="http://schemas.openxmlformats.org/spreadsheetml/2006/main" xmlns:r="http://schemas.openxmlformats.org/officeDocument/2006/relationships">
  <sheetPr enableFormatConditionsCalculation="0">
    <tabColor theme="5"/>
  </sheetPr>
  <dimension ref="A1:IV31"/>
  <sheetViews>
    <sheetView topLeftCell="A10" workbookViewId="0">
      <selection activeCell="J41" sqref="J41"/>
    </sheetView>
  </sheetViews>
  <sheetFormatPr defaultRowHeight="12.75"/>
  <cols>
    <col min="1" max="1" width="14.125" style="2" customWidth="1"/>
    <col min="2" max="2" width="21.375" style="2" customWidth="1"/>
    <col min="3" max="3" width="17.375" style="2" customWidth="1"/>
    <col min="4" max="16384" width="9" style="2"/>
  </cols>
  <sheetData>
    <row r="1" spans="1:256" ht="24" customHeight="1">
      <c r="A1" s="727" t="s">
        <v>28</v>
      </c>
      <c r="B1" s="727"/>
      <c r="C1" s="727"/>
    </row>
    <row r="2" spans="1:256" ht="24" customHeight="1">
      <c r="A2" s="4"/>
      <c r="B2" s="5"/>
      <c r="C2" s="6" t="s">
        <v>620</v>
      </c>
    </row>
    <row r="3" spans="1:256" s="1" customFormat="1" ht="32.25" customHeight="1">
      <c r="A3" s="738" t="s">
        <v>583</v>
      </c>
      <c r="B3" s="738" t="s">
        <v>28</v>
      </c>
      <c r="C3" s="738"/>
    </row>
    <row r="4" spans="1:256" s="1" customFormat="1" ht="32.25" customHeight="1">
      <c r="A4" s="738">
        <v>2009</v>
      </c>
      <c r="B4" s="7" t="s">
        <v>621</v>
      </c>
      <c r="C4" s="8" t="s">
        <v>622</v>
      </c>
    </row>
    <row r="5" spans="1:256" s="1" customFormat="1" ht="20.100000000000001" customHeight="1">
      <c r="A5" s="9">
        <v>2016</v>
      </c>
      <c r="B5" s="10"/>
      <c r="C5" s="11"/>
    </row>
    <row r="6" spans="1:256" s="1" customFormat="1" ht="20.100000000000001" customHeight="1">
      <c r="A6" s="9">
        <v>6</v>
      </c>
      <c r="B6" s="10">
        <f>ROUND(102.3,1)</f>
        <v>102.3</v>
      </c>
      <c r="C6" s="11">
        <f>ROUND(102.7,1)</f>
        <v>102.7</v>
      </c>
    </row>
    <row r="7" spans="1:256" s="1" customFormat="1" ht="20.100000000000001" customHeight="1">
      <c r="A7" s="9">
        <v>7</v>
      </c>
      <c r="B7" s="10">
        <f>ROUND(102.1,1)</f>
        <v>102.1</v>
      </c>
      <c r="C7" s="11">
        <f>ROUND(102.6,1)</f>
        <v>102.6</v>
      </c>
    </row>
    <row r="8" spans="1:256" s="1" customFormat="1" ht="20.100000000000001" customHeight="1">
      <c r="A8" s="9">
        <v>8</v>
      </c>
      <c r="B8" s="10">
        <f>ROUND(101.4,1)</f>
        <v>101.4</v>
      </c>
      <c r="C8" s="11">
        <f>ROUND(102.5,1)</f>
        <v>102.5</v>
      </c>
    </row>
    <row r="9" spans="1:256" s="1" customFormat="1" ht="14.45" customHeight="1">
      <c r="A9" s="9">
        <v>9</v>
      </c>
      <c r="B9" s="10">
        <f>ROUND(101.82067344,1)</f>
        <v>101.8</v>
      </c>
      <c r="C9" s="11">
        <f>ROUND(102.40761463,1)</f>
        <v>102.4</v>
      </c>
    </row>
    <row r="10" spans="1:256" s="1" customFormat="1" ht="14.45" customHeight="1">
      <c r="A10" s="9">
        <v>10</v>
      </c>
      <c r="B10" s="10">
        <f>ROUND(101.32746357,1)</f>
        <v>101.3</v>
      </c>
      <c r="C10" s="11">
        <f>ROUND(102.29864677,1)</f>
        <v>102.3</v>
      </c>
    </row>
    <row r="11" spans="1:256" s="1" customFormat="1" ht="14.45" customHeight="1">
      <c r="A11" s="9">
        <v>11</v>
      </c>
      <c r="B11" s="10">
        <f>ROUND(102.2,1)</f>
        <v>102.2</v>
      </c>
      <c r="C11" s="11">
        <f>ROUND(102.29864677,1)</f>
        <v>102.3</v>
      </c>
    </row>
    <row r="12" spans="1:256" ht="14.25">
      <c r="A12" s="12">
        <v>12</v>
      </c>
      <c r="B12" s="10">
        <f>ROUND(101.4,1)</f>
        <v>101.4</v>
      </c>
      <c r="C12" s="11">
        <f>ROUND(102.2,1)</f>
        <v>102.2</v>
      </c>
    </row>
    <row r="13" spans="1:256" ht="15">
      <c r="A13" s="12">
        <v>2017</v>
      </c>
      <c r="B13" s="10"/>
      <c r="C13" s="11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</row>
    <row r="14" spans="1:256" ht="15">
      <c r="A14" s="12">
        <v>2</v>
      </c>
      <c r="B14" s="10">
        <f>ROUND(99.8,1)</f>
        <v>99.8</v>
      </c>
      <c r="C14" s="11">
        <f>ROUND(101.1,1)</f>
        <v>101.1</v>
      </c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</row>
    <row r="15" spans="1:256" ht="15">
      <c r="A15" s="12">
        <v>3</v>
      </c>
      <c r="B15" s="10">
        <f>ROUND(100.57911031,1)</f>
        <v>100.6</v>
      </c>
      <c r="C15" s="11">
        <f>ROUND(100.95612843,1)</f>
        <v>101</v>
      </c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</row>
    <row r="16" spans="1:256" ht="15">
      <c r="A16" s="12">
        <v>4</v>
      </c>
      <c r="B16" s="10">
        <f>ROUND(101,1)</f>
        <v>101</v>
      </c>
      <c r="C16" s="11">
        <f>ROUND(100.95612843,1)</f>
        <v>101</v>
      </c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</row>
    <row r="17" spans="1:256" ht="15">
      <c r="A17" s="12">
        <v>5</v>
      </c>
      <c r="B17" s="10">
        <f>ROUND(101.5,1)</f>
        <v>101.5</v>
      </c>
      <c r="C17" s="11">
        <f>ROUND(101.1,1)</f>
        <v>101.1</v>
      </c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</row>
    <row r="18" spans="1:256" ht="15">
      <c r="A18" s="12">
        <v>6</v>
      </c>
      <c r="B18" s="10">
        <f>ROUND(101.1,1)</f>
        <v>101.1</v>
      </c>
      <c r="C18" s="11">
        <f>ROUND(101.1,1)</f>
        <v>101.1</v>
      </c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</row>
    <row r="19" spans="1:256" ht="15">
      <c r="A19" s="12">
        <v>7</v>
      </c>
      <c r="B19" s="10">
        <f>ROUND(101.62395255,1)</f>
        <v>101.6</v>
      </c>
      <c r="C19" s="11">
        <f>ROUND(101.16440126,1)</f>
        <v>101.2</v>
      </c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</row>
    <row r="20" spans="1:256" ht="15">
      <c r="A20" s="13">
        <v>8</v>
      </c>
      <c r="B20" s="10">
        <f>ROUND(101.91687646,1)</f>
        <v>101.9</v>
      </c>
      <c r="C20" s="14">
        <f>ROUND(101.25801138,1)</f>
        <v>101.3</v>
      </c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  <c r="IV20"/>
    </row>
    <row r="21" spans="1:256" ht="14.25">
      <c r="A21" s="12">
        <v>9</v>
      </c>
      <c r="B21" s="10">
        <f>ROUND(101.03765598,1)</f>
        <v>101</v>
      </c>
      <c r="C21" s="14">
        <f>ROUND(101.23346012,1)</f>
        <v>101.2</v>
      </c>
    </row>
    <row r="22" spans="1:256" ht="14.25">
      <c r="A22" s="12">
        <v>10</v>
      </c>
      <c r="B22" s="10">
        <f>ROUND(101.8,1)</f>
        <v>101.8</v>
      </c>
      <c r="C22" s="14">
        <f>ROUND(101.3,1)</f>
        <v>101.3</v>
      </c>
    </row>
    <row r="23" spans="1:256" ht="14.25">
      <c r="A23" s="12">
        <v>11</v>
      </c>
      <c r="B23" s="10">
        <f>ROUND(101.32934401,1)</f>
        <v>101.3</v>
      </c>
      <c r="C23" s="14">
        <f>ROUND(101.29138171,1)</f>
        <v>101.3</v>
      </c>
    </row>
    <row r="24" spans="1:256" ht="14.25">
      <c r="A24" s="12">
        <v>12</v>
      </c>
      <c r="B24" s="10">
        <f>ROUND(101.93633331,1)</f>
        <v>101.9</v>
      </c>
      <c r="C24" s="14">
        <f>ROUND(101.34501843,1)</f>
        <v>101.3</v>
      </c>
    </row>
    <row r="25" spans="1:256" ht="15">
      <c r="A25" s="15">
        <v>2018</v>
      </c>
      <c r="B25" s="16"/>
      <c r="C25" s="17"/>
    </row>
    <row r="26" spans="1:256" ht="15">
      <c r="A26" s="15">
        <v>1</v>
      </c>
      <c r="B26" s="10">
        <f>ROUND(100.4833835,1)</f>
        <v>100.5</v>
      </c>
      <c r="C26" s="14">
        <f>ROUND(100.4833835,1)</f>
        <v>100.5</v>
      </c>
    </row>
    <row r="27" spans="1:256" ht="15">
      <c r="A27" s="15">
        <v>2</v>
      </c>
      <c r="B27" s="18">
        <f>ROUND(102.58323309,1)</f>
        <v>102.6</v>
      </c>
      <c r="C27" s="19">
        <f>ROUND(101.53370061,1)</f>
        <v>101.5</v>
      </c>
    </row>
    <row r="28" spans="1:256" ht="15">
      <c r="A28" s="15">
        <v>3</v>
      </c>
      <c r="B28" s="10">
        <f>ROUND(101.8,1)</f>
        <v>101.8</v>
      </c>
      <c r="C28" s="19">
        <f>ROUND(101.6,1)</f>
        <v>101.6</v>
      </c>
    </row>
    <row r="29" spans="1:256" ht="15">
      <c r="A29" s="15">
        <v>4</v>
      </c>
      <c r="B29" s="20">
        <f>ROUND(101,1)</f>
        <v>101</v>
      </c>
      <c r="C29" s="21">
        <f>ROUND(101.45789835,1)</f>
        <v>101.5</v>
      </c>
    </row>
    <row r="30" spans="1:256" customFormat="1" ht="14.25">
      <c r="A30" s="15">
        <v>5</v>
      </c>
      <c r="B30" s="20">
        <v>100.63043043</v>
      </c>
      <c r="C30" s="21">
        <v>101.29245659</v>
      </c>
    </row>
    <row r="31" spans="1:256" ht="15">
      <c r="A31" s="22">
        <v>6</v>
      </c>
      <c r="B31" s="23">
        <v>101.2</v>
      </c>
      <c r="C31" s="24">
        <v>101.27416779000001</v>
      </c>
    </row>
  </sheetData>
  <mergeCells count="3">
    <mergeCell ref="A1:C1"/>
    <mergeCell ref="B3:C3"/>
    <mergeCell ref="A3:A4"/>
  </mergeCells>
  <phoneticPr fontId="10" type="noConversion"/>
  <pageMargins left="0.75" right="0.75" top="1" bottom="1" header="0.5" footer="0.5"/>
  <pageSetup paperSize="9" orientation="portrait" verticalDpi="0"/>
  <headerFooter scaleWithDoc="0"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 enableFormatConditionsCalculation="0">
    <tabColor theme="4"/>
  </sheetPr>
  <dimension ref="A1:I30"/>
  <sheetViews>
    <sheetView zoomScale="80" workbookViewId="0">
      <selection activeCell="I19" sqref="I19"/>
    </sheetView>
  </sheetViews>
  <sheetFormatPr defaultColWidth="9" defaultRowHeight="14.25"/>
  <cols>
    <col min="1" max="1" width="27.875" customWidth="1"/>
    <col min="2" max="2" width="17.375" customWidth="1"/>
    <col min="3" max="3" width="15" customWidth="1"/>
    <col min="4" max="5" width="10.625" hidden="1" customWidth="1"/>
    <col min="6" max="6" width="1.125" hidden="1" customWidth="1"/>
    <col min="7" max="7" width="10.625" hidden="1" customWidth="1"/>
    <col min="8" max="8" width="12.625" bestFit="1" customWidth="1"/>
    <col min="9" max="9" width="11.625" bestFit="1" customWidth="1"/>
    <col min="10" max="11" width="12.625" bestFit="1" customWidth="1"/>
    <col min="14" max="14" width="12.625" bestFit="1" customWidth="1"/>
  </cols>
  <sheetData>
    <row r="1" spans="1:9" ht="30" customHeight="1">
      <c r="A1" s="726" t="s">
        <v>46</v>
      </c>
      <c r="B1" s="726"/>
      <c r="C1" s="726"/>
      <c r="D1" s="726"/>
      <c r="E1" s="727"/>
      <c r="F1" s="727"/>
      <c r="G1" s="727"/>
    </row>
    <row r="2" spans="1:9" ht="18" customHeight="1">
      <c r="A2" s="621"/>
      <c r="B2" s="621"/>
      <c r="C2" s="622" t="s">
        <v>47</v>
      </c>
      <c r="D2" s="621"/>
      <c r="E2" s="623"/>
      <c r="F2" s="623"/>
      <c r="G2" s="623"/>
    </row>
    <row r="3" spans="1:9" ht="30" customHeight="1">
      <c r="A3" s="624" t="s">
        <v>48</v>
      </c>
      <c r="B3" s="715" t="s">
        <v>49</v>
      </c>
      <c r="C3" s="366" t="s">
        <v>6</v>
      </c>
      <c r="D3" s="625"/>
      <c r="E3" s="109"/>
      <c r="F3" s="109"/>
      <c r="G3" s="109"/>
    </row>
    <row r="4" spans="1:9" ht="30" customHeight="1">
      <c r="A4" s="303" t="s">
        <v>50</v>
      </c>
      <c r="B4" s="626">
        <v>2231.7800000000002</v>
      </c>
      <c r="C4" s="627">
        <v>4.0999999999999996</v>
      </c>
      <c r="D4" s="628"/>
      <c r="H4" s="99"/>
      <c r="I4" s="99"/>
    </row>
    <row r="5" spans="1:9" ht="30" customHeight="1">
      <c r="A5" s="303" t="s">
        <v>51</v>
      </c>
      <c r="B5" s="629">
        <v>372.62</v>
      </c>
      <c r="C5" s="630">
        <v>4.7</v>
      </c>
      <c r="D5" s="628"/>
      <c r="H5" s="99"/>
      <c r="I5" s="99"/>
    </row>
    <row r="6" spans="1:9" ht="30" customHeight="1">
      <c r="A6" s="303" t="s">
        <v>52</v>
      </c>
      <c r="B6" s="629">
        <v>724.07</v>
      </c>
      <c r="C6" s="630">
        <v>-1.2</v>
      </c>
      <c r="D6" s="628"/>
      <c r="H6" s="99"/>
      <c r="I6" s="99"/>
    </row>
    <row r="7" spans="1:9" ht="30" customHeight="1">
      <c r="A7" s="303" t="s">
        <v>53</v>
      </c>
      <c r="B7" s="631">
        <v>86.79</v>
      </c>
      <c r="C7" s="632">
        <v>4.5999999999999996</v>
      </c>
      <c r="D7" s="628"/>
      <c r="H7" s="99"/>
      <c r="I7" s="99"/>
    </row>
    <row r="8" spans="1:9" ht="30" customHeight="1">
      <c r="A8" s="303" t="s">
        <v>54</v>
      </c>
      <c r="B8" s="633">
        <v>1135.0899999999999</v>
      </c>
      <c r="C8" s="634">
        <v>7.9</v>
      </c>
      <c r="D8" s="628"/>
      <c r="H8" s="99"/>
      <c r="I8" s="99"/>
    </row>
    <row r="9" spans="1:9" ht="30" customHeight="1">
      <c r="A9" s="303" t="s">
        <v>55</v>
      </c>
      <c r="B9" s="635">
        <v>126.7</v>
      </c>
      <c r="C9" s="636">
        <v>9.9</v>
      </c>
      <c r="D9" s="628"/>
      <c r="I9" s="655"/>
    </row>
    <row r="10" spans="1:9" ht="30" customHeight="1">
      <c r="A10" s="303" t="s">
        <v>56</v>
      </c>
      <c r="B10" s="637">
        <v>197.27</v>
      </c>
      <c r="C10" s="638">
        <v>3.1</v>
      </c>
      <c r="D10" s="628"/>
      <c r="I10" s="655"/>
    </row>
    <row r="11" spans="1:9" ht="30" customHeight="1">
      <c r="A11" s="303" t="s">
        <v>57</v>
      </c>
      <c r="B11" s="639">
        <v>36.92</v>
      </c>
      <c r="C11" s="640">
        <v>2.2999999999999998</v>
      </c>
      <c r="D11" s="628"/>
      <c r="I11" s="655"/>
    </row>
    <row r="12" spans="1:9" ht="30" customHeight="1">
      <c r="A12" s="303" t="s">
        <v>58</v>
      </c>
      <c r="B12" s="641">
        <v>88.31</v>
      </c>
      <c r="C12" s="642">
        <v>8.8000000000000007</v>
      </c>
      <c r="D12" s="628"/>
      <c r="I12" s="655"/>
    </row>
    <row r="13" spans="1:9" ht="30" customHeight="1">
      <c r="A13" s="303" t="s">
        <v>59</v>
      </c>
      <c r="B13" s="643">
        <v>163.36000000000001</v>
      </c>
      <c r="C13" s="644">
        <v>5.4</v>
      </c>
      <c r="D13" s="628"/>
      <c r="I13" s="655"/>
    </row>
    <row r="14" spans="1:9" ht="30" customHeight="1">
      <c r="A14" s="303" t="s">
        <v>60</v>
      </c>
      <c r="B14" s="645">
        <v>133.87</v>
      </c>
      <c r="C14" s="646">
        <v>12.5</v>
      </c>
      <c r="D14" s="628"/>
      <c r="I14" s="655"/>
    </row>
    <row r="15" spans="1:9" ht="30" customHeight="1">
      <c r="A15" s="647" t="s">
        <v>61</v>
      </c>
      <c r="B15" s="648">
        <v>373.3</v>
      </c>
      <c r="C15" s="649">
        <v>10.1</v>
      </c>
      <c r="D15" s="628"/>
      <c r="I15" s="655"/>
    </row>
    <row r="16" spans="1:9" ht="30" customHeight="1">
      <c r="A16" s="398" t="s">
        <v>62</v>
      </c>
      <c r="B16" s="650">
        <v>382.26</v>
      </c>
      <c r="C16" s="651">
        <v>4.8</v>
      </c>
      <c r="D16" s="628"/>
      <c r="I16" s="655" t="s">
        <v>63</v>
      </c>
    </row>
    <row r="17" spans="1:9" ht="30" customHeight="1">
      <c r="A17" s="303" t="s">
        <v>64</v>
      </c>
      <c r="B17" s="652">
        <v>643</v>
      </c>
      <c r="C17" s="653">
        <v>-1.7</v>
      </c>
      <c r="D17" s="628"/>
      <c r="I17" s="160"/>
    </row>
    <row r="18" spans="1:9" ht="30" customHeight="1">
      <c r="A18" s="654" t="s">
        <v>65</v>
      </c>
      <c r="B18" s="728" t="s">
        <v>66</v>
      </c>
      <c r="C18" s="729"/>
      <c r="D18" s="628"/>
      <c r="I18" s="655"/>
    </row>
    <row r="19" spans="1:9" ht="21" customHeight="1">
      <c r="A19" s="730" t="s">
        <v>67</v>
      </c>
      <c r="B19" s="731"/>
      <c r="C19" s="43"/>
      <c r="D19" s="628"/>
    </row>
    <row r="20" spans="1:9" ht="24.95" customHeight="1"/>
    <row r="21" spans="1:9" ht="24.95" customHeight="1"/>
    <row r="22" spans="1:9" ht="24.95" customHeight="1"/>
    <row r="23" spans="1:9" ht="24.95" customHeight="1"/>
    <row r="24" spans="1:9" ht="24.95" customHeight="1"/>
    <row r="25" spans="1:9" ht="24.95" customHeight="1"/>
    <row r="26" spans="1:9" ht="24.95" customHeight="1"/>
    <row r="27" spans="1:9" ht="24.95" customHeight="1"/>
    <row r="28" spans="1:9" ht="24.95" customHeight="1"/>
    <row r="29" spans="1:9" ht="24.95" customHeight="1"/>
    <row r="30" spans="1:9" ht="24.95" customHeight="1"/>
  </sheetData>
  <sheetProtection password="DC9E" sheet="1" objects="1" scenarios="1"/>
  <mergeCells count="4">
    <mergeCell ref="A1:D1"/>
    <mergeCell ref="E1:G1"/>
    <mergeCell ref="B18:C18"/>
    <mergeCell ref="A19:B19"/>
  </mergeCells>
  <phoneticPr fontId="10" type="noConversion"/>
  <printOptions horizontalCentered="1"/>
  <pageMargins left="0.75" right="0.75" top="0.98" bottom="0.98" header="0.51" footer="0.51"/>
  <pageSetup paperSize="9" orientation="portrait" blackAndWhite="1" verticalDpi="0"/>
  <headerFooter scaleWithDoc="0"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 enableFormatConditionsCalculation="0">
    <tabColor theme="4"/>
  </sheetPr>
  <dimension ref="A1:H24"/>
  <sheetViews>
    <sheetView zoomScale="75" workbookViewId="0">
      <selection activeCell="K12" sqref="K12"/>
    </sheetView>
  </sheetViews>
  <sheetFormatPr defaultRowHeight="14.25"/>
  <cols>
    <col min="1" max="1" width="33.125" style="610" customWidth="1"/>
    <col min="2" max="2" width="12" style="610" customWidth="1"/>
    <col min="3" max="3" width="16.375" style="610" customWidth="1"/>
    <col min="4" max="4" width="15.75" style="610" customWidth="1"/>
    <col min="5" max="5" width="9" style="610"/>
    <col min="6" max="8" width="9" style="610" hidden="1" customWidth="1"/>
    <col min="9" max="16384" width="9" style="610"/>
  </cols>
  <sheetData>
    <row r="1" spans="1:8" ht="24.95" customHeight="1">
      <c r="A1" s="732" t="s">
        <v>68</v>
      </c>
      <c r="B1" s="732"/>
      <c r="C1" s="732"/>
      <c r="D1" s="732"/>
    </row>
    <row r="2" spans="1:8" ht="16.5" customHeight="1">
      <c r="A2" s="39"/>
      <c r="B2" s="39"/>
      <c r="C2" s="39"/>
      <c r="D2" s="203"/>
      <c r="F2" s="733" t="s">
        <v>69</v>
      </c>
      <c r="G2" s="733"/>
    </row>
    <row r="3" spans="1:8" ht="23.1" customHeight="1">
      <c r="A3" s="611" t="s">
        <v>48</v>
      </c>
      <c r="B3" s="612" t="s">
        <v>2</v>
      </c>
      <c r="C3" s="759" t="s">
        <v>49</v>
      </c>
      <c r="D3" s="613" t="s">
        <v>6</v>
      </c>
      <c r="F3" s="614"/>
      <c r="G3" s="614"/>
    </row>
    <row r="4" spans="1:8" ht="23.1" customHeight="1">
      <c r="A4" s="615" t="s">
        <v>70</v>
      </c>
      <c r="B4" s="436" t="s">
        <v>8</v>
      </c>
      <c r="C4" s="198">
        <v>598.07000000000005</v>
      </c>
      <c r="D4" s="188">
        <v>4.4400000000000004</v>
      </c>
      <c r="F4" s="616"/>
      <c r="G4" s="616"/>
    </row>
    <row r="5" spans="1:8" ht="23.1" customHeight="1">
      <c r="A5" s="615" t="s">
        <v>71</v>
      </c>
      <c r="B5" s="436" t="s">
        <v>8</v>
      </c>
      <c r="C5" s="198">
        <v>317.44</v>
      </c>
      <c r="D5" s="188">
        <v>6.18</v>
      </c>
      <c r="F5" s="616"/>
      <c r="G5" s="616"/>
    </row>
    <row r="6" spans="1:8" ht="23.1" customHeight="1">
      <c r="A6" s="615" t="s">
        <v>72</v>
      </c>
      <c r="B6" s="436" t="s">
        <v>8</v>
      </c>
      <c r="C6" s="198">
        <v>20.93</v>
      </c>
      <c r="D6" s="188">
        <v>7.08</v>
      </c>
      <c r="F6" s="616"/>
      <c r="G6" s="616"/>
    </row>
    <row r="7" spans="1:8" ht="23.1" customHeight="1">
      <c r="A7" s="615" t="s">
        <v>73</v>
      </c>
      <c r="B7" s="436" t="s">
        <v>8</v>
      </c>
      <c r="C7" s="198">
        <v>86.89</v>
      </c>
      <c r="D7" s="188">
        <v>-4.8</v>
      </c>
      <c r="F7" s="616"/>
      <c r="G7" s="616"/>
    </row>
    <row r="8" spans="1:8" ht="23.1" customHeight="1">
      <c r="A8" s="615" t="s">
        <v>74</v>
      </c>
      <c r="B8" s="436" t="s">
        <v>8</v>
      </c>
      <c r="C8" s="198">
        <v>149.46</v>
      </c>
      <c r="D8" s="188">
        <v>5.01</v>
      </c>
      <c r="F8" s="616"/>
      <c r="G8" s="616"/>
    </row>
    <row r="9" spans="1:8" ht="23.1" customHeight="1">
      <c r="A9" s="615" t="s">
        <v>75</v>
      </c>
      <c r="B9" s="436" t="s">
        <v>8</v>
      </c>
      <c r="C9" s="198">
        <v>23.36</v>
      </c>
      <c r="D9" s="188">
        <v>9.4700000000000006</v>
      </c>
      <c r="F9" s="616"/>
      <c r="G9" s="616"/>
    </row>
    <row r="10" spans="1:8" ht="23.1" customHeight="1">
      <c r="A10" s="281" t="s">
        <v>76</v>
      </c>
      <c r="B10" s="436" t="s">
        <v>8</v>
      </c>
      <c r="C10" s="198">
        <v>382.26</v>
      </c>
      <c r="D10" s="188">
        <v>4.79</v>
      </c>
      <c r="F10" s="616" t="str">
        <f>IF(ROUND(C10-C15,2)&lt;&gt;ROUND(分县1!B17/10000,2),"错!!与分县1表数据不一致","")</f>
        <v>错!!与分县1表数据不一致</v>
      </c>
      <c r="G10" s="616"/>
    </row>
    <row r="11" spans="1:8" ht="23.1" customHeight="1">
      <c r="A11" s="615" t="s">
        <v>71</v>
      </c>
      <c r="B11" s="436" t="s">
        <v>8</v>
      </c>
      <c r="C11" s="198">
        <v>217.89</v>
      </c>
      <c r="D11" s="188">
        <v>6.18</v>
      </c>
      <c r="F11" s="616"/>
      <c r="G11" s="616"/>
      <c r="H11" s="617"/>
    </row>
    <row r="12" spans="1:8" ht="23.1" customHeight="1">
      <c r="A12" s="615" t="s">
        <v>72</v>
      </c>
      <c r="B12" s="436" t="s">
        <v>8</v>
      </c>
      <c r="C12" s="198">
        <v>15.55</v>
      </c>
      <c r="D12" s="188">
        <v>7.08</v>
      </c>
      <c r="F12" s="616"/>
      <c r="G12" s="616"/>
    </row>
    <row r="13" spans="1:8" ht="23.1" customHeight="1">
      <c r="A13" s="615" t="s">
        <v>73</v>
      </c>
      <c r="B13" s="436" t="s">
        <v>8</v>
      </c>
      <c r="C13" s="198">
        <v>42.03</v>
      </c>
      <c r="D13" s="188">
        <v>-4.8</v>
      </c>
      <c r="F13" s="616"/>
      <c r="G13" s="616"/>
    </row>
    <row r="14" spans="1:8" ht="23.1" customHeight="1">
      <c r="A14" s="615" t="s">
        <v>74</v>
      </c>
      <c r="B14" s="436" t="s">
        <v>8</v>
      </c>
      <c r="C14" s="198">
        <v>97.15</v>
      </c>
      <c r="D14" s="188">
        <v>5.01</v>
      </c>
      <c r="F14" s="616"/>
      <c r="G14" s="616"/>
    </row>
    <row r="15" spans="1:8" ht="23.1" customHeight="1">
      <c r="A15" s="615" t="s">
        <v>75</v>
      </c>
      <c r="B15" s="436" t="s">
        <v>8</v>
      </c>
      <c r="C15" s="198">
        <v>9.64</v>
      </c>
      <c r="D15" s="188">
        <v>9.4700000000000006</v>
      </c>
      <c r="F15" s="616"/>
      <c r="G15" s="616"/>
    </row>
    <row r="16" spans="1:8" ht="23.1" customHeight="1">
      <c r="A16" s="615" t="s">
        <v>77</v>
      </c>
      <c r="B16" s="615"/>
      <c r="C16" s="204"/>
      <c r="D16" s="618"/>
      <c r="F16" s="614"/>
      <c r="G16" s="614"/>
    </row>
    <row r="17" spans="1:7" ht="23.1" customHeight="1">
      <c r="A17" s="615" t="s">
        <v>78</v>
      </c>
      <c r="B17" s="436" t="s">
        <v>79</v>
      </c>
      <c r="C17" s="198">
        <v>73.900000000000006</v>
      </c>
      <c r="D17" s="188">
        <v>5.3</v>
      </c>
      <c r="F17" s="614"/>
      <c r="G17" s="614"/>
    </row>
    <row r="18" spans="1:7" ht="23.1" customHeight="1">
      <c r="A18" s="615" t="s">
        <v>80</v>
      </c>
      <c r="B18" s="436" t="s">
        <v>79</v>
      </c>
      <c r="C18" s="198">
        <v>56.68</v>
      </c>
      <c r="D18" s="188">
        <v>5</v>
      </c>
      <c r="F18" s="614"/>
      <c r="G18" s="614"/>
    </row>
    <row r="19" spans="1:7" ht="23.1" customHeight="1">
      <c r="A19" s="615" t="s">
        <v>81</v>
      </c>
      <c r="B19" s="436" t="s">
        <v>79</v>
      </c>
      <c r="C19" s="198">
        <v>314.14999999999998</v>
      </c>
      <c r="D19" s="188">
        <v>6.9</v>
      </c>
      <c r="F19" s="614"/>
      <c r="G19" s="614"/>
    </row>
    <row r="20" spans="1:7" ht="23.1" customHeight="1">
      <c r="A20" s="615" t="s">
        <v>82</v>
      </c>
      <c r="B20" s="436" t="s">
        <v>79</v>
      </c>
      <c r="C20" s="198">
        <v>228.05</v>
      </c>
      <c r="D20" s="188">
        <v>6.5</v>
      </c>
      <c r="F20" s="614"/>
      <c r="G20" s="614"/>
    </row>
    <row r="21" spans="1:7" ht="23.1" customHeight="1">
      <c r="A21" s="615" t="s">
        <v>83</v>
      </c>
      <c r="B21" s="436" t="s">
        <v>84</v>
      </c>
      <c r="C21" s="198">
        <v>285.39</v>
      </c>
      <c r="D21" s="188">
        <v>-18.2</v>
      </c>
      <c r="F21" s="614"/>
      <c r="G21" s="614"/>
    </row>
    <row r="22" spans="1:7" ht="23.1" customHeight="1">
      <c r="A22" s="615" t="s">
        <v>85</v>
      </c>
      <c r="B22" s="436" t="s">
        <v>86</v>
      </c>
      <c r="C22" s="198">
        <v>5626.74</v>
      </c>
      <c r="D22" s="188">
        <v>11</v>
      </c>
      <c r="F22" s="614"/>
      <c r="G22" s="614"/>
    </row>
    <row r="23" spans="1:7" ht="23.1" customHeight="1">
      <c r="A23" s="619" t="s">
        <v>87</v>
      </c>
      <c r="B23" s="445" t="s">
        <v>79</v>
      </c>
      <c r="C23" s="199">
        <v>88.3</v>
      </c>
      <c r="D23" s="620">
        <v>5.2</v>
      </c>
      <c r="F23" s="614"/>
      <c r="G23" s="614"/>
    </row>
    <row r="24" spans="1:7" ht="33" customHeight="1">
      <c r="A24" s="758" t="s">
        <v>88</v>
      </c>
      <c r="B24" s="758"/>
      <c r="C24" s="758"/>
      <c r="D24" s="758"/>
    </row>
  </sheetData>
  <sheetProtection password="DC9E" sheet="1" objects="1" scenarios="1"/>
  <mergeCells count="3">
    <mergeCell ref="A1:D1"/>
    <mergeCell ref="F2:G2"/>
    <mergeCell ref="A24:D24"/>
  </mergeCells>
  <phoneticPr fontId="10" type="noConversion"/>
  <printOptions horizontalCentered="1"/>
  <pageMargins left="0.75" right="0.75" top="0.98" bottom="0.98" header="0.51" footer="0.51"/>
  <pageSetup paperSize="9" orientation="portrait" verticalDpi="0"/>
  <headerFooter scaleWithDoc="0"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 enableFormatConditionsCalculation="0">
    <tabColor theme="5"/>
  </sheetPr>
  <dimension ref="A1:IU22"/>
  <sheetViews>
    <sheetView zoomScale="80" workbookViewId="0">
      <selection activeCell="H13" sqref="H13"/>
    </sheetView>
  </sheetViews>
  <sheetFormatPr defaultRowHeight="14.25"/>
  <cols>
    <col min="1" max="1" width="28.625" style="520" customWidth="1"/>
    <col min="2" max="2" width="12" style="520" customWidth="1"/>
    <col min="3" max="3" width="10.625" style="520" customWidth="1"/>
    <col min="4" max="4" width="12.125" style="530" customWidth="1"/>
    <col min="5" max="5" width="11.5" style="520" customWidth="1"/>
    <col min="6" max="6" width="9" style="520"/>
    <col min="7" max="7" width="10.5" style="520" customWidth="1"/>
    <col min="8" max="8" width="9.75" style="520" bestFit="1" customWidth="1"/>
    <col min="9" max="9" width="11.75" style="520" bestFit="1" customWidth="1"/>
    <col min="10" max="255" width="9" style="520"/>
  </cols>
  <sheetData>
    <row r="1" spans="1:9" ht="28.5" customHeight="1">
      <c r="A1" s="734" t="s">
        <v>89</v>
      </c>
      <c r="B1" s="735"/>
      <c r="C1" s="735"/>
      <c r="D1" s="736"/>
      <c r="E1" s="736"/>
    </row>
    <row r="2" spans="1:9" ht="19.5" customHeight="1">
      <c r="A2" s="531"/>
      <c r="B2" s="531"/>
      <c r="C2" s="531"/>
      <c r="D2" s="760" t="s">
        <v>47</v>
      </c>
      <c r="E2" s="761"/>
    </row>
    <row r="3" spans="1:9" ht="35.25" customHeight="1">
      <c r="A3" s="523" t="s">
        <v>48</v>
      </c>
      <c r="B3" s="762" t="s">
        <v>90</v>
      </c>
      <c r="C3" s="763" t="s">
        <v>91</v>
      </c>
      <c r="D3" s="715" t="s">
        <v>49</v>
      </c>
      <c r="E3" s="763" t="s">
        <v>91</v>
      </c>
      <c r="G3" s="534"/>
      <c r="I3" s="534"/>
    </row>
    <row r="4" spans="1:9" ht="24.95" customHeight="1">
      <c r="A4" s="540" t="s">
        <v>92</v>
      </c>
      <c r="B4" s="764">
        <v>221.24019999999999</v>
      </c>
      <c r="C4" s="765">
        <v>6.8</v>
      </c>
      <c r="D4" s="766">
        <v>1674.6179999999999</v>
      </c>
      <c r="E4" s="767">
        <v>-1.9</v>
      </c>
      <c r="G4" s="534"/>
      <c r="I4" s="534"/>
    </row>
    <row r="5" spans="1:9" ht="24.95" customHeight="1">
      <c r="A5" s="604" t="s">
        <v>93</v>
      </c>
      <c r="B5" s="764">
        <v>104.9149</v>
      </c>
      <c r="C5" s="768">
        <v>4.5</v>
      </c>
      <c r="D5" s="766">
        <v>722.39459999999997</v>
      </c>
      <c r="E5" s="767">
        <v>1.7</v>
      </c>
      <c r="G5" s="534"/>
      <c r="I5" s="534"/>
    </row>
    <row r="6" spans="1:9" ht="24.95" customHeight="1">
      <c r="A6" s="604" t="s">
        <v>94</v>
      </c>
      <c r="B6" s="764">
        <v>116.3253</v>
      </c>
      <c r="C6" s="768">
        <v>8.8000000000000007</v>
      </c>
      <c r="D6" s="766">
        <v>952.22349999999994</v>
      </c>
      <c r="E6" s="767">
        <v>-4.5</v>
      </c>
      <c r="G6" s="534"/>
      <c r="I6" s="534"/>
    </row>
    <row r="7" spans="1:9" ht="24.95" customHeight="1">
      <c r="A7" s="540" t="s">
        <v>95</v>
      </c>
      <c r="B7" s="764">
        <v>2.7959999999999998</v>
      </c>
      <c r="C7" s="765">
        <v>-8.1</v>
      </c>
      <c r="D7" s="766">
        <v>21.784300000000002</v>
      </c>
      <c r="E7" s="767">
        <v>-11</v>
      </c>
      <c r="G7" s="534"/>
      <c r="I7" s="534"/>
    </row>
    <row r="8" spans="1:9" ht="24.95" customHeight="1">
      <c r="A8" s="540" t="s">
        <v>96</v>
      </c>
      <c r="B8" s="764">
        <v>2.5899999999999999E-2</v>
      </c>
      <c r="C8" s="765">
        <v>-38.5</v>
      </c>
      <c r="D8" s="766">
        <v>0.24049999999999999</v>
      </c>
      <c r="E8" s="767">
        <v>-52.6</v>
      </c>
      <c r="F8" s="542"/>
      <c r="G8" s="543"/>
      <c r="I8" s="534"/>
    </row>
    <row r="9" spans="1:9" ht="24.95" customHeight="1">
      <c r="A9" s="540" t="s">
        <v>97</v>
      </c>
      <c r="B9" s="764">
        <v>0</v>
      </c>
      <c r="C9" s="765">
        <v>0</v>
      </c>
      <c r="D9" s="766">
        <v>0</v>
      </c>
      <c r="E9" s="767">
        <v>0</v>
      </c>
      <c r="F9" s="542"/>
      <c r="G9" s="534"/>
      <c r="I9" s="534"/>
    </row>
    <row r="10" spans="1:9" ht="24.95" customHeight="1">
      <c r="A10" s="540" t="s">
        <v>98</v>
      </c>
      <c r="B10" s="764">
        <v>167.4468</v>
      </c>
      <c r="C10" s="765">
        <v>13.1</v>
      </c>
      <c r="D10" s="766">
        <v>1183.4060999999999</v>
      </c>
      <c r="E10" s="767">
        <v>1.3</v>
      </c>
      <c r="F10" s="542"/>
      <c r="G10" s="534"/>
      <c r="I10" s="534"/>
    </row>
    <row r="11" spans="1:9" ht="24.95" customHeight="1">
      <c r="A11" s="540" t="s">
        <v>99</v>
      </c>
      <c r="B11" s="764">
        <v>46.618899999999996</v>
      </c>
      <c r="C11" s="765">
        <v>-10.6</v>
      </c>
      <c r="D11" s="766">
        <v>437.07440000000003</v>
      </c>
      <c r="E11" s="767">
        <v>-10.3</v>
      </c>
      <c r="G11" s="534"/>
      <c r="I11" s="534"/>
    </row>
    <row r="12" spans="1:9" ht="24.95" customHeight="1">
      <c r="A12" s="540" t="s">
        <v>100</v>
      </c>
      <c r="B12" s="764">
        <v>4.3525</v>
      </c>
      <c r="C12" s="765">
        <v>19.2</v>
      </c>
      <c r="D12" s="766">
        <v>32.1128</v>
      </c>
      <c r="E12" s="767">
        <v>19.600000000000001</v>
      </c>
      <c r="G12" s="534"/>
      <c r="I12" s="534"/>
    </row>
    <row r="13" spans="1:9" ht="24.95" customHeight="1">
      <c r="A13" s="540" t="s">
        <v>101</v>
      </c>
      <c r="B13" s="764">
        <v>88.6815</v>
      </c>
      <c r="C13" s="765">
        <v>12.5</v>
      </c>
      <c r="D13" s="766">
        <v>716.76419999999996</v>
      </c>
      <c r="E13" s="767">
        <v>-3</v>
      </c>
      <c r="G13" s="534"/>
      <c r="I13" s="534"/>
    </row>
    <row r="14" spans="1:9" ht="24.95" customHeight="1">
      <c r="A14" s="540" t="s">
        <v>102</v>
      </c>
      <c r="B14" s="764">
        <v>106.075</v>
      </c>
      <c r="C14" s="765">
        <v>1.3</v>
      </c>
      <c r="D14" s="766">
        <v>728.30889999999999</v>
      </c>
      <c r="E14" s="767">
        <v>-1.8</v>
      </c>
      <c r="G14" s="534"/>
      <c r="I14" s="534"/>
    </row>
    <row r="15" spans="1:9" ht="24.95" customHeight="1">
      <c r="A15" s="540" t="s">
        <v>103</v>
      </c>
      <c r="B15" s="764">
        <v>87.335400000000007</v>
      </c>
      <c r="C15" s="765">
        <v>28.6</v>
      </c>
      <c r="D15" s="766">
        <v>679.72900000000004</v>
      </c>
      <c r="E15" s="767">
        <v>4.5999999999999996</v>
      </c>
      <c r="G15" s="534"/>
      <c r="I15" s="534"/>
    </row>
    <row r="16" spans="1:9" ht="24.95" customHeight="1">
      <c r="A16" s="540" t="s">
        <v>104</v>
      </c>
      <c r="B16" s="764">
        <v>47.502600000000001</v>
      </c>
      <c r="C16" s="765">
        <v>-12.7</v>
      </c>
      <c r="D16" s="766">
        <v>400.7337</v>
      </c>
      <c r="E16" s="767">
        <v>-14.7</v>
      </c>
      <c r="G16" s="534"/>
      <c r="I16" s="534"/>
    </row>
    <row r="17" spans="1:9" ht="24.95" customHeight="1">
      <c r="A17" s="540" t="s">
        <v>105</v>
      </c>
      <c r="B17" s="764">
        <v>83.745699999999999</v>
      </c>
      <c r="C17" s="765">
        <v>1.1000000000000001</v>
      </c>
      <c r="D17" s="766">
        <v>577.19050000000004</v>
      </c>
      <c r="E17" s="767">
        <v>0.9</v>
      </c>
      <c r="G17" s="534"/>
      <c r="I17" s="534"/>
    </row>
    <row r="18" spans="1:9" ht="24.95" customHeight="1">
      <c r="A18" s="605" t="s">
        <v>106</v>
      </c>
      <c r="B18" s="769">
        <v>2.6564999999999999</v>
      </c>
      <c r="C18" s="770">
        <v>-9</v>
      </c>
      <c r="D18" s="771">
        <v>16.9649</v>
      </c>
      <c r="E18" s="772">
        <v>-2.1</v>
      </c>
      <c r="G18" s="534"/>
      <c r="I18" s="534"/>
    </row>
    <row r="19" spans="1:9" ht="24.95" customHeight="1">
      <c r="A19" s="606" t="s">
        <v>107</v>
      </c>
      <c r="B19" s="773">
        <v>13.0726</v>
      </c>
      <c r="C19" s="770">
        <v>-10.7</v>
      </c>
      <c r="D19" s="771">
        <v>110.6936</v>
      </c>
      <c r="E19" s="774">
        <v>-9.1999999999999993</v>
      </c>
      <c r="G19" s="534"/>
      <c r="I19" s="534"/>
    </row>
    <row r="20" spans="1:9" ht="31.5" customHeight="1">
      <c r="A20" s="532"/>
      <c r="B20" s="775" t="s">
        <v>108</v>
      </c>
      <c r="C20" s="776"/>
      <c r="D20" s="607" t="s">
        <v>109</v>
      </c>
      <c r="E20" s="608" t="s">
        <v>110</v>
      </c>
      <c r="G20" s="534"/>
      <c r="I20" s="534"/>
    </row>
    <row r="21" spans="1:9" ht="24.95" customHeight="1">
      <c r="A21" s="609" t="s">
        <v>111</v>
      </c>
      <c r="B21" s="777">
        <v>1641.7868000000001</v>
      </c>
      <c r="C21" s="778"/>
      <c r="D21" s="779">
        <v>98</v>
      </c>
      <c r="E21" s="780">
        <v>-0.7</v>
      </c>
      <c r="G21" s="534"/>
      <c r="I21" s="534"/>
    </row>
    <row r="22" spans="1:9" ht="20.100000000000001" customHeight="1">
      <c r="A22" s="737" t="s">
        <v>112</v>
      </c>
      <c r="B22" s="737"/>
      <c r="C22" s="737"/>
      <c r="D22" s="737"/>
      <c r="E22" s="737"/>
    </row>
  </sheetData>
  <sheetProtection password="DC9E" sheet="1" objects="1" scenarios="1"/>
  <mergeCells count="5">
    <mergeCell ref="A1:E1"/>
    <mergeCell ref="D2:E2"/>
    <mergeCell ref="B20:C20"/>
    <mergeCell ref="B21:C21"/>
    <mergeCell ref="A22:E22"/>
  </mergeCells>
  <phoneticPr fontId="10" type="noConversion"/>
  <printOptions horizontalCentered="1"/>
  <pageMargins left="0.55000000000000004" right="0.55000000000000004" top="0.59" bottom="0.59" header="0.51" footer="0.51"/>
  <pageSetup paperSize="9" orientation="portrait" blackAndWhite="1" horizontalDpi="200" verticalDpi="200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工作表</vt:lpstr>
      </vt:variant>
      <vt:variant>
        <vt:i4>68</vt:i4>
      </vt:variant>
      <vt:variant>
        <vt:lpstr>命名范围</vt:lpstr>
      </vt:variant>
      <vt:variant>
        <vt:i4>17</vt:i4>
      </vt:variant>
    </vt:vector>
  </HeadingPairs>
  <TitlesOfParts>
    <vt:vector size="85" baseType="lpstr">
      <vt:lpstr>-------</vt:lpstr>
      <vt:lpstr>全市指标1</vt:lpstr>
      <vt:lpstr>全市指标2</vt:lpstr>
      <vt:lpstr>全市指标3</vt:lpstr>
      <vt:lpstr>全市指标4</vt:lpstr>
      <vt:lpstr>全市指标5</vt:lpstr>
      <vt:lpstr>GDP</vt:lpstr>
      <vt:lpstr>农业</vt:lpstr>
      <vt:lpstr>工业1</vt:lpstr>
      <vt:lpstr>工业2</vt:lpstr>
      <vt:lpstr>工业经济效益</vt:lpstr>
      <vt:lpstr>分行业工业总产值1</vt:lpstr>
      <vt:lpstr>分行业工业总产值2</vt:lpstr>
      <vt:lpstr>主要工业产品产量1</vt:lpstr>
      <vt:lpstr>主要工业产品产量2 </vt:lpstr>
      <vt:lpstr>主要工业产品产量3</vt:lpstr>
      <vt:lpstr>工业综合能源消费量</vt:lpstr>
      <vt:lpstr>交通 </vt:lpstr>
      <vt:lpstr>投资</vt:lpstr>
      <vt:lpstr>国内贸易</vt:lpstr>
      <vt:lpstr>财税</vt:lpstr>
      <vt:lpstr>金融</vt:lpstr>
      <vt:lpstr>进出口</vt:lpstr>
      <vt:lpstr>居民收支</vt:lpstr>
      <vt:lpstr>消价</vt:lpstr>
      <vt:lpstr>分县1</vt:lpstr>
      <vt:lpstr>分县2</vt:lpstr>
      <vt:lpstr>分县3</vt:lpstr>
      <vt:lpstr>分县4</vt:lpstr>
      <vt:lpstr>分县5</vt:lpstr>
      <vt:lpstr>分县6</vt:lpstr>
      <vt:lpstr>分县7</vt:lpstr>
      <vt:lpstr>分县8</vt:lpstr>
      <vt:lpstr>分县9</vt:lpstr>
      <vt:lpstr>分县10</vt:lpstr>
      <vt:lpstr>分县11</vt:lpstr>
      <vt:lpstr>分县12</vt:lpstr>
      <vt:lpstr>分县13</vt:lpstr>
      <vt:lpstr>分县14</vt:lpstr>
      <vt:lpstr>分县15</vt:lpstr>
      <vt:lpstr>分县16</vt:lpstr>
      <vt:lpstr>分县17</vt:lpstr>
      <vt:lpstr>分县18</vt:lpstr>
      <vt:lpstr>分县19</vt:lpstr>
      <vt:lpstr>分县20</vt:lpstr>
      <vt:lpstr>分县21（1）</vt:lpstr>
      <vt:lpstr>分县21（2）</vt:lpstr>
      <vt:lpstr>分县21（3）</vt:lpstr>
      <vt:lpstr>分县21（4）</vt:lpstr>
      <vt:lpstr>分县22（1）</vt:lpstr>
      <vt:lpstr>分县22（2）</vt:lpstr>
      <vt:lpstr>分县22（3）</vt:lpstr>
      <vt:lpstr>分县22（4）</vt:lpstr>
      <vt:lpstr>分市5（旧）</vt:lpstr>
      <vt:lpstr>工业序列（原）</vt:lpstr>
      <vt:lpstr>工业序列</vt:lpstr>
      <vt:lpstr>投资序列</vt:lpstr>
      <vt:lpstr>消费序列</vt:lpstr>
      <vt:lpstr>进出口序列</vt:lpstr>
      <vt:lpstr>预算收入序列</vt:lpstr>
      <vt:lpstr>价格指数序列</vt:lpstr>
      <vt:lpstr>用电量序列</vt:lpstr>
      <vt:lpstr>投资序列(原)</vt:lpstr>
      <vt:lpstr>消费序列（原）</vt:lpstr>
      <vt:lpstr>出口序列（原）</vt:lpstr>
      <vt:lpstr>地方预算收入序列（原）</vt:lpstr>
      <vt:lpstr>工业用电量序列 （原）</vt:lpstr>
      <vt:lpstr>价格序列（原）</vt:lpstr>
      <vt:lpstr>分县10!Print_Area</vt:lpstr>
      <vt:lpstr>分县13!Print_Area</vt:lpstr>
      <vt:lpstr>分县14!Print_Area</vt:lpstr>
      <vt:lpstr>分县18!Print_Area</vt:lpstr>
      <vt:lpstr>分县19!Print_Area</vt:lpstr>
      <vt:lpstr>分县2!Print_Area</vt:lpstr>
      <vt:lpstr>分县3!Print_Area</vt:lpstr>
      <vt:lpstr>分县5!Print_Area</vt:lpstr>
      <vt:lpstr>分县6!Print_Area</vt:lpstr>
      <vt:lpstr>分县7!Print_Area</vt:lpstr>
      <vt:lpstr>分县8!Print_Area</vt:lpstr>
      <vt:lpstr>分县9!Print_Area</vt:lpstr>
      <vt:lpstr>工业1!Print_Area</vt:lpstr>
      <vt:lpstr>国内贸易!Print_Area</vt:lpstr>
      <vt:lpstr>居民收支!Print_Area</vt:lpstr>
      <vt:lpstr>投资!Print_Area</vt:lpstr>
      <vt:lpstr>消价!Print_Area</vt:lpstr>
    </vt:vector>
  </TitlesOfParts>
  <Company>yz</Company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mmtjj07</dc:creator>
  <cp:lastModifiedBy>揭东</cp:lastModifiedBy>
  <cp:revision>1</cp:revision>
  <cp:lastPrinted>2016-10-14T02:19:30Z</cp:lastPrinted>
  <dcterms:created xsi:type="dcterms:W3CDTF">2006-03-05T01:13:50Z</dcterms:created>
  <dcterms:modified xsi:type="dcterms:W3CDTF">2019-11-08T10:32:58Z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2052-11.1.0.9098</vt:lpwstr>
  </property>
  <property fmtid="{D5CDD505-2E9C-101B-9397-08002B2CF9AE}" pid="3" name="KSOReadingLayout">
    <vt:bool>false</vt:bool>
  </property>
</Properties>
</file>